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'잠정실적(공시별)'!$A$1:$O$5992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2026Q2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n">
        <v>26348</v>
      </c>
      <c r="AK3" s="2" t="n">
        <v>435</v>
      </c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2026Q2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n">
        <v>618592</v>
      </c>
      <c r="AK6" s="2" t="n">
        <v>64938</v>
      </c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2026Q2</t>
        </is>
      </c>
      <c r="E8" t="inlineStr">
        <is>
          <t>2023Q4, 2026Q2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3" t="n">
        <v>3379979</v>
      </c>
      <c r="AK8" s="3" t="n">
        <v>101566</v>
      </c>
      <c r="AL8" s="3" t="n">
        <v>36767</v>
      </c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2026Q2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n">
        <v>36697</v>
      </c>
      <c r="AK14" s="2" t="n">
        <v>4002</v>
      </c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2026Q2</t>
        </is>
      </c>
      <c r="E16" t="inlineStr">
        <is>
          <t>2023Q4, 2026Q2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3" t="n">
        <v>339568</v>
      </c>
      <c r="AK16" s="3" t="n">
        <v>100150</v>
      </c>
      <c r="AL16" s="3" t="n">
        <v>95692</v>
      </c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2026Q2</t>
        </is>
      </c>
      <c r="E21" t="inlineStr">
        <is>
          <t>2023Q4, 2024Q1, 2024Q2, 2024Q3, 2024Q4, 2025Q1, 2025Q2, 2025Q4, 2026Q1, 2026Q2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3" t="n">
        <v>1977376</v>
      </c>
      <c r="AK21" s="3" t="n">
        <v>135147</v>
      </c>
      <c r="AL21" s="3" t="n">
        <v>116426</v>
      </c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2026Q2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n">
        <v>14951</v>
      </c>
      <c r="AK25" s="2" t="n">
        <v>-967</v>
      </c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2026Q2</t>
        </is>
      </c>
      <c r="E27" t="inlineStr">
        <is>
          <t>2026Q2</t>
        </is>
      </c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3" t="n">
        <v>467081</v>
      </c>
      <c r="AK27" s="3" t="n">
        <v>41233</v>
      </c>
      <c r="AL27" s="3" t="n">
        <v>21419</v>
      </c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2026Q2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n">
        <v>0</v>
      </c>
      <c r="AK29" s="2" t="n">
        <v>-5</v>
      </c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2026Q2</t>
        </is>
      </c>
      <c r="E43" t="inlineStr">
        <is>
          <t>2023Q4, 2024Q1, 2024Q2, 2024Q3, 2024Q4, 2025Q1, 2025Q2, 2025Q4, 2026Q1, 2026Q2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3" t="n">
        <v>6461366</v>
      </c>
      <c r="AK43" s="3" t="n">
        <v>885333</v>
      </c>
      <c r="AL43" s="3" t="n">
        <v>738735</v>
      </c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2026Q2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n">
        <v>20197</v>
      </c>
      <c r="AK53" s="2" t="n">
        <v>8520</v>
      </c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2026Q2</t>
        </is>
      </c>
      <c r="E57" t="inlineStr">
        <is>
          <t>2026Q2</t>
        </is>
      </c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3" t="n">
        <v>220272</v>
      </c>
      <c r="AK57" s="3" t="n">
        <v>33739</v>
      </c>
      <c r="AL57" s="3" t="n">
        <v>27053</v>
      </c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2026Q2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n">
        <v>1134889</v>
      </c>
      <c r="AK69" s="2" t="n">
        <v>11717</v>
      </c>
      <c r="AL69" s="3" t="n">
        <v>7858</v>
      </c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2026Q2</t>
        </is>
      </c>
      <c r="E76" t="inlineStr">
        <is>
          <t>2026Q2</t>
        </is>
      </c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3" t="n">
        <v>2581225</v>
      </c>
      <c r="AK76" s="3" t="n">
        <v>90912</v>
      </c>
      <c r="AL76" s="3" t="n">
        <v>135007</v>
      </c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2026Q1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n">
        <v>1663107</v>
      </c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2026Q2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n">
        <v>2494</v>
      </c>
      <c r="AK103" s="2" t="n">
        <v>-414</v>
      </c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2026Q2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n">
        <v>169613</v>
      </c>
      <c r="AK114" s="2" t="n">
        <v>4491</v>
      </c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2026Q2</t>
        </is>
      </c>
      <c r="E125" t="inlineStr">
        <is>
          <t>2026Q2</t>
        </is>
      </c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3" t="n">
        <v>28276</v>
      </c>
      <c r="AK125" s="3" t="n">
        <v>94</v>
      </c>
      <c r="AL125" s="3" t="n">
        <v>622</v>
      </c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2026Q2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n">
        <v>126187</v>
      </c>
      <c r="AK132" s="2" t="n">
        <v>5627</v>
      </c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/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2" t="n">
        <v>12491</v>
      </c>
      <c r="AK140" s="2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/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2" t="n">
        <v>220256</v>
      </c>
      <c r="AK141" s="2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2026Q2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n">
        <v>6812</v>
      </c>
      <c r="AK147" s="2" t="n">
        <v>-613</v>
      </c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n">
        <v>262526</v>
      </c>
      <c r="AK149" s="2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2026Q2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n">
        <v>511651</v>
      </c>
      <c r="AK152" s="2" t="n">
        <v>16540</v>
      </c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/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2" t="n">
        <v>56988</v>
      </c>
      <c r="AK153" s="2" t="n">
        <v>1410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2026Q2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n">
        <v>23078</v>
      </c>
      <c r="AK156" s="2" t="n">
        <v>-17459</v>
      </c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2026Q2</t>
        </is>
      </c>
      <c r="E157" t="inlineStr">
        <is>
          <t>2026Q2</t>
        </is>
      </c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3" t="n">
        <v>750495</v>
      </c>
      <c r="AK157" s="3" t="n">
        <v>52208</v>
      </c>
      <c r="AL157" s="3" t="n">
        <v>32255</v>
      </c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2026Q2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n">
        <v>152832</v>
      </c>
      <c r="AK164" s="2" t="n">
        <v>-9</v>
      </c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2026Q2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n">
        <v>71183</v>
      </c>
      <c r="AK170" s="2" t="n">
        <v>13953</v>
      </c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2026Q2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n">
        <v>4091400</v>
      </c>
      <c r="AK171" s="2" t="n">
        <v>285934</v>
      </c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2026Q2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n">
        <v>3234649</v>
      </c>
      <c r="AK176" s="3" t="n">
        <v>55604</v>
      </c>
      <c r="AL176" s="3" t="n">
        <v>27026</v>
      </c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2026Q2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n">
        <v>2550414</v>
      </c>
      <c r="AK177" s="3" t="n">
        <v>359933</v>
      </c>
      <c r="AL177" s="3" t="n">
        <v>257808</v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2026Q2</t>
        </is>
      </c>
      <c r="E178" t="inlineStr">
        <is>
          <t>2023Q4, 2026Q2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3" t="n">
        <v>2139622</v>
      </c>
      <c r="AK178" s="3" t="n">
        <v>532978</v>
      </c>
      <c r="AL178" s="3" t="n">
        <v>533838</v>
      </c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/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2" t="n">
        <v>196313</v>
      </c>
      <c r="AK179" s="2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2026Q2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n">
        <v>31164</v>
      </c>
      <c r="AK180" s="2" t="n">
        <v>-875</v>
      </c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2026Q2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n">
        <v>54043</v>
      </c>
      <c r="AK187" s="2" t="n">
        <v>7176</v>
      </c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2026Q2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n">
        <v>84792</v>
      </c>
      <c r="AK190" s="2" t="n">
        <v>16623</v>
      </c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/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2" t="n">
        <v>18262</v>
      </c>
      <c r="AK195" s="2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2026Q2</t>
        </is>
      </c>
      <c r="E198" t="inlineStr">
        <is>
          <t>2026Q2</t>
        </is>
      </c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3" t="n">
        <v>27284</v>
      </c>
      <c r="AK198" s="3" t="n">
        <v>-464</v>
      </c>
      <c r="AL198" s="3" t="n">
        <v>1346</v>
      </c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2026Q2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n">
        <v>416705</v>
      </c>
      <c r="AK203" s="2" t="n">
        <v>19853</v>
      </c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1780382</v>
      </c>
      <c r="AK204" s="3" t="n">
        <v>167133</v>
      </c>
      <c r="AL204" s="3" t="n">
        <v>106987</v>
      </c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2026Q2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n">
        <v>0</v>
      </c>
      <c r="AK205" s="2" t="n">
        <v>-9</v>
      </c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2026Q2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n">
        <v>0</v>
      </c>
      <c r="AK206" s="2" t="n">
        <v>-10</v>
      </c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2026Q2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n">
        <v>-4</v>
      </c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/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2" t="n">
        <v>21617</v>
      </c>
      <c r="AK209" s="2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2" t="n">
        <v>328509</v>
      </c>
      <c r="AK215" s="2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2026Q2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n">
        <v>79596</v>
      </c>
      <c r="AK216" s="2" t="n">
        <v>2471</v>
      </c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2026Q2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n">
        <v>-3</v>
      </c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2026Q2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n">
        <v>1157298</v>
      </c>
      <c r="AK224" s="2" t="n">
        <v>28066</v>
      </c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/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2" t="n">
        <v>335111</v>
      </c>
      <c r="AK226" s="2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2026Q2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n">
        <v>3545</v>
      </c>
      <c r="AK228" s="2" t="n">
        <v>245</v>
      </c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2" t="n">
        <v>733637</v>
      </c>
      <c r="AK230" s="2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2026Q2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n">
        <v>1283</v>
      </c>
      <c r="AK233" s="2" t="n">
        <v>-341</v>
      </c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2026Q2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n">
        <v>2038</v>
      </c>
      <c r="AK245" s="2" t="n">
        <v>-1202</v>
      </c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2" t="n">
        <v>1112890</v>
      </c>
      <c r="AK250" s="2" t="n">
        <v>55845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2026Q2</t>
        </is>
      </c>
      <c r="E255" t="inlineStr">
        <is>
          <t>2026Q2</t>
        </is>
      </c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3" t="n">
        <v>173873</v>
      </c>
      <c r="AK255" s="3" t="n">
        <v>12924</v>
      </c>
      <c r="AL255" s="3" t="n">
        <v>10333</v>
      </c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2026Q2</t>
        </is>
      </c>
      <c r="E256" t="inlineStr">
        <is>
          <t>2023Q4, 2026Q2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3" t="n">
        <v>2055700</v>
      </c>
      <c r="AK256" s="3" t="n">
        <v>85300</v>
      </c>
      <c r="AL256" s="3" t="n">
        <v>132200</v>
      </c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2026Q2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n">
        <v>94181</v>
      </c>
      <c r="AK261" s="2" t="n">
        <v>8885</v>
      </c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2026Q2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n">
        <v>38980</v>
      </c>
      <c r="AK263" s="2" t="n">
        <v>13229</v>
      </c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2026Q2</t>
        </is>
      </c>
      <c r="E271" t="inlineStr">
        <is>
          <t>2023Q4, 2024Q1, 2024Q2, 2024Q3, 2024Q4, 2025Q1, 2025Q2, 2025Q3, 2025Q4, 2026Q2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3" t="n">
        <v>5313432</v>
      </c>
      <c r="AK271" s="3" t="n">
        <v>963859</v>
      </c>
      <c r="AL271" s="3" t="n">
        <v>711108</v>
      </c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2026Q2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n">
        <v>119773</v>
      </c>
      <c r="AK273" s="2" t="n">
        <v>-377</v>
      </c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2026Q2</t>
        </is>
      </c>
      <c r="E281" t="inlineStr">
        <is>
          <t>2023Q4, 2026Q2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3" t="n">
        <v>2571954</v>
      </c>
      <c r="AK281" s="3" t="n">
        <v>151458</v>
      </c>
      <c r="AL281" s="3" t="n">
        <v>104623</v>
      </c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2026Q2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n">
        <v>458189</v>
      </c>
      <c r="AK283" s="2" t="n">
        <v>21686</v>
      </c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2026Q2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n">
        <v>3055582</v>
      </c>
      <c r="AK286" s="2" t="n">
        <v>-30355</v>
      </c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2026Q2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n">
        <v>278068</v>
      </c>
      <c r="AK292" s="2" t="n">
        <v>3727</v>
      </c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2026Q2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n">
        <v>59475</v>
      </c>
      <c r="AK299" s="2" t="n">
        <v>-6454</v>
      </c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2026Q2</t>
        </is>
      </c>
      <c r="E304" t="inlineStr">
        <is>
          <t>2026Q2</t>
        </is>
      </c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3" t="n">
        <v>21631395</v>
      </c>
      <c r="AK304" s="3" t="n">
        <v>2489873</v>
      </c>
      <c r="AL304" s="3" t="n">
        <v>1905216</v>
      </c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2026Q2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n">
        <v>-9</v>
      </c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2026Q2</t>
        </is>
      </c>
      <c r="E312" t="inlineStr">
        <is>
          <t>2023Q4, 2026Q2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3" t="n">
        <v>3175143</v>
      </c>
      <c r="AK312" s="3" t="n">
        <v>109407</v>
      </c>
      <c r="AL312" s="3" t="n">
        <v>64649</v>
      </c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2026Q2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n">
        <v>380</v>
      </c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2026Q2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n">
        <v>-5</v>
      </c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2026Q2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n">
        <v>0</v>
      </c>
      <c r="AK319" s="2" t="n">
        <v>-13</v>
      </c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2026Q2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n">
        <v>32646</v>
      </c>
      <c r="AK322" s="2" t="n">
        <v>4215</v>
      </c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2026Q2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n">
        <v>3013</v>
      </c>
      <c r="AK329" s="2" t="n">
        <v>-1026</v>
      </c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2026Q2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n">
        <v>39130</v>
      </c>
      <c r="AK334" s="2" t="n">
        <v>-2053</v>
      </c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2026Q2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n">
        <v>28733</v>
      </c>
      <c r="AK337" s="2" t="n">
        <v>-1474</v>
      </c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2026Q2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n">
        <v>274359</v>
      </c>
      <c r="AK339" s="2" t="n">
        <v>14010</v>
      </c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2026Q2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n">
        <v>75</v>
      </c>
      <c r="AK345" s="2" t="n">
        <v>-4696</v>
      </c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2026Q2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n">
        <v>26874</v>
      </c>
      <c r="AK349" s="2" t="n">
        <v>-425</v>
      </c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2026Q2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n">
        <v>212900</v>
      </c>
      <c r="AK350" s="2" t="n">
        <v>22492</v>
      </c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2026Q2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n">
        <v>45</v>
      </c>
      <c r="AK353" s="2" t="n">
        <v>1</v>
      </c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2026Q2</t>
        </is>
      </c>
      <c r="E356" t="inlineStr">
        <is>
          <t>2026Q2</t>
        </is>
      </c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3" t="n">
        <v>67034</v>
      </c>
      <c r="AK356" s="3" t="n">
        <v>1646</v>
      </c>
      <c r="AL356" s="3" t="n">
        <v>572</v>
      </c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/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2" t="n">
        <v>5668</v>
      </c>
      <c r="AK359" s="2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/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2" t="n">
        <v>182813</v>
      </c>
      <c r="AK366" s="2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2026Q2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n">
        <v>0</v>
      </c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2026Q2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n">
        <v>417233</v>
      </c>
      <c r="AK370" s="2" t="n">
        <v>11285</v>
      </c>
      <c r="AL370" s="3" t="n">
        <v>4769</v>
      </c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2026Q2</t>
        </is>
      </c>
      <c r="E372" t="inlineStr">
        <is>
          <t>2026Q2</t>
        </is>
      </c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3" t="n">
        <v>439816</v>
      </c>
      <c r="AK372" s="3" t="n">
        <v>2823</v>
      </c>
      <c r="AL372" s="3" t="n">
        <v>3164</v>
      </c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2026Q2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n">
        <v>18779</v>
      </c>
      <c r="AK373" s="2" t="n">
        <v>1869</v>
      </c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2026Q2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n">
        <v>0</v>
      </c>
      <c r="AK376" s="2" t="n">
        <v>-8</v>
      </c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2026Q2</t>
        </is>
      </c>
      <c r="E380" t="inlineStr">
        <is>
          <t>2023Q4, 2026Q2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3" t="n">
        <v>388200</v>
      </c>
      <c r="AK380" s="3" t="n">
        <v>84261</v>
      </c>
      <c r="AL380" s="3" t="n">
        <v>68456</v>
      </c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2026Q2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n">
        <v>497054</v>
      </c>
      <c r="AK397" s="2" t="n">
        <v>44136</v>
      </c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2026Q2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n">
        <v>-7</v>
      </c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2" t="n">
        <v>1023183</v>
      </c>
      <c r="AK402" s="2" t="n">
        <v>108086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2026Q2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n">
        <v>138834</v>
      </c>
      <c r="AK410" s="2" t="n">
        <v>8310</v>
      </c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2026Q2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n">
        <v>0</v>
      </c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2026Q2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n">
        <v>14929</v>
      </c>
      <c r="AK415" s="2" t="n">
        <v>1775</v>
      </c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2026Q2</t>
        </is>
      </c>
      <c r="E416" t="inlineStr">
        <is>
          <t>2026Q2</t>
        </is>
      </c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3" t="n">
        <v>56894</v>
      </c>
      <c r="AK416" s="3" t="n">
        <v>905</v>
      </c>
      <c r="AL416" s="3" t="n">
        <v>2381</v>
      </c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2026Q2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n">
        <v>113794</v>
      </c>
      <c r="AK419" s="2" t="n">
        <v>5099</v>
      </c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2026Q2</t>
        </is>
      </c>
      <c r="E428" t="inlineStr">
        <is>
          <t>2026Q2</t>
        </is>
      </c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3" t="n">
        <v>48254</v>
      </c>
      <c r="AK428" s="3" t="n">
        <v>-578</v>
      </c>
      <c r="AL428" s="3" t="n">
        <v>742</v>
      </c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2026Q2</t>
        </is>
      </c>
      <c r="E429" t="inlineStr">
        <is>
          <t>2023Q4, 2026Q2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3" t="n">
        <v>5686370</v>
      </c>
      <c r="AK429" s="3" t="n">
        <v>110139</v>
      </c>
      <c r="AL429" s="3" t="n">
        <v>194491</v>
      </c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2026Q2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n">
        <v>3401966</v>
      </c>
      <c r="AK430" s="2" t="n">
        <v>354118</v>
      </c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2026Q2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n">
        <v>-11</v>
      </c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2026Q2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n">
        <v>14350</v>
      </c>
      <c r="AK444" s="2" t="n">
        <v>1118</v>
      </c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/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2" t="n">
        <v>2816433</v>
      </c>
      <c r="AK445" s="2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2026Q2</t>
        </is>
      </c>
      <c r="E446" t="inlineStr">
        <is>
          <t>2023Q4, 2026Q2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3" t="n">
        <v>2268152</v>
      </c>
      <c r="AK446" s="3" t="n">
        <v>338998</v>
      </c>
      <c r="AL446" s="3" t="n">
        <v>300417</v>
      </c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2026Q2</t>
        </is>
      </c>
      <c r="E450" t="inlineStr">
        <is>
          <t>2023Q4, 2026Q2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3" t="n">
        <v>201806</v>
      </c>
      <c r="AK450" s="3" t="n">
        <v>3064</v>
      </c>
      <c r="AL450" s="3" t="n">
        <v>-2179</v>
      </c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2026Q2</t>
        </is>
      </c>
      <c r="E451" t="inlineStr">
        <is>
          <t>2026Q2</t>
        </is>
      </c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3" t="n">
        <v>229964</v>
      </c>
      <c r="AK451" s="3" t="n">
        <v>12909</v>
      </c>
      <c r="AL451" s="3" t="n">
        <v>25156</v>
      </c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2026Q2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n">
        <v>22259</v>
      </c>
      <c r="AK456" s="2" t="n">
        <v>2607</v>
      </c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2026Q2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n">
        <v>262793</v>
      </c>
      <c r="AK472" s="2" t="n">
        <v>2843</v>
      </c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2026Q2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n">
        <v>0</v>
      </c>
      <c r="AK473" s="2" t="n">
        <v>-10</v>
      </c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2026Q2</t>
        </is>
      </c>
      <c r="E475" t="inlineStr">
        <is>
          <t>2026Q2</t>
        </is>
      </c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3" t="n">
        <v>59251</v>
      </c>
      <c r="AK475" s="3" t="n">
        <v>16991</v>
      </c>
      <c r="AL475" s="3" t="n">
        <v>14849</v>
      </c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2026Q2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-16</v>
      </c>
      <c r="AI476" s="2" t="inlineStr"/>
      <c r="AJ476" s="2" t="inlineStr"/>
      <c r="AK476" s="2" t="n">
        <v>-12</v>
      </c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2026Q2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n">
        <v>0</v>
      </c>
      <c r="AK477" s="2" t="n">
        <v>-13</v>
      </c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2026Q2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n">
        <v>0</v>
      </c>
      <c r="AK479" s="2" t="n">
        <v>-9</v>
      </c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2026Q2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n">
        <v>0</v>
      </c>
      <c r="AK480" s="2" t="n">
        <v>-26</v>
      </c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2026Q2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n">
        <v>370529</v>
      </c>
      <c r="AK484" s="2" t="n">
        <v>23954</v>
      </c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2026Q2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n">
        <v>7989</v>
      </c>
      <c r="AK487" s="2" t="n">
        <v>1013</v>
      </c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2" t="n">
        <v>147542</v>
      </c>
      <c r="AK490" s="2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2026Q2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n">
        <v>119530</v>
      </c>
      <c r="AK501" s="2" t="n">
        <v>9897</v>
      </c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2026Q2</t>
        </is>
      </c>
      <c r="E502" t="inlineStr">
        <is>
          <t>2023Q4, 2026Q2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3" t="n">
        <v>64132</v>
      </c>
      <c r="AK502" s="3" t="n">
        <v>10007</v>
      </c>
      <c r="AL502" s="3" t="n">
        <v>9578</v>
      </c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2026Q2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n">
        <v>247539</v>
      </c>
      <c r="AK503" s="2" t="n">
        <v>49754</v>
      </c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2026Q2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n">
        <v>445593</v>
      </c>
      <c r="AK505" s="2" t="n">
        <v>26516</v>
      </c>
      <c r="AL505" s="3" t="n">
        <v>10551</v>
      </c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2" t="n">
        <v>402189</v>
      </c>
      <c r="AK506" s="2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2" t="n">
        <v>399849</v>
      </c>
      <c r="AK507" s="2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2026Q2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n">
        <v>193744</v>
      </c>
      <c r="AK516" s="2" t="n">
        <v>11239</v>
      </c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2026Q2</t>
        </is>
      </c>
      <c r="E520" t="inlineStr">
        <is>
          <t>2023Q4, 2026Q2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3" t="n">
        <v>21918852</v>
      </c>
      <c r="AK520" s="3" t="n">
        <v>1128552</v>
      </c>
      <c r="AL520" s="3" t="n">
        <v>277537</v>
      </c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2026Q2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n">
        <v>714369</v>
      </c>
      <c r="AK521" s="2" t="n">
        <v>78869</v>
      </c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2" t="n">
        <v>71418</v>
      </c>
      <c r="AK529" s="2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2026Q2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n">
        <v>6724</v>
      </c>
      <c r="AK533" s="2" t="n">
        <v>1793</v>
      </c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2026Q2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n">
        <v>209247</v>
      </c>
      <c r="AK535" s="2" t="n">
        <v>8266</v>
      </c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2026Q2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n">
        <v>12646</v>
      </c>
      <c r="AK547" s="2" t="n">
        <v>5588</v>
      </c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2" t="n">
        <v>4359057</v>
      </c>
      <c r="AK550" s="2" t="n">
        <v>566043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2026Q2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n">
        <v>128648</v>
      </c>
      <c r="AK554" s="2" t="n">
        <v>17231</v>
      </c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2026Q2</t>
        </is>
      </c>
      <c r="E560" t="inlineStr">
        <is>
          <t>2023Q4, 2026Q2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3" t="n">
        <v>194165</v>
      </c>
      <c r="AK560" s="3" t="n">
        <v>4527</v>
      </c>
      <c r="AL560" s="3" t="n">
        <v>4611</v>
      </c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2026Q2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n">
        <v>131668</v>
      </c>
      <c r="AK562" s="2" t="n">
        <v>10679</v>
      </c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2026Q2</t>
        </is>
      </c>
      <c r="E565" t="inlineStr">
        <is>
          <t>2026Q2</t>
        </is>
      </c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3" t="n">
        <v>193669</v>
      </c>
      <c r="AK565" s="3" t="n">
        <v>14415</v>
      </c>
      <c r="AL565" s="3" t="n">
        <v>13922</v>
      </c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2" t="n">
        <v>2312995</v>
      </c>
      <c r="AK567" s="2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2" t="n">
        <v>2875248</v>
      </c>
      <c r="AK570" s="2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2026Q2</t>
        </is>
      </c>
      <c r="E584" t="inlineStr">
        <is>
          <t>2023Q4, 2026Q2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3" t="n">
        <v>64427</v>
      </c>
      <c r="AK584" s="3" t="n">
        <v>5516</v>
      </c>
      <c r="AL584" s="3" t="n">
        <v>2025</v>
      </c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2026Q2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n">
        <v>1844112</v>
      </c>
      <c r="AK588" s="2" t="n">
        <v>-356276</v>
      </c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2026Q2</t>
        </is>
      </c>
      <c r="E594" t="inlineStr">
        <is>
          <t>2023Q4, 2026Q2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3" t="n">
        <v>1442207</v>
      </c>
      <c r="AK594" s="3" t="n">
        <v>253206</v>
      </c>
      <c r="AL594" s="3" t="n">
        <v>178271</v>
      </c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2026Q2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n">
        <v>379869</v>
      </c>
      <c r="AK595" s="2" t="n">
        <v>16294</v>
      </c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2026Q1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n">
        <v>6515</v>
      </c>
      <c r="AH598" s="2" t="n">
        <v>1810</v>
      </c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2026Q2</t>
        </is>
      </c>
      <c r="E603" t="inlineStr">
        <is>
          <t>2023Q4, 2026Q2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3" t="n">
        <v>83746</v>
      </c>
      <c r="AK603" s="3" t="n">
        <v>7212</v>
      </c>
      <c r="AL603" s="3" t="n">
        <v>68946</v>
      </c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2026Q2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n">
        <v>62020</v>
      </c>
      <c r="AK607" s="2" t="n">
        <v>5353</v>
      </c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2026Q2</t>
        </is>
      </c>
      <c r="E608" t="inlineStr">
        <is>
          <t>2023Q4, 2026Q2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3" t="n">
        <v>3485028</v>
      </c>
      <c r="AK608" s="3" t="n">
        <v>89909</v>
      </c>
      <c r="AL608" s="3" t="n">
        <v>14617</v>
      </c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2026Q2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n">
        <v>50175</v>
      </c>
      <c r="AK620" s="2" t="n">
        <v>3257</v>
      </c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2026Q2</t>
        </is>
      </c>
      <c r="E623" t="inlineStr">
        <is>
          <t>2026Q2</t>
        </is>
      </c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3" t="n">
        <v>142347</v>
      </c>
      <c r="AK623" s="3" t="n">
        <v>25338</v>
      </c>
      <c r="AL623" s="3" t="n">
        <v>35322</v>
      </c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2026Q2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n">
        <v>279853</v>
      </c>
      <c r="AK627" s="2" t="n">
        <v>12866</v>
      </c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2026Q2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n">
        <v>10589</v>
      </c>
      <c r="AK628" s="2" t="n">
        <v>-9233</v>
      </c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n">
        <v>213567</v>
      </c>
      <c r="AK629" s="2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2026Q2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n">
        <v>30798</v>
      </c>
      <c r="AK641" s="2" t="n">
        <v>10360</v>
      </c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2026Q2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n">
        <v>2909</v>
      </c>
      <c r="AK642" s="2" t="n">
        <v>-1134</v>
      </c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2026Q2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n">
        <v>70415</v>
      </c>
      <c r="AK643" s="2" t="n">
        <v>3151</v>
      </c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2026Q2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n">
        <v>16926</v>
      </c>
      <c r="AK656" s="2" t="n">
        <v>169</v>
      </c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2026Q2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n">
        <v>135734</v>
      </c>
      <c r="AK658" s="2" t="n">
        <v>9837</v>
      </c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/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2" t="n">
        <v>1913665</v>
      </c>
      <c r="AK672" s="2" t="n">
        <v>193695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2026Q2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n">
        <v>952</v>
      </c>
      <c r="AK674" s="2" t="n">
        <v>-891</v>
      </c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2026Q2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n">
        <v>163185</v>
      </c>
      <c r="AK678" s="2" t="n">
        <v>32870</v>
      </c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2026Q2</t>
        </is>
      </c>
      <c r="E679" t="inlineStr">
        <is>
          <t>2023Q4, 2026Q2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3" t="n">
        <v>6679900</v>
      </c>
      <c r="AK679" s="3" t="n">
        <v>648300</v>
      </c>
      <c r="AL679" s="3" t="n">
        <v>480600</v>
      </c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2026Q2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n">
        <v>1060503</v>
      </c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2026Q2</t>
        </is>
      </c>
      <c r="E690" t="inlineStr">
        <is>
          <t>2023Q4, 2026Q2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3" t="n">
        <v>291576</v>
      </c>
      <c r="AK690" s="3" t="n">
        <v>6965</v>
      </c>
      <c r="AL690" s="3" t="n">
        <v>6809</v>
      </c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2026Q2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n">
        <v>260611</v>
      </c>
      <c r="AK693" s="2" t="n">
        <v>6818</v>
      </c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2026Q2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n">
        <v>25906</v>
      </c>
      <c r="AK699" s="2" t="n">
        <v>2165</v>
      </c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2026Q2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n">
        <v>203273</v>
      </c>
      <c r="AK700" s="2" t="n">
        <v>51929</v>
      </c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2026Q2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n">
        <v>33434</v>
      </c>
      <c r="AK704" s="2" t="n">
        <v>9612</v>
      </c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2026Q2</t>
        </is>
      </c>
      <c r="E705" t="inlineStr">
        <is>
          <t>2023Q4, 2026Q2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3" t="n">
        <v>51525</v>
      </c>
      <c r="AK705" s="3" t="n">
        <v>3960</v>
      </c>
      <c r="AL705" s="3" t="n">
        <v>155</v>
      </c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2026Q2</t>
        </is>
      </c>
      <c r="E712" t="inlineStr">
        <is>
          <t>2024Q1, 2025Q2, 2026Q1, 2026Q2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3" t="n">
        <v>18759919</v>
      </c>
      <c r="AK712" s="3" t="n">
        <v>622617</v>
      </c>
      <c r="AL712" s="3" t="n">
        <v>727366</v>
      </c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2026Q2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n">
        <v>6376</v>
      </c>
      <c r="AK716" s="2" t="n">
        <v>-95</v>
      </c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2026Q2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n">
        <v>35649</v>
      </c>
      <c r="AK719" s="2" t="n">
        <v>5234</v>
      </c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2026Q2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n">
        <v>11216</v>
      </c>
      <c r="AK720" s="2" t="n">
        <v>3750</v>
      </c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2026Q2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n">
        <v>488955</v>
      </c>
      <c r="AK721" s="2" t="n">
        <v>25238</v>
      </c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2026Q1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n">
        <v>14420</v>
      </c>
      <c r="AH723" s="2" t="n">
        <v>-130</v>
      </c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2026Q2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n">
        <v>235194</v>
      </c>
      <c r="AK725" s="2" t="n">
        <v>22450</v>
      </c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2026Q2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n">
        <v>26030</v>
      </c>
      <c r="AK734" s="2" t="n">
        <v>-1127</v>
      </c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2026Q2</t>
        </is>
      </c>
      <c r="E744" t="inlineStr">
        <is>
          <t>2023Q4, 2026Q2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3" t="n">
        <v>318089</v>
      </c>
      <c r="AK744" s="3" t="n">
        <v>35550</v>
      </c>
      <c r="AL744" s="3" t="n">
        <v>21023</v>
      </c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2026Q2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n">
        <v>55220</v>
      </c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2026Q2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n">
        <v>102766</v>
      </c>
      <c r="AK752" s="2" t="n">
        <v>3770</v>
      </c>
      <c r="AL752" s="3" t="n">
        <v>2756</v>
      </c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2026Q2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n">
        <v>126465</v>
      </c>
      <c r="AK754" s="2" t="n">
        <v>16339</v>
      </c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2026Q2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n">
        <v>7234</v>
      </c>
      <c r="AK755" s="2" t="n">
        <v>37</v>
      </c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2026Q2</t>
        </is>
      </c>
      <c r="E758" t="inlineStr">
        <is>
          <t>2023Q4, 2026Q2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3" t="n">
        <v>3388800</v>
      </c>
      <c r="AK758" s="3" t="n">
        <v>520300</v>
      </c>
      <c r="AL758" s="3" t="n">
        <v>704300</v>
      </c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2026Q2</t>
        </is>
      </c>
      <c r="E760" t="inlineStr">
        <is>
          <t>2023Q4, 2026Q2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3" t="n">
        <v>174955</v>
      </c>
      <c r="AK760" s="3" t="n">
        <v>15237</v>
      </c>
      <c r="AL760" s="3" t="n">
        <v>12842</v>
      </c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2" t="n">
        <v>371847</v>
      </c>
      <c r="AK761" s="2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2026Q2</t>
        </is>
      </c>
      <c r="E768" t="inlineStr">
        <is>
          <t>2026Q2</t>
        </is>
      </c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3" t="n">
        <v>183143</v>
      </c>
      <c r="AK768" s="3" t="n">
        <v>30998</v>
      </c>
      <c r="AL768" s="3" t="n">
        <v>21661</v>
      </c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2026Q2</t>
        </is>
      </c>
      <c r="E771" t="inlineStr">
        <is>
          <t>2026Q2</t>
        </is>
      </c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3" t="n">
        <v>96366</v>
      </c>
      <c r="AK771" s="3" t="n">
        <v>12722</v>
      </c>
      <c r="AL771" s="3" t="n">
        <v>13322</v>
      </c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2026Q2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n">
        <v>137038</v>
      </c>
      <c r="AK775" s="2" t="n">
        <v>16824</v>
      </c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2026Q2</t>
        </is>
      </c>
      <c r="E779" t="inlineStr">
        <is>
          <t>2023Q4, 2026Q2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3" t="n">
        <v>7507962</v>
      </c>
      <c r="AK779" s="3" t="n">
        <v>675294</v>
      </c>
      <c r="AL779" s="3" t="n">
        <v>338815</v>
      </c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/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2" t="n">
        <v>523773</v>
      </c>
      <c r="AK781" s="2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2026Q2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n">
        <v>126288</v>
      </c>
      <c r="AK782" s="2" t="n">
        <v>-6151</v>
      </c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2026Q2</t>
        </is>
      </c>
      <c r="E784" t="inlineStr">
        <is>
          <t>2023Q4, 2026Q2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3" t="n">
        <v>770501</v>
      </c>
      <c r="AK784" s="3" t="n">
        <v>173861</v>
      </c>
      <c r="AL784" s="3" t="n">
        <v>131181</v>
      </c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2026Q2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n">
        <v>433735</v>
      </c>
      <c r="AK785" s="2" t="n">
        <v>20265</v>
      </c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2026Q2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n">
        <v>24723</v>
      </c>
      <c r="AK788" s="2" t="n">
        <v>4382</v>
      </c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2026Q2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n">
        <v>35513</v>
      </c>
      <c r="AK789" s="2" t="n">
        <v>3819</v>
      </c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2026Q2</t>
        </is>
      </c>
      <c r="E791" t="inlineStr">
        <is>
          <t>2026Q2</t>
        </is>
      </c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3" t="n">
        <v>558207</v>
      </c>
      <c r="AK791" s="3" t="n">
        <v>57559</v>
      </c>
      <c r="AL791" s="3" t="n">
        <v>30128</v>
      </c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2026Q2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n">
        <v>46702</v>
      </c>
      <c r="AK798" s="2" t="n">
        <v>2352</v>
      </c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48352</v>
      </c>
      <c r="AK808" s="3" t="n">
        <v>13897</v>
      </c>
      <c r="AL808" s="3" t="n">
        <v>12104</v>
      </c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2026Q2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n">
        <v>34680</v>
      </c>
      <c r="AK812" s="2" t="n">
        <v>-1799</v>
      </c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2026Q2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n">
        <v>20803</v>
      </c>
      <c r="AK813" s="2" t="n">
        <v>-597</v>
      </c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2026Q2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n">
        <v>186052</v>
      </c>
      <c r="AK822" s="2" t="n">
        <v>3123</v>
      </c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/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2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2026Q2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n">
        <v>62913</v>
      </c>
      <c r="AK841" s="2" t="n">
        <v>454</v>
      </c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2026Q2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n">
        <v>44950</v>
      </c>
      <c r="AK843" s="2" t="n">
        <v>4408</v>
      </c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2026Q2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n">
        <v>24891</v>
      </c>
      <c r="AK849" s="2" t="n">
        <v>2629</v>
      </c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2026Q2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n">
        <v>18303</v>
      </c>
      <c r="AK857" s="2" t="n">
        <v>4679</v>
      </c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2026Q2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n">
        <v>149909</v>
      </c>
      <c r="AK859" s="2" t="n">
        <v>918</v>
      </c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2026Q2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n">
        <v>98694</v>
      </c>
      <c r="AK863" s="2" t="n">
        <v>2186</v>
      </c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2026Q2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n">
        <v>16702</v>
      </c>
      <c r="AK864" s="2" t="n">
        <v>1638</v>
      </c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n">
        <v>83427</v>
      </c>
      <c r="AK865" s="2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2026Q2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n">
        <v>42727</v>
      </c>
      <c r="AK873" s="2" t="n">
        <v>-4490</v>
      </c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2" t="n">
        <v>5443171</v>
      </c>
      <c r="AK874" s="2" t="n">
        <v>736114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2026Q2</t>
        </is>
      </c>
      <c r="E879" t="inlineStr">
        <is>
          <t>2023Q4, 2026Q2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3" t="n">
        <v>121363</v>
      </c>
      <c r="AK879" s="3" t="n">
        <v>24473</v>
      </c>
      <c r="AL879" s="3" t="n">
        <v>22190</v>
      </c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2026Q2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n">
        <v>16216</v>
      </c>
      <c r="AK883" s="2" t="n">
        <v>1048</v>
      </c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2026Q2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n">
        <v>4526</v>
      </c>
      <c r="AK884" s="2" t="n">
        <v>-343</v>
      </c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2026Q2</t>
        </is>
      </c>
      <c r="E887" t="inlineStr">
        <is>
          <t>2023Q4, 2026Q2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3" t="n">
        <v>77216</v>
      </c>
      <c r="AK887" s="3" t="n">
        <v>1894</v>
      </c>
      <c r="AL887" s="3" t="n">
        <v>-465</v>
      </c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/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2" t="n">
        <v>14791</v>
      </c>
      <c r="AK893" s="2" t="n">
        <v>100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2026Q2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n">
        <v>354703</v>
      </c>
      <c r="AK902" s="2" t="n">
        <v>28525</v>
      </c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2026Q2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n">
        <v>9596</v>
      </c>
      <c r="AK904" s="2" t="n">
        <v>4177</v>
      </c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2026Q2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n">
        <v>58341</v>
      </c>
      <c r="AK906" s="2" t="n">
        <v>1867</v>
      </c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2026Q2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n">
        <v>24969</v>
      </c>
      <c r="AK907" s="2" t="n">
        <v>389</v>
      </c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2026Q2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n">
        <v>39539</v>
      </c>
      <c r="AK913" s="2" t="n">
        <v>407</v>
      </c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292104</v>
      </c>
      <c r="AK916" s="3" t="n">
        <v>3494</v>
      </c>
      <c r="AL916" s="3" t="n">
        <v>6194</v>
      </c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2026Q2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n">
        <v>14728</v>
      </c>
      <c r="AK918" s="2" t="n">
        <v>2555</v>
      </c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2026Q2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n">
        <v>12262</v>
      </c>
      <c r="AK925" s="2" t="n">
        <v>1617</v>
      </c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2026Q2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n">
        <v>62278</v>
      </c>
      <c r="AK928" s="2" t="n">
        <v>-31</v>
      </c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2026Q2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n">
        <v>520</v>
      </c>
      <c r="AK929" s="2" t="n">
        <v>-5538</v>
      </c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2026Q2</t>
        </is>
      </c>
      <c r="E942" t="inlineStr">
        <is>
          <t>2026Q2</t>
        </is>
      </c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3" t="n">
        <v>23712</v>
      </c>
      <c r="AK942" s="3" t="n">
        <v>9875</v>
      </c>
      <c r="AL942" s="3" t="n">
        <v>14358</v>
      </c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2026Q2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n">
        <v>23312</v>
      </c>
      <c r="AK946" s="2" t="n">
        <v>2380</v>
      </c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2026Q2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n">
        <v>48977</v>
      </c>
      <c r="AK947" s="2" t="n">
        <v>7969</v>
      </c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2026Q2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n">
        <v>23340</v>
      </c>
      <c r="AK951" s="2" t="n">
        <v>4487</v>
      </c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2026Q2</t>
        </is>
      </c>
      <c r="E952" t="inlineStr">
        <is>
          <t>2026Q2</t>
        </is>
      </c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3" t="n">
        <v>15814</v>
      </c>
      <c r="AK952" s="3" t="n">
        <v>1640</v>
      </c>
      <c r="AL952" s="3" t="n">
        <v>3606</v>
      </c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2026Q2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n">
        <v>145103</v>
      </c>
      <c r="AK960" s="2" t="n">
        <v>9901</v>
      </c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2026Q2</t>
        </is>
      </c>
      <c r="E967" t="inlineStr">
        <is>
          <t>2023Q4, 2026Q2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3" t="n">
        <v>437939</v>
      </c>
      <c r="AK967" s="3" t="n">
        <v>43580</v>
      </c>
      <c r="AL967" s="3" t="n">
        <v>38274</v>
      </c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2026Q2</t>
        </is>
      </c>
      <c r="E977" t="inlineStr">
        <is>
          <t>2026Q2</t>
        </is>
      </c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3" t="n">
        <v>129614</v>
      </c>
      <c r="AK977" s="3" t="n">
        <v>16038</v>
      </c>
      <c r="AL977" s="3" t="n">
        <v>16180</v>
      </c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2" t="n">
        <v>84596</v>
      </c>
      <c r="AK978" s="2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2026Q2</t>
        </is>
      </c>
      <c r="E980" t="inlineStr">
        <is>
          <t>2023Q4, 2026Q2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3" t="n">
        <v>40030</v>
      </c>
      <c r="AK980" s="3" t="n">
        <v>-291</v>
      </c>
      <c r="AL980" s="3" t="n">
        <v>-1695</v>
      </c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3" t="n">
        <v>2727</v>
      </c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2026Q2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n">
        <v>36911</v>
      </c>
      <c r="AK998" s="2" t="n">
        <v>8539</v>
      </c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2" t="n">
        <v>71309</v>
      </c>
      <c r="AK1006" s="2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2026Q2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n">
        <v>40384</v>
      </c>
      <c r="AK1011" s="2" t="n">
        <v>1368</v>
      </c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2026Q2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n">
        <v>23181</v>
      </c>
      <c r="AK1014" s="2" t="n">
        <v>327</v>
      </c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2026Q2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n">
        <v>131393</v>
      </c>
      <c r="AK1018" s="2" t="n">
        <v>3176</v>
      </c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2026Q2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n">
        <v>50108</v>
      </c>
      <c r="AK1025" s="2" t="n">
        <v>673</v>
      </c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2026Q2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n">
        <v>40697</v>
      </c>
      <c r="AK1027" s="2" t="n">
        <v>3183</v>
      </c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2026Q2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n">
        <v>400007</v>
      </c>
      <c r="AK1031" s="2" t="n">
        <v>28991</v>
      </c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2026Q2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n">
        <v>11971</v>
      </c>
      <c r="AK1032" s="2" t="n">
        <v>-1273</v>
      </c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2026Q2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n">
        <v>44272</v>
      </c>
      <c r="AK1033" s="2" t="n">
        <v>2791</v>
      </c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2026Q2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n">
        <v>3863</v>
      </c>
      <c r="AK1039" s="2" t="n">
        <v>178</v>
      </c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2026Q2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n">
        <v>14151</v>
      </c>
      <c r="AK1040" s="2" t="n">
        <v>984</v>
      </c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2" t="n">
        <v>298199</v>
      </c>
      <c r="AK1041" s="2" t="n">
        <v>9587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2026Q2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n">
        <v>6437</v>
      </c>
      <c r="AK1042" s="2" t="n">
        <v>-27</v>
      </c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2026Q2</t>
        </is>
      </c>
      <c r="E1044" t="inlineStr">
        <is>
          <t>2026Q2</t>
        </is>
      </c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3" t="n">
        <v>88770</v>
      </c>
      <c r="AK1044" s="3" t="n">
        <v>3997</v>
      </c>
      <c r="AL1044" s="3" t="n">
        <v>2435</v>
      </c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2026Q2</t>
        </is>
      </c>
      <c r="E1049" t="inlineStr">
        <is>
          <t>2023Q4, 2026Q2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3" t="n">
        <v>238408</v>
      </c>
      <c r="AK1049" s="3" t="n">
        <v>9655</v>
      </c>
      <c r="AL1049" s="3" t="n">
        <v>7601</v>
      </c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2026Q2</t>
        </is>
      </c>
      <c r="E1050" t="inlineStr">
        <is>
          <t>2023Q4, 2026Q2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3" t="n">
        <v>155355</v>
      </c>
      <c r="AK1050" s="3" t="n">
        <v>7127</v>
      </c>
      <c r="AL1050" s="3" t="n">
        <v>5790</v>
      </c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2026Q2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n">
        <v>11865</v>
      </c>
      <c r="AK1053" s="2" t="n">
        <v>3601</v>
      </c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2026Q2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n">
        <v>8873</v>
      </c>
      <c r="AK1054" s="2" t="n">
        <v>1811</v>
      </c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2026Q2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n">
        <v>50260</v>
      </c>
      <c r="AK1057" s="2" t="n">
        <v>2317</v>
      </c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2026Q2</t>
        </is>
      </c>
      <c r="E1060" t="inlineStr">
        <is>
          <t>2023Q4, 2026Q2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3" t="n">
        <v>383375</v>
      </c>
      <c r="AK1060" s="3" t="n">
        <v>15441</v>
      </c>
      <c r="AL1060" s="3" t="n">
        <v>12973</v>
      </c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2026Q2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n">
        <v>23618</v>
      </c>
      <c r="AK1062" s="2" t="n">
        <v>2436</v>
      </c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2026Q1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n">
        <v>5575</v>
      </c>
      <c r="AH1063" s="2" t="n">
        <v>6</v>
      </c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2026Q2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n">
        <v>10182</v>
      </c>
      <c r="AK1066" s="2" t="n">
        <v>182</v>
      </c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2026Q2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n">
        <v>33687</v>
      </c>
      <c r="AK1070" s="2" t="n">
        <v>3794</v>
      </c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/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2" t="n">
        <v>75460</v>
      </c>
      <c r="AK1076" s="2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연결</t>
        </is>
      </c>
      <c r="D1077" t="inlineStr">
        <is>
          <t>2026Q2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n">
        <v>24463</v>
      </c>
      <c r="AK1077" s="2" t="n">
        <v>-912</v>
      </c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2026Q2</t>
        </is>
      </c>
      <c r="E1079" t="inlineStr">
        <is>
          <t>2024Q2, 2024Q4, 2026Q2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3" t="n">
        <v>164179</v>
      </c>
      <c r="AK1079" s="3" t="n">
        <v>62035</v>
      </c>
      <c r="AL1079" s="3" t="n">
        <v>54584</v>
      </c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2026Q2</t>
        </is>
      </c>
      <c r="E1081" t="inlineStr">
        <is>
          <t>2023Q4, 2026Q2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3" t="n">
        <v>15553</v>
      </c>
      <c r="AK1081" s="3" t="n">
        <v>-5275</v>
      </c>
      <c r="AL1081" s="3" t="n">
        <v>7706</v>
      </c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2026Q2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n">
        <v>4265</v>
      </c>
      <c r="AK1083" s="2" t="n">
        <v>386</v>
      </c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2026Q2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n">
        <v>11181</v>
      </c>
      <c r="AK1093" s="2" t="n">
        <v>977</v>
      </c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2026Q2</t>
        </is>
      </c>
      <c r="E1096" t="inlineStr">
        <is>
          <t>2026Q2</t>
        </is>
      </c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3" t="n">
        <v>94873</v>
      </c>
      <c r="AK1096" s="3" t="n">
        <v>26850</v>
      </c>
      <c r="AL1096" s="3" t="n">
        <v>23651</v>
      </c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/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2" t="n">
        <v>14921</v>
      </c>
      <c r="AK1099" s="2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/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2" t="n">
        <v>258025</v>
      </c>
      <c r="AK1100" s="2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2026Q2</t>
        </is>
      </c>
      <c r="E1109" t="inlineStr">
        <is>
          <t>2023Q4, 2026Q2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3" t="n">
        <v>22574</v>
      </c>
      <c r="AK1109" s="3" t="n">
        <v>624</v>
      </c>
      <c r="AL1109" s="3" t="n">
        <v>-567</v>
      </c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2026Q2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n">
        <v>4564</v>
      </c>
      <c r="AK1131" s="2" t="n">
        <v>-738</v>
      </c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2026Q1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n">
        <v>23509</v>
      </c>
      <c r="AH1137" s="2" t="n">
        <v>1132</v>
      </c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2026Q2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n">
        <v>41291</v>
      </c>
      <c r="AK1138" s="2" t="n">
        <v>3329</v>
      </c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2026Q2</t>
        </is>
      </c>
      <c r="E1142" t="inlineStr">
        <is>
          <t>2026Q2</t>
        </is>
      </c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3" t="n">
        <v>21543</v>
      </c>
      <c r="AK1142" s="3" t="n">
        <v>3584</v>
      </c>
      <c r="AL1142" s="3" t="n">
        <v>3572</v>
      </c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2026Q2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n">
        <v>2236</v>
      </c>
      <c r="AK1144" s="2" t="n">
        <v>284</v>
      </c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2026Q2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n">
        <v>56997</v>
      </c>
      <c r="AK1145" s="2" t="n">
        <v>3823</v>
      </c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2026Q2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n">
        <v>14656</v>
      </c>
      <c r="AK1147" s="2" t="n">
        <v>-7559</v>
      </c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2026Q2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n">
        <v>3063</v>
      </c>
      <c r="AK1149" s="2" t="n">
        <v>498</v>
      </c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2026Q2</t>
        </is>
      </c>
      <c r="E1150" t="inlineStr">
        <is>
          <t>2026Q2</t>
        </is>
      </c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3" t="n">
        <v>31291</v>
      </c>
      <c r="AK1150" s="3" t="n">
        <v>2686</v>
      </c>
      <c r="AL1150" s="3" t="n">
        <v>31438</v>
      </c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n">
        <v>38009</v>
      </c>
      <c r="AK1164" s="2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2026Q2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n">
        <v>34976</v>
      </c>
      <c r="AK1165" s="2" t="n">
        <v>3748</v>
      </c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2026Q2</t>
        </is>
      </c>
      <c r="E1166" t="inlineStr">
        <is>
          <t>2023Q4, 2026Q2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3" t="n">
        <v>397199</v>
      </c>
      <c r="AK1166" s="3" t="n">
        <v>32818</v>
      </c>
      <c r="AL1166" s="3" t="n">
        <v>22289</v>
      </c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2026Q2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n">
        <v>10728</v>
      </c>
      <c r="AK1178" s="2" t="n">
        <v>-1023</v>
      </c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2026Q2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n">
        <v>653113</v>
      </c>
      <c r="AK1184" s="2" t="n">
        <v>33094</v>
      </c>
      <c r="AL1184" s="3" t="n">
        <v>10408</v>
      </c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2026Q2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n">
        <v>15802</v>
      </c>
      <c r="AK1188" s="2" t="n">
        <v>-771</v>
      </c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2026Q2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n">
        <v>31358</v>
      </c>
      <c r="AK1198" s="2" t="n">
        <v>4297</v>
      </c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2026Q2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n">
        <v>5782</v>
      </c>
      <c r="AK1200" s="2" t="n">
        <v>-652</v>
      </c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2" t="n">
        <v>1332767</v>
      </c>
      <c r="AK1201" s="2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2026Q2</t>
        </is>
      </c>
      <c r="E1208" t="inlineStr">
        <is>
          <t>2023Q4, 2026Q2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3" t="n">
        <v>271857</v>
      </c>
      <c r="AK1208" s="3" t="n">
        <v>30873</v>
      </c>
      <c r="AL1208" s="3" t="n">
        <v>26732</v>
      </c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2026Q2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n">
        <v>37579</v>
      </c>
      <c r="AK1211" s="2" t="n">
        <v>-639</v>
      </c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2026Q2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n">
        <v>93498</v>
      </c>
      <c r="AK1212" s="2" t="n">
        <v>20368</v>
      </c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n">
        <v>90753</v>
      </c>
      <c r="AK1216" s="2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2026Q2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n">
        <v>2299403</v>
      </c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2026Q2</t>
        </is>
      </c>
      <c r="E1226" t="inlineStr">
        <is>
          <t>2023Q4, 2026Q2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3" t="n">
        <v>157020</v>
      </c>
      <c r="AK1226" s="3" t="n">
        <v>7160</v>
      </c>
      <c r="AL1226" s="3" t="n">
        <v>-3507</v>
      </c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2026Q2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n">
        <v>258012</v>
      </c>
      <c r="AK1227" s="2" t="n">
        <v>15383</v>
      </c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2026Q2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n">
        <v>65238</v>
      </c>
      <c r="AK1228" s="2" t="n">
        <v>10408</v>
      </c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2026Q2</t>
        </is>
      </c>
      <c r="E1233" t="inlineStr">
        <is>
          <t>2023Q4, 2026Q2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3" t="n">
        <v>7413100</v>
      </c>
      <c r="AK1233" s="3" t="n">
        <v>1717400</v>
      </c>
      <c r="AL1233" s="3" t="n">
        <v>1132000</v>
      </c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2026Q2</t>
        </is>
      </c>
      <c r="E1235" t="inlineStr">
        <is>
          <t>2023Q4, 2026Q2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3" t="n">
        <v>593958</v>
      </c>
      <c r="AK1235" s="3" t="n">
        <v>11470</v>
      </c>
      <c r="AL1235" s="3" t="n">
        <v>22609</v>
      </c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2026Q2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n">
        <v>28947</v>
      </c>
      <c r="AK1236" s="2" t="n">
        <v>2224</v>
      </c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2026Q2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n">
        <v>15849</v>
      </c>
      <c r="AK1242" s="2" t="n">
        <v>535</v>
      </c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2026Q2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n">
        <v>47254</v>
      </c>
      <c r="AK1243" s="2" t="n">
        <v>9608</v>
      </c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2026Q2</t>
        </is>
      </c>
      <c r="E1244" t="inlineStr">
        <is>
          <t>2026Q2</t>
        </is>
      </c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3" t="n">
        <v>88761</v>
      </c>
      <c r="AK1244" s="3" t="n">
        <v>12477</v>
      </c>
      <c r="AL1244" s="3" t="n">
        <v>8716</v>
      </c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2026Q2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n">
        <v>238729</v>
      </c>
      <c r="AK1248" s="2" t="n">
        <v>3342</v>
      </c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2026Q2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n">
        <v>289938</v>
      </c>
      <c r="AK1251" s="2" t="n">
        <v>121871</v>
      </c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2026Q2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n">
        <v>55098</v>
      </c>
      <c r="AK1258" s="2" t="n">
        <v>5732</v>
      </c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2026Q2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n">
        <v>60743</v>
      </c>
      <c r="AK1263" s="2" t="n">
        <v>2646</v>
      </c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/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2" t="n">
        <v>76169</v>
      </c>
      <c r="AK1270" s="2" t="n">
        <v>18762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2026Q2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n">
        <v>14043</v>
      </c>
      <c r="AK1275" s="2" t="n">
        <v>3759</v>
      </c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2026Q2</t>
        </is>
      </c>
      <c r="E1281" t="inlineStr">
        <is>
          <t>2023Q4, 2026Q2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3" t="n">
        <v>11968</v>
      </c>
      <c r="AK1281" s="3" t="n">
        <v>-12684</v>
      </c>
      <c r="AL1281" s="3" t="n">
        <v>-8991</v>
      </c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2026Q2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n">
        <v>53312</v>
      </c>
      <c r="AK1293" s="2" t="n">
        <v>3588</v>
      </c>
      <c r="AL1293" s="3" t="n">
        <v>2748</v>
      </c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2026Q2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n">
        <v>316430</v>
      </c>
      <c r="AK1297" s="2" t="n">
        <v>-28195</v>
      </c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2026Q2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n">
        <v>22576</v>
      </c>
      <c r="AK1300" s="2" t="n">
        <v>4495</v>
      </c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2026Q2</t>
        </is>
      </c>
      <c r="E1307" t="inlineStr">
        <is>
          <t>2023Q4, 2026Q2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3" t="n">
        <v>48647</v>
      </c>
      <c r="AK1307" s="3" t="n">
        <v>6296</v>
      </c>
      <c r="AL1307" s="3" t="n">
        <v>4883</v>
      </c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2026Q2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n">
        <v>68702</v>
      </c>
      <c r="AK1312" s="2" t="n">
        <v>4765</v>
      </c>
      <c r="AL1312" s="3" t="n">
        <v>3128</v>
      </c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2026Q2</t>
        </is>
      </c>
      <c r="E1323" t="inlineStr">
        <is>
          <t>2023Q4, 2024Q4, 2026Q1, 2026Q2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3" t="n">
        <v>12604054</v>
      </c>
      <c r="AK1323" s="3" t="n">
        <v>626782</v>
      </c>
      <c r="AL1323" s="3" t="n">
        <v>522943</v>
      </c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2026Q2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n">
        <v>28725</v>
      </c>
      <c r="AK1326" s="2" t="n">
        <v>-8130</v>
      </c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2026Q2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n">
        <v>72293</v>
      </c>
      <c r="AK1340" s="2" t="n">
        <v>20055</v>
      </c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2026Q2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n">
        <v>55832</v>
      </c>
      <c r="AK1341" s="2" t="n">
        <v>3580</v>
      </c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2026Q2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n">
        <v>27647</v>
      </c>
      <c r="AK1346" s="2" t="n">
        <v>279</v>
      </c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2026Q2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n">
        <v>469701</v>
      </c>
      <c r="AK1359" s="2" t="n">
        <v>-181983</v>
      </c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2026Q2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n">
        <v>10208</v>
      </c>
      <c r="AK1360" s="2" t="n">
        <v>-1136</v>
      </c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2026Q2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n">
        <v>23017</v>
      </c>
      <c r="AK1363" s="2" t="n">
        <v>12258</v>
      </c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214144</v>
      </c>
      <c r="AK1364" s="3" t="n">
        <v>10196</v>
      </c>
      <c r="AL1364" s="3" t="n">
        <v>8162</v>
      </c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2026Q2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n">
        <v>196619</v>
      </c>
      <c r="AK1365" s="2" t="n">
        <v>8730</v>
      </c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2026Q1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n">
        <v>26719</v>
      </c>
      <c r="AH1369" s="2" t="n">
        <v>-869</v>
      </c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672</v>
      </c>
      <c r="AL1371" s="3" t="n">
        <v>2442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8405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2026Q2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n">
        <v>42691</v>
      </c>
      <c r="AK1377" s="2" t="n">
        <v>10295</v>
      </c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2026Q2</t>
        </is>
      </c>
      <c r="E1379" t="inlineStr">
        <is>
          <t>2023Q4, 2026Q2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3" t="n">
        <v>42506</v>
      </c>
      <c r="AK1379" s="3" t="n">
        <v>8818</v>
      </c>
      <c r="AL1379" s="3" t="n">
        <v>6772</v>
      </c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2026Q2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n">
        <v>66836</v>
      </c>
      <c r="AK1382" s="2" t="n">
        <v>13035</v>
      </c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2026Q2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n">
        <v>4241</v>
      </c>
      <c r="AK1390" s="2" t="n">
        <v>136</v>
      </c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2026Q2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n">
        <v>123671</v>
      </c>
      <c r="AK1400" s="2" t="n">
        <v>26027</v>
      </c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2026Q2</t>
        </is>
      </c>
      <c r="E1401" t="inlineStr">
        <is>
          <t>2023Q4, 2026Q2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3" t="n">
        <v>102073</v>
      </c>
      <c r="AK1401" s="3" t="n">
        <v>7942</v>
      </c>
      <c r="AL1401" s="3" t="n">
        <v>18406</v>
      </c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2026Q2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n">
        <v>972</v>
      </c>
      <c r="AK1402" s="2" t="n">
        <v>-10496</v>
      </c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2026Q2</t>
        </is>
      </c>
      <c r="E1403" t="inlineStr">
        <is>
          <t>2023Q4, 2026Q2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3" t="n">
        <v>190878</v>
      </c>
      <c r="AK1403" s="3" t="n">
        <v>3808</v>
      </c>
      <c r="AL1403" s="3" t="n">
        <v>1117</v>
      </c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25955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2026Q2</t>
        </is>
      </c>
      <c r="E1412" t="inlineStr">
        <is>
          <t>2026Q2</t>
        </is>
      </c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3" t="n">
        <v>31840</v>
      </c>
      <c r="AK1412" s="3" t="n">
        <v>15444</v>
      </c>
      <c r="AL1412" s="3" t="n">
        <v>7802</v>
      </c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2026Q2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n">
        <v>729908</v>
      </c>
      <c r="AK1415" s="2" t="n">
        <v>64853</v>
      </c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2026Q2</t>
        </is>
      </c>
      <c r="E1416" t="inlineStr">
        <is>
          <t>2026Q2</t>
        </is>
      </c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3" t="n">
        <v>294668</v>
      </c>
      <c r="AK1416" s="3" t="n">
        <v>2188</v>
      </c>
      <c r="AL1416" s="3" t="n">
        <v>793</v>
      </c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2026Q2</t>
        </is>
      </c>
      <c r="E1418" t="inlineStr">
        <is>
          <t>2026Q2</t>
        </is>
      </c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3" t="n">
        <v>30185</v>
      </c>
      <c r="AK1418" s="3" t="n">
        <v>795</v>
      </c>
      <c r="AL1418" s="3" t="n">
        <v>127</v>
      </c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2026Q2</t>
        </is>
      </c>
      <c r="E1420" t="inlineStr">
        <is>
          <t>2023Q4, 2026Q2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3" t="n">
        <v>7362113</v>
      </c>
      <c r="AK1420" s="3" t="n">
        <v>257575</v>
      </c>
      <c r="AL1420" s="3" t="n">
        <v>-3877</v>
      </c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2" t="n">
        <v>51141</v>
      </c>
      <c r="AK1427" s="2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2026Q2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n">
        <v>9041</v>
      </c>
      <c r="AK1432" s="2" t="n">
        <v>995</v>
      </c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2026Q1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n">
        <v>20455</v>
      </c>
      <c r="AH1433" s="2" t="n">
        <v>276</v>
      </c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2026Q2</t>
        </is>
      </c>
      <c r="E1435" t="inlineStr">
        <is>
          <t>2026Q2</t>
        </is>
      </c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3" t="n">
        <v>170484</v>
      </c>
      <c r="AK1435" s="3" t="n">
        <v>19344</v>
      </c>
      <c r="AL1435" s="3" t="n">
        <v>13789</v>
      </c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2026Q2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n">
        <v>5034</v>
      </c>
      <c r="AK1437" s="2" t="n">
        <v>-3060</v>
      </c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2026Q2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n">
        <v>86097</v>
      </c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/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2" t="n">
        <v>108056</v>
      </c>
      <c r="AK1444" s="2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2026Q2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n">
        <v>332794</v>
      </c>
      <c r="AK1450" s="2" t="n">
        <v>8353</v>
      </c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/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2" t="n">
        <v>66415</v>
      </c>
      <c r="AK1454" s="2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2026Q2</t>
        </is>
      </c>
      <c r="E1458" t="inlineStr">
        <is>
          <t>2023Q4, 2026Q2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3" t="n">
        <v>33703</v>
      </c>
      <c r="AK1458" s="3" t="n">
        <v>-15429</v>
      </c>
      <c r="AL1458" s="3" t="n">
        <v>-14377</v>
      </c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2026Q2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n">
        <v>179011</v>
      </c>
      <c r="AK1465" s="2" t="n">
        <v>27255</v>
      </c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2026Q2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n">
        <v>637385</v>
      </c>
      <c r="AK1469" s="2" t="n">
        <v>71962</v>
      </c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2026Q2</t>
        </is>
      </c>
      <c r="E1472" t="inlineStr">
        <is>
          <t>2023Q4, 2026Q2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3" t="n">
        <v>10597</v>
      </c>
      <c r="AK1472" s="3" t="n">
        <v>496</v>
      </c>
      <c r="AL1472" s="3" t="n">
        <v>240</v>
      </c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2026Q2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n">
        <v>129538</v>
      </c>
      <c r="AK1474" s="2" t="n">
        <v>21469</v>
      </c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2026Q2</t>
        </is>
      </c>
      <c r="E1478" t="inlineStr">
        <is>
          <t>2023Q4, 2026Q2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3" t="n">
        <v>92297</v>
      </c>
      <c r="AK1478" s="3" t="n">
        <v>14583</v>
      </c>
      <c r="AL1478" s="3" t="n">
        <v>13190</v>
      </c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2026Q2</t>
        </is>
      </c>
      <c r="E1483" t="inlineStr">
        <is>
          <t>2026Q2</t>
        </is>
      </c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3" t="n">
        <v>39520</v>
      </c>
      <c r="AK1483" s="3" t="n">
        <v>3807</v>
      </c>
      <c r="AL1483" s="3" t="n">
        <v>3488</v>
      </c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2026Q2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n">
        <v>36611</v>
      </c>
      <c r="AK1484" s="2" t="n">
        <v>6320</v>
      </c>
      <c r="AL1484" s="3" t="n">
        <v>7541</v>
      </c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2026Q2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n">
        <v>17379</v>
      </c>
      <c r="AK1491" s="2" t="n">
        <v>867</v>
      </c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2026Q2</t>
        </is>
      </c>
      <c r="E1500" t="inlineStr">
        <is>
          <t>2023Q4, 2026Q2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3" t="n">
        <v>6579</v>
      </c>
      <c r="AK1500" s="3" t="n">
        <v>1259</v>
      </c>
      <c r="AL1500" s="3" t="n">
        <v>1883</v>
      </c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2026Q2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n">
        <v>2911</v>
      </c>
      <c r="AK1504" s="2" t="n">
        <v>393</v>
      </c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2026Q2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n">
        <v>3403</v>
      </c>
      <c r="AK1506" s="2" t="n">
        <v>81</v>
      </c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2026Q2</t>
        </is>
      </c>
      <c r="E1514" t="inlineStr">
        <is>
          <t>2023Q4, 2026Q2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3" t="n">
        <v>108274</v>
      </c>
      <c r="AK1514" s="3" t="n">
        <v>-20962</v>
      </c>
      <c r="AL1514" s="3" t="n">
        <v>3457</v>
      </c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2026Q2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n">
        <v>27065</v>
      </c>
      <c r="AK1515" s="2" t="n">
        <v>2121</v>
      </c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2026Q2</t>
        </is>
      </c>
      <c r="E1516" t="inlineStr">
        <is>
          <t>2026Q2</t>
        </is>
      </c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3" t="n">
        <v>686396</v>
      </c>
      <c r="AK1516" s="3" t="n">
        <v>86031</v>
      </c>
      <c r="AL1516" s="3" t="n">
        <v>61062</v>
      </c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2026Q2</t>
        </is>
      </c>
      <c r="E1518" t="inlineStr">
        <is>
          <t>2023Q4, 2026Q2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3" t="n">
        <v>120451</v>
      </c>
      <c r="AK1518" s="3" t="n">
        <v>20835</v>
      </c>
      <c r="AL1518" s="3" t="n">
        <v>18015</v>
      </c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/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2" t="n">
        <v>53738</v>
      </c>
      <c r="AK1522" s="2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2026Q2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n">
        <v>58660</v>
      </c>
      <c r="AK1523" s="2" t="n">
        <v>6815</v>
      </c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2026Q2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n">
        <v>12558</v>
      </c>
      <c r="AK1528" s="2" t="n">
        <v>-4732</v>
      </c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2026Q2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n">
        <v>20999</v>
      </c>
      <c r="AK1535" s="2" t="n">
        <v>-1158</v>
      </c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2026Q2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n">
        <v>8761</v>
      </c>
      <c r="AK1537" s="2" t="n">
        <v>796</v>
      </c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2026Q2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n">
        <v>186411</v>
      </c>
      <c r="AK1538" s="2" t="n">
        <v>18313</v>
      </c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2026Q2</t>
        </is>
      </c>
      <c r="E1540" t="inlineStr">
        <is>
          <t>2026Q2</t>
        </is>
      </c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3" t="n">
        <v>29448</v>
      </c>
      <c r="AK1540" s="3" t="n">
        <v>5984</v>
      </c>
      <c r="AL1540" s="3" t="n">
        <v>4777</v>
      </c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2026Q2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n">
        <v>66496</v>
      </c>
      <c r="AK1543" s="2" t="n">
        <v>10160</v>
      </c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2026Q2</t>
        </is>
      </c>
      <c r="E1545" t="inlineStr">
        <is>
          <t>2023Q4, 2026Q2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3" t="n">
        <v>1356513</v>
      </c>
      <c r="AK1545" s="3" t="n">
        <v>98748</v>
      </c>
      <c r="AL1545" s="3" t="n">
        <v>65998</v>
      </c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2026Q2</t>
        </is>
      </c>
      <c r="E1548" t="inlineStr">
        <is>
          <t>2026Q2</t>
        </is>
      </c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3" t="n">
        <v>36548</v>
      </c>
      <c r="AK1548" s="3" t="n">
        <v>5340</v>
      </c>
      <c r="AL1548" s="3" t="n">
        <v>6049</v>
      </c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2026Q2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n">
        <v>2223</v>
      </c>
      <c r="AK1551" s="2" t="n">
        <v>-879</v>
      </c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2026Q2</t>
        </is>
      </c>
      <c r="E1557" t="inlineStr">
        <is>
          <t>2026Q2</t>
        </is>
      </c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3" t="n">
        <v>127760</v>
      </c>
      <c r="AK1557" s="3" t="n">
        <v>10968</v>
      </c>
      <c r="AL1557" s="3" t="n">
        <v>7545</v>
      </c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2026Q2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n">
        <v>81310</v>
      </c>
      <c r="AK1559" s="2" t="n">
        <v>-1844</v>
      </c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2026Q2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n">
        <v>49210</v>
      </c>
      <c r="AK1562" s="2" t="n">
        <v>9987</v>
      </c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2026Q2</t>
        </is>
      </c>
      <c r="E1564" t="inlineStr">
        <is>
          <t>2023Q4, 2026Q2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3" t="n">
        <v>32192</v>
      </c>
      <c r="AK1564" s="3" t="n">
        <v>2595</v>
      </c>
      <c r="AL1564" s="3" t="n">
        <v>3628</v>
      </c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2026Q2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n">
        <v>21048</v>
      </c>
      <c r="AK1566" s="2" t="n">
        <v>-316</v>
      </c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2026Q2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n">
        <v>2292427</v>
      </c>
      <c r="AK1572" s="2" t="n">
        <v>8294</v>
      </c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2026Q2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n">
        <v>17996</v>
      </c>
      <c r="AK1583" s="2" t="n">
        <v>4410</v>
      </c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2026Q2</t>
        </is>
      </c>
      <c r="E1589" t="inlineStr">
        <is>
          <t>2026Q2</t>
        </is>
      </c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3" t="n">
        <v>122814</v>
      </c>
      <c r="AK1589" s="3" t="n">
        <v>11786</v>
      </c>
      <c r="AL1589" s="3" t="n">
        <v>9299</v>
      </c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2026Q2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n">
        <v>19169</v>
      </c>
      <c r="AK1598" s="2" t="n">
        <v>558</v>
      </c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2026Q2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n">
        <v>425794</v>
      </c>
      <c r="AK1617" s="2" t="n">
        <v>17305</v>
      </c>
      <c r="AL1617" s="3" t="n">
        <v>8921</v>
      </c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2026Q2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n">
        <v>541130</v>
      </c>
      <c r="AK1618" s="2" t="n">
        <v>43399</v>
      </c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2" t="n">
        <v>20569</v>
      </c>
      <c r="AK1619" s="2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2026Q2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n">
        <v>117574</v>
      </c>
      <c r="AK1622" s="2" t="n">
        <v>3697</v>
      </c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2026Q2</t>
        </is>
      </c>
      <c r="E1625" t="inlineStr">
        <is>
          <t>2023Q4, 2025Q4, 2026Q2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3" t="n">
        <v>16163062</v>
      </c>
      <c r="AK1625" s="3" t="n">
        <v>245738</v>
      </c>
      <c r="AL1625" s="3" t="n">
        <v>259743</v>
      </c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2026Q2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n">
        <v>16992</v>
      </c>
      <c r="AK1626" s="2" t="n">
        <v>1203</v>
      </c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6915000</v>
      </c>
      <c r="AK1632" s="3" t="n">
        <v>-43000</v>
      </c>
      <c r="AL1632" s="3" t="n">
        <v>-136800</v>
      </c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2026Q2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n">
        <v>125313</v>
      </c>
      <c r="AK1638" s="2" t="n">
        <v>3231</v>
      </c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2026Q2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n">
        <v>35192</v>
      </c>
      <c r="AK1648" s="2" t="n">
        <v>6443</v>
      </c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2026Q2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n">
        <v>2362</v>
      </c>
      <c r="AK1655" s="2" t="n">
        <v>1059</v>
      </c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2026Q2</t>
        </is>
      </c>
      <c r="E1656" t="inlineStr">
        <is>
          <t>2023Q4, 2026Q2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3" t="n">
        <v>89346</v>
      </c>
      <c r="AK1656" s="3" t="n">
        <v>14688</v>
      </c>
      <c r="AL1656" s="3" t="n">
        <v>13890</v>
      </c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2026Q2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n">
        <v>18475</v>
      </c>
      <c r="AK1660" s="2" t="n">
        <v>1256</v>
      </c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2026Q2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n">
        <v>4738</v>
      </c>
      <c r="AK1663" s="2" t="n">
        <v>-921</v>
      </c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2026Q2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n">
        <v>4277</v>
      </c>
      <c r="AK1664" s="2" t="n">
        <v>-27</v>
      </c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2" t="n">
        <v>13128</v>
      </c>
      <c r="AK1668" s="2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2026Q2</t>
        </is>
      </c>
      <c r="E1669" t="inlineStr">
        <is>
          <t>2026Q2</t>
        </is>
      </c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3" t="n">
        <v>2150309</v>
      </c>
      <c r="AK1669" s="3" t="n">
        <v>51655</v>
      </c>
      <c r="AL1669" s="3" t="n">
        <v>112761</v>
      </c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2026Q2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n">
        <v>3454</v>
      </c>
      <c r="AK1670" s="2" t="n">
        <v>-555</v>
      </c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2026Q2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n">
        <v>31714</v>
      </c>
      <c r="AK1680" s="2" t="n">
        <v>4420</v>
      </c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2026Q2</t>
        </is>
      </c>
      <c r="E1687" t="inlineStr">
        <is>
          <t>2023Q4, 2026Q2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3" t="n">
        <v>5682494</v>
      </c>
      <c r="AK1687" s="3" t="n">
        <v>559087</v>
      </c>
      <c r="AL1687" s="3" t="n">
        <v>317249</v>
      </c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2026Q2</t>
        </is>
      </c>
      <c r="E1689" t="inlineStr">
        <is>
          <t>2023Q4, 2026Q2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3" t="n">
        <v>861277</v>
      </c>
      <c r="AK1689" s="3" t="n">
        <v>110341</v>
      </c>
      <c r="AL1689" s="3" t="n">
        <v>70615</v>
      </c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2026Q2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n">
        <v>7631</v>
      </c>
      <c r="AK1691" s="2" t="n">
        <v>825</v>
      </c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2026Q2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n">
        <v>90087</v>
      </c>
      <c r="AK1694" s="2" t="n">
        <v>26016</v>
      </c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2026Q2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n">
        <v>85516</v>
      </c>
      <c r="AK1699" s="2" t="n">
        <v>6264</v>
      </c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2026Q2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n">
        <v>140878</v>
      </c>
      <c r="AK1702" s="2" t="n">
        <v>23201</v>
      </c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2026Q2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n">
        <v>1684</v>
      </c>
      <c r="AK1709" s="2" t="n">
        <v>-6255</v>
      </c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2026Q2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n">
        <v>483</v>
      </c>
      <c r="AK1718" s="2" t="n">
        <v>-1164</v>
      </c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2026Q2</t>
        </is>
      </c>
      <c r="E1725" t="inlineStr">
        <is>
          <t>2023Q4, 2026Q2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3" t="n">
        <v>757918</v>
      </c>
      <c r="AK1725" s="3" t="n">
        <v>57905</v>
      </c>
      <c r="AL1725" s="3" t="n">
        <v>29075</v>
      </c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2026Q2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n">
        <v>21549</v>
      </c>
      <c r="AK1726" s="2" t="n">
        <v>-2039</v>
      </c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2026Q2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n">
        <v>2138</v>
      </c>
      <c r="AK1727" s="2" t="n">
        <v>-130</v>
      </c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2026Q2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n">
        <v>11333</v>
      </c>
      <c r="AK1737" s="2" t="n">
        <v>959</v>
      </c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2026Q2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n">
        <v>3813</v>
      </c>
      <c r="AK1742" s="2" t="n">
        <v>-405</v>
      </c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2026Q2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n">
        <v>2014</v>
      </c>
      <c r="AK1744" s="2" t="n">
        <v>-2720</v>
      </c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2026Q2</t>
        </is>
      </c>
      <c r="E1747" t="inlineStr">
        <is>
          <t>2023Q4, 2026Q2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3" t="n">
        <v>26092</v>
      </c>
      <c r="AK1747" s="3" t="n">
        <v>1428</v>
      </c>
      <c r="AL1747" s="3" t="n">
        <v>492</v>
      </c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2026Q2</t>
        </is>
      </c>
      <c r="E1752" t="inlineStr">
        <is>
          <t>2023Q4, 2026Q2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3" t="n">
        <v>210629</v>
      </c>
      <c r="AK1752" s="3" t="n">
        <v>70072</v>
      </c>
      <c r="AL1752" s="3" t="n">
        <v>65033</v>
      </c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2026Q2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n">
        <v>794891</v>
      </c>
      <c r="AK1759" s="2" t="n">
        <v>73735</v>
      </c>
      <c r="AL1759" s="3" t="n">
        <v>50009</v>
      </c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2026Q2</t>
        </is>
      </c>
      <c r="E1762" t="inlineStr">
        <is>
          <t>2026Q2</t>
        </is>
      </c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3" t="n">
        <v>52668</v>
      </c>
      <c r="AK1762" s="3" t="n">
        <v>-15975</v>
      </c>
      <c r="AL1762" s="3" t="n">
        <v>-14959</v>
      </c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2026Q2</t>
        </is>
      </c>
      <c r="E1768" t="inlineStr">
        <is>
          <t>2026Q2</t>
        </is>
      </c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3" t="n">
        <v>68894</v>
      </c>
      <c r="AK1768" s="3" t="n">
        <v>34180</v>
      </c>
      <c r="AL1768" s="3" t="n">
        <v>29989</v>
      </c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2026Q2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n">
        <v>1259</v>
      </c>
      <c r="AK1769" s="2" t="n">
        <v>-1382</v>
      </c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2026Q2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n">
        <v>63405</v>
      </c>
      <c r="AK1770" s="2" t="n">
        <v>99</v>
      </c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2026Q2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n">
        <v>72554</v>
      </c>
      <c r="AK1776" s="2" t="n">
        <v>2604</v>
      </c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/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2" t="n">
        <v>8495</v>
      </c>
      <c r="AK1780" s="2" t="n">
        <v>76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2026Q2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n">
        <v>20958</v>
      </c>
      <c r="AK1789" s="2" t="n">
        <v>147</v>
      </c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2026Q2</t>
        </is>
      </c>
      <c r="E1791" t="inlineStr">
        <is>
          <t>2023Q4, 2026Q2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3" t="n">
        <v>24851</v>
      </c>
      <c r="AK1791" s="3" t="n">
        <v>4765</v>
      </c>
      <c r="AL1791" s="3" t="n">
        <v>4340</v>
      </c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2026Q2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n">
        <v>9702</v>
      </c>
      <c r="AK1801" s="2" t="n">
        <v>231</v>
      </c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2026Q2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n">
        <v>33220</v>
      </c>
      <c r="AK1808" s="2" t="n">
        <v>8577</v>
      </c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2026Q2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n">
        <v>37906</v>
      </c>
      <c r="AK1815" s="2" t="n">
        <v>739</v>
      </c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2026Q2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n">
        <v>115861</v>
      </c>
      <c r="AK1819" s="2" t="n">
        <v>10531</v>
      </c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2026Q2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n">
        <v>16850</v>
      </c>
      <c r="AK1824" s="2" t="n">
        <v>2073</v>
      </c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n">
        <v>94585</v>
      </c>
      <c r="AK1825" s="2" t="n">
        <v>18499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2" t="n">
        <v>592743</v>
      </c>
      <c r="AK1826" s="2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2026Q2</t>
        </is>
      </c>
      <c r="E1827" t="inlineStr">
        <is>
          <t>2023Q4, 2026Q2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3" t="n">
        <v>105515</v>
      </c>
      <c r="AK1827" s="3" t="n">
        <v>43941</v>
      </c>
      <c r="AL1827" s="3" t="n">
        <v>25521</v>
      </c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2026Q2</t>
        </is>
      </c>
      <c r="E1828" t="inlineStr">
        <is>
          <t>2026Q2</t>
        </is>
      </c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3" t="n">
        <v>102829</v>
      </c>
      <c r="AK1828" s="3" t="n">
        <v>12880</v>
      </c>
      <c r="AL1828" s="3" t="n">
        <v>8921</v>
      </c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2026Q2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n">
        <v>93992</v>
      </c>
      <c r="AK1832" s="2" t="n">
        <v>2539</v>
      </c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/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2" t="n">
        <v>39476</v>
      </c>
      <c r="AK1836" s="2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2026Q2</t>
        </is>
      </c>
      <c r="E1837" t="inlineStr">
        <is>
          <t>2026Q2</t>
        </is>
      </c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3" t="n">
        <v>178705</v>
      </c>
      <c r="AK1837" s="3" t="n">
        <v>66470</v>
      </c>
      <c r="AL1837" s="3" t="n">
        <v>56229</v>
      </c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2026Q2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n">
        <v>37004</v>
      </c>
      <c r="AK1839" s="2" t="n">
        <v>1866</v>
      </c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2026Q2</t>
        </is>
      </c>
      <c r="E1843" t="inlineStr">
        <is>
          <t>2023Q4, 2026Q2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3" t="n">
        <v>204743</v>
      </c>
      <c r="AK1843" s="3" t="n">
        <v>28412</v>
      </c>
      <c r="AL1843" s="3" t="n">
        <v>21416</v>
      </c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/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2" t="n">
        <v>13220</v>
      </c>
      <c r="AK1846" s="2" t="n">
        <v>1169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2026Q2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n">
        <v>11712</v>
      </c>
      <c r="AK1849" s="2" t="n">
        <v>2825</v>
      </c>
      <c r="AL1849" s="3" t="n">
        <v>2648</v>
      </c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2026Q2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n">
        <v>23289</v>
      </c>
      <c r="AK1851" s="2" t="n">
        <v>4174</v>
      </c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2026Q2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n">
        <v>6834</v>
      </c>
      <c r="AK1853" s="2" t="n">
        <v>-1216</v>
      </c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2026Q2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n">
        <v>6296</v>
      </c>
      <c r="AK1854" s="2" t="n">
        <v>-1390</v>
      </c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2026Q2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n">
        <v>642</v>
      </c>
      <c r="AK1857" s="2" t="n">
        <v>-6062</v>
      </c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2026Q2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n">
        <v>23956</v>
      </c>
      <c r="AK1867" s="2" t="n">
        <v>3584</v>
      </c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2026Q2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n">
        <v>25166</v>
      </c>
      <c r="AK1869" s="2" t="n">
        <v>2293</v>
      </c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2026Q2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n">
        <v>102264</v>
      </c>
      <c r="AK1871" s="2" t="n">
        <v>8473</v>
      </c>
      <c r="AL1871" s="3" t="n">
        <v>30311</v>
      </c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별도</t>
        </is>
      </c>
      <c r="D1872" t="inlineStr">
        <is>
          <t>2026Q2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n">
        <v>69014</v>
      </c>
      <c r="AK1872" s="2" t="n">
        <v>13557</v>
      </c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2026Q2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n">
        <v>3956</v>
      </c>
      <c r="AK1873" s="2" t="n">
        <v>-220</v>
      </c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/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2" t="n">
        <v>514565</v>
      </c>
      <c r="AK1876" s="2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2026Q2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n">
        <v>20011</v>
      </c>
      <c r="AK1878" s="2" t="n">
        <v>2267</v>
      </c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2026Q2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n">
        <v>41454</v>
      </c>
      <c r="AK1886" s="2" t="n">
        <v>10654</v>
      </c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2026Q2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n">
        <v>28106</v>
      </c>
      <c r="AK1892" s="2" t="n">
        <v>4835</v>
      </c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2026Q2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n">
        <v>74648</v>
      </c>
      <c r="AK1896" s="2" t="n">
        <v>7534</v>
      </c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2026Q2</t>
        </is>
      </c>
      <c r="E1901" t="inlineStr">
        <is>
          <t>2023Q4, 2026Q2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3" t="n">
        <v>36458</v>
      </c>
      <c r="AK1901" s="3" t="n">
        <v>2512</v>
      </c>
      <c r="AL1901" s="3" t="n">
        <v>2567</v>
      </c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2026Q2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n">
        <v>2989</v>
      </c>
      <c r="AK1902" s="2" t="n">
        <v>-702</v>
      </c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2" t="n">
        <v>18216</v>
      </c>
      <c r="AK1907" s="2" t="n">
        <v>450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2026Q2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n">
        <v>64650</v>
      </c>
      <c r="AK1908" s="2" t="n">
        <v>-918</v>
      </c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2026Q2</t>
        </is>
      </c>
      <c r="E1910" t="inlineStr">
        <is>
          <t>2026Q2</t>
        </is>
      </c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3" t="n">
        <v>56728</v>
      </c>
      <c r="AK1910" s="3" t="n">
        <v>7842</v>
      </c>
      <c r="AL1910" s="3" t="n">
        <v>5954</v>
      </c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2026Q2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n">
        <v>1049</v>
      </c>
      <c r="AK1916" s="2" t="n">
        <v>-3632</v>
      </c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/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2" t="n">
        <v>40339</v>
      </c>
      <c r="AK1917" s="2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/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2" t="n">
        <v>486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2026Q2</t>
        </is>
      </c>
      <c r="E1922" t="inlineStr">
        <is>
          <t>2023Q4, 2026Q2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3" t="n">
        <v>86805</v>
      </c>
      <c r="AK1922" s="3" t="n">
        <v>11617</v>
      </c>
      <c r="AL1922" s="3" t="n">
        <v>13721</v>
      </c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2026Q2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n">
        <v>-3358</v>
      </c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/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2" t="n">
        <v>1630</v>
      </c>
      <c r="AK1934" s="2" t="n">
        <v>195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2026Q2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n">
        <v>397514</v>
      </c>
      <c r="AK1935" s="2" t="n">
        <v>7290</v>
      </c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2026Q2</t>
        </is>
      </c>
      <c r="E1937" t="inlineStr">
        <is>
          <t>2023Q4, 2026Q2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3" t="n">
        <v>226080</v>
      </c>
      <c r="AK1937" s="3" t="n">
        <v>32057</v>
      </c>
      <c r="AL1937" s="3" t="n">
        <v>20293</v>
      </c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2026Q2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n">
        <v>35483</v>
      </c>
      <c r="AK1942" s="2" t="n">
        <v>343</v>
      </c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2026Q2</t>
        </is>
      </c>
      <c r="E1943" t="inlineStr">
        <is>
          <t>2023Q4, 2026Q2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3" t="n">
        <v>146981</v>
      </c>
      <c r="AK1943" s="3" t="n">
        <v>2927</v>
      </c>
      <c r="AL1943" s="3" t="n">
        <v>-1077</v>
      </c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2026Q2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n">
        <v>7094</v>
      </c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2026Q2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n">
        <v>401</v>
      </c>
      <c r="AK1960" s="2" t="n">
        <v>-694</v>
      </c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2026Q2</t>
        </is>
      </c>
      <c r="E1966" t="inlineStr">
        <is>
          <t>2026Q2</t>
        </is>
      </c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3" t="n">
        <v>116844</v>
      </c>
      <c r="AK1966" s="3" t="n">
        <v>21651</v>
      </c>
      <c r="AL1966" s="3" t="n">
        <v>21055</v>
      </c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2026Q2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n">
        <v>340148</v>
      </c>
      <c r="AK1973" s="2" t="n">
        <v>28153</v>
      </c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2026Q2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n">
        <v>7195</v>
      </c>
      <c r="AK1980" s="2" t="n">
        <v>707</v>
      </c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2026Q2</t>
        </is>
      </c>
      <c r="E1981" t="inlineStr">
        <is>
          <t>2026Q2</t>
        </is>
      </c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3" t="n">
        <v>402597</v>
      </c>
      <c r="AK1981" s="3" t="n">
        <v>82970</v>
      </c>
      <c r="AL1981" s="3" t="n">
        <v>72331</v>
      </c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2026Q2</t>
        </is>
      </c>
      <c r="E1988" t="inlineStr">
        <is>
          <t>2026Q2</t>
        </is>
      </c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3" t="n">
        <v>28963</v>
      </c>
      <c r="AK1988" s="3" t="n">
        <v>469</v>
      </c>
      <c r="AL1988" s="3" t="n">
        <v>-1927</v>
      </c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2026Q2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n">
        <v>32136</v>
      </c>
      <c r="AK1990" s="2" t="n">
        <v>2649</v>
      </c>
      <c r="AL1990" s="3" t="n">
        <v>3819</v>
      </c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2026Q2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n">
        <v>10346</v>
      </c>
      <c r="AK1994" s="2" t="n">
        <v>870</v>
      </c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2026Q2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n">
        <v>48051</v>
      </c>
      <c r="AK1995" s="2" t="n">
        <v>5189</v>
      </c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2026Q2</t>
        </is>
      </c>
      <c r="E2001" t="inlineStr">
        <is>
          <t>2023Q4, 2026Q2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3" t="n">
        <v>192611</v>
      </c>
      <c r="AK2001" s="3" t="n">
        <v>67625</v>
      </c>
      <c r="AL2001" s="3" t="n">
        <v>99542</v>
      </c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2026Q2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n">
        <v>34861</v>
      </c>
      <c r="AK2004" s="2" t="n">
        <v>199</v>
      </c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2026Q2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n">
        <v>72301</v>
      </c>
      <c r="AK2008" s="2" t="n">
        <v>9328</v>
      </c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2026Q2</t>
        </is>
      </c>
      <c r="E2011" t="inlineStr">
        <is>
          <t>2023Q4, 2026Q2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3" t="n">
        <v>162844</v>
      </c>
      <c r="AK2011" s="3" t="n">
        <v>9595</v>
      </c>
      <c r="AL2011" s="3" t="n">
        <v>9495</v>
      </c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2026Q2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n">
        <v>26884</v>
      </c>
      <c r="AK2013" s="2" t="n">
        <v>4998</v>
      </c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2026Q2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n">
        <v>15120</v>
      </c>
      <c r="AK2020" s="2" t="n">
        <v>1495</v>
      </c>
      <c r="AL2020" s="3" t="n">
        <v>4381</v>
      </c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2026Q2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n">
        <v>45048</v>
      </c>
      <c r="AK2021" s="2" t="n">
        <v>2257</v>
      </c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2026Q2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n">
        <v>3368</v>
      </c>
      <c r="AK2025" s="2" t="n">
        <v>-1325</v>
      </c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2026Q2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n">
        <v>25882</v>
      </c>
      <c r="AK2030" s="2" t="n">
        <v>-646</v>
      </c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2026Q2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n">
        <v>34351</v>
      </c>
      <c r="AK2032" s="2" t="n">
        <v>6262</v>
      </c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2" t="n">
        <v>1117552</v>
      </c>
      <c r="AK2033" s="2" t="n">
        <v>103652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2026Q2</t>
        </is>
      </c>
      <c r="E2035" t="inlineStr">
        <is>
          <t>2026Q2</t>
        </is>
      </c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3" t="n">
        <v>360298</v>
      </c>
      <c r="AK2035" s="3" t="n">
        <v>-73103</v>
      </c>
      <c r="AL2035" s="3" t="n">
        <v>-67544</v>
      </c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2026Q2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n">
        <v>12716</v>
      </c>
      <c r="AK2037" s="2" t="n">
        <v>2861</v>
      </c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2026Q2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n">
        <v>2794</v>
      </c>
      <c r="AK2052" s="2" t="n">
        <v>-2061</v>
      </c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2026Q2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n">
        <v>1155748</v>
      </c>
      <c r="AK2053" s="2" t="n">
        <v>64709</v>
      </c>
      <c r="AL2053" s="3" t="n">
        <v>36082</v>
      </c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2026Q2</t>
        </is>
      </c>
      <c r="E2054" t="inlineStr">
        <is>
          <t>2023Q4, 2026Q2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3" t="n">
        <v>37206</v>
      </c>
      <c r="AK2054" s="3" t="n">
        <v>6080</v>
      </c>
      <c r="AL2054" s="3" t="n">
        <v>2630</v>
      </c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/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2" t="n">
        <v>112689</v>
      </c>
      <c r="AK2055" s="2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2026Q2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n">
        <v>84211</v>
      </c>
      <c r="AK2057" s="2" t="n">
        <v>1799</v>
      </c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2026Q2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n">
        <v>745120</v>
      </c>
      <c r="AK2061" s="2" t="n">
        <v>32349</v>
      </c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2026Q2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n">
        <v>8593</v>
      </c>
      <c r="AK2063" s="2" t="n">
        <v>79</v>
      </c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2" t="n">
        <v>274496</v>
      </c>
      <c r="AK2065" s="2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2026Q2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n">
        <v>19285</v>
      </c>
      <c r="AK2071" s="2" t="n">
        <v>1652</v>
      </c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2026Q1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n">
        <v>9149</v>
      </c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2026Q2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n">
        <v>7749</v>
      </c>
      <c r="AK2074" s="2" t="n">
        <v>-707</v>
      </c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2026Q2</t>
        </is>
      </c>
      <c r="E2081" t="inlineStr">
        <is>
          <t>2026Q2</t>
        </is>
      </c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3" t="n">
        <v>38785</v>
      </c>
      <c r="AK2081" s="3" t="n">
        <v>8580</v>
      </c>
      <c r="AL2081" s="3" t="n">
        <v>-28123</v>
      </c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2026Q2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n">
        <v>-1899</v>
      </c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2026Q2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n">
        <v>1559</v>
      </c>
      <c r="AK2089" s="2" t="n">
        <v>-477</v>
      </c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2" t="n">
        <v>75021</v>
      </c>
      <c r="AK2091" s="2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2026Q2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n">
        <v>1198</v>
      </c>
      <c r="AK2098" s="2" t="n">
        <v>-1606</v>
      </c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2" t="n">
        <v>871289</v>
      </c>
      <c r="AK2105" s="2" t="n">
        <v>170771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2" t="n">
        <v>2416151</v>
      </c>
      <c r="AK2106" s="2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2" t="n">
        <v>1686978</v>
      </c>
      <c r="AK2107" s="2" t="n">
        <v>264286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2026Q2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n">
        <v>19704</v>
      </c>
      <c r="AK2110" s="2" t="n">
        <v>-16810</v>
      </c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/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2" t="n">
        <v>235319</v>
      </c>
      <c r="AK2112" s="2" t="n">
        <v>-35515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2026Q2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n">
        <v>2755</v>
      </c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2026Q2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n">
        <v>8106</v>
      </c>
      <c r="AK2118" s="2" t="n">
        <v>1398</v>
      </c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64079</v>
      </c>
      <c r="AK2119" s="3" t="n">
        <v>-495</v>
      </c>
      <c r="AL2119" s="3" t="n">
        <v>140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2026Q2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n">
        <v>155705</v>
      </c>
      <c r="AK2123" s="2" t="n">
        <v>-15738</v>
      </c>
      <c r="AL2123" s="3" t="n">
        <v>-14086</v>
      </c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2026Q2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n">
        <v>7369</v>
      </c>
      <c r="AK2124" s="2" t="n">
        <v>945</v>
      </c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/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2" t="n">
        <v>5347</v>
      </c>
      <c r="AK2126" s="2" t="n">
        <v>1637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2026Q2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n">
        <v>34007</v>
      </c>
      <c r="AK2135" s="2" t="n">
        <v>2580</v>
      </c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2026Q2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n">
        <v>24870</v>
      </c>
      <c r="AK2136" s="2" t="n">
        <v>2763</v>
      </c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2026Q2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n">
        <v>40484</v>
      </c>
      <c r="AK2138" s="2" t="n">
        <v>1496</v>
      </c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별도</t>
        </is>
      </c>
      <c r="D2139" t="inlineStr">
        <is>
          <t>2026Q2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n">
        <v>2726</v>
      </c>
      <c r="AK2139" s="2" t="n">
        <v>-882</v>
      </c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2026Q2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n">
        <v>1046</v>
      </c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2026Q2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n">
        <v>472</v>
      </c>
      <c r="AK2145" s="2" t="n">
        <v>-2642</v>
      </c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2026Q2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n">
        <v>17374</v>
      </c>
      <c r="AK2152" s="2" t="n">
        <v>3394</v>
      </c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7897</v>
      </c>
      <c r="AK2163" s="3" t="n">
        <v>290</v>
      </c>
      <c r="AL2163" s="3" t="n">
        <v>-131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/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2" t="n">
        <v>76106</v>
      </c>
      <c r="AK2166" s="2" t="n">
        <v>27612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2026Q2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n">
        <v>2383</v>
      </c>
      <c r="AK2174" s="2" t="n">
        <v>-162</v>
      </c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2026Q2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n">
        <v>28450</v>
      </c>
      <c r="AK2175" s="2" t="n">
        <v>4203</v>
      </c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2026Q2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n">
        <v>8964</v>
      </c>
      <c r="AK2182" s="2" t="n">
        <v>1231</v>
      </c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2026Q2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n">
        <v>30518</v>
      </c>
      <c r="AK2191" s="2" t="n">
        <v>3118</v>
      </c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2026Q2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n">
        <v>21814</v>
      </c>
      <c r="AK2197" s="2" t="n">
        <v>-15369</v>
      </c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2026Q2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n">
        <v>19904</v>
      </c>
      <c r="AK2198" s="2" t="n">
        <v>-798</v>
      </c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2026Q2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n">
        <v>12413</v>
      </c>
      <c r="AK2205" s="2" t="n">
        <v>1742</v>
      </c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/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2" t="n">
        <v>44259</v>
      </c>
      <c r="AK2219" s="2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2026Q2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n">
        <v>178757</v>
      </c>
      <c r="AK2222" s="2" t="n">
        <v>299</v>
      </c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2026Q2</t>
        </is>
      </c>
      <c r="E2227" t="inlineStr">
        <is>
          <t>2026Q2</t>
        </is>
      </c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3" t="n">
        <v>132273</v>
      </c>
      <c r="AK2227" s="3" t="n">
        <v>7848</v>
      </c>
      <c r="AL2227" s="3" t="n">
        <v>5193</v>
      </c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2026Q2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n">
        <v>21810</v>
      </c>
      <c r="AK2247" s="2" t="n">
        <v>-2014</v>
      </c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2026Q2</t>
        </is>
      </c>
      <c r="E2258" t="inlineStr">
        <is>
          <t>2023Q4, 2026Q2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3" t="n">
        <v>73321</v>
      </c>
      <c r="AK2258" s="3" t="n">
        <v>1601</v>
      </c>
      <c r="AL2258" s="3" t="n">
        <v>-6233</v>
      </c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2026Q2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n">
        <v>10445</v>
      </c>
      <c r="AK2263" s="2" t="n">
        <v>172</v>
      </c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2" t="n">
        <v>400975</v>
      </c>
      <c r="AK2265" s="2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2026Q2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n">
        <v>2153</v>
      </c>
      <c r="AK2279" s="2" t="n">
        <v>1396</v>
      </c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2026Q2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n">
        <v>5168</v>
      </c>
      <c r="AK2280" s="2" t="n">
        <v>1276</v>
      </c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/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2" t="n">
        <v>13011</v>
      </c>
      <c r="AK2295" s="2" t="n">
        <v>2895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2026Q2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n">
        <v>17462</v>
      </c>
      <c r="AK2303" s="2" t="n">
        <v>2103</v>
      </c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2026Q2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n">
        <v>13339</v>
      </c>
      <c r="AK2307" s="2" t="n">
        <v>2699</v>
      </c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2026Q2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n">
        <v>8628</v>
      </c>
      <c r="AK2310" s="2" t="n">
        <v>-494</v>
      </c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/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2" t="n">
        <v>55074</v>
      </c>
      <c r="AK2315" s="2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2" t="n">
        <v>7560249</v>
      </c>
      <c r="AK2320" s="2" t="n">
        <v>113302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2026Q2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n">
        <v>47985</v>
      </c>
      <c r="AK2324" s="2" t="n">
        <v>1551</v>
      </c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2026Q2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n">
        <v>1008</v>
      </c>
      <c r="AK2327" s="2" t="n">
        <v>-4802</v>
      </c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n">
        <v>36368</v>
      </c>
      <c r="AK2337" s="2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2026Q2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n">
        <v>41</v>
      </c>
      <c r="AK2339" s="2" t="n">
        <v>-3115</v>
      </c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2026Q2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n">
        <v>36664</v>
      </c>
      <c r="AK2347" s="2" t="n">
        <v>5079</v>
      </c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2026Q2</t>
        </is>
      </c>
      <c r="E2352" t="inlineStr">
        <is>
          <t>2023Q4, 2026Q2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3" t="n">
        <v>17286</v>
      </c>
      <c r="AK2352" s="3" t="n">
        <v>60337</v>
      </c>
      <c r="AL2352" s="3" t="n">
        <v>56551</v>
      </c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2026Q2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n">
        <v>4031</v>
      </c>
      <c r="AK2355" s="2" t="n">
        <v>790</v>
      </c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2026Q2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n">
        <v>5464</v>
      </c>
      <c r="AK2358" s="2" t="n">
        <v>581</v>
      </c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2026Q2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n">
        <v>-2280</v>
      </c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2026Q2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n">
        <v>4936</v>
      </c>
      <c r="AK2368" s="2" t="n">
        <v>-1034</v>
      </c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2026Q2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n">
        <v>8416</v>
      </c>
      <c r="AK2371" s="2" t="n">
        <v>21</v>
      </c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2026Q2</t>
        </is>
      </c>
      <c r="E2372" t="inlineStr">
        <is>
          <t>2023Q4, 2026Q2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3" t="n">
        <v>36236</v>
      </c>
      <c r="AK2372" s="3" t="n">
        <v>-15498</v>
      </c>
      <c r="AL2372" s="3" t="n">
        <v>924</v>
      </c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2026Q2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n">
        <v>3795</v>
      </c>
      <c r="AK2376" s="2" t="n">
        <v>-1667</v>
      </c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/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2" t="n">
        <v>37449</v>
      </c>
      <c r="AK2379" s="2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2026Q2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n">
        <v>7705</v>
      </c>
      <c r="AK2380" s="2" t="n">
        <v>2077</v>
      </c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2026Q2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n">
        <v>-2915</v>
      </c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2026Q2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n">
        <v>120993</v>
      </c>
      <c r="AK2391" s="2" t="n">
        <v>6811</v>
      </c>
      <c r="AL2391" s="3" t="n">
        <v>6465</v>
      </c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2026Q2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n">
        <v>21470</v>
      </c>
      <c r="AK2397" s="2" t="n">
        <v>205</v>
      </c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2026Q2</t>
        </is>
      </c>
      <c r="E2402" t="inlineStr">
        <is>
          <t>2026Q2</t>
        </is>
      </c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3" t="n">
        <v>19383</v>
      </c>
      <c r="AK2402" s="3" t="n">
        <v>6643</v>
      </c>
      <c r="AL2402" s="3" t="n">
        <v>5425</v>
      </c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2026Q2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n">
        <v>6847</v>
      </c>
      <c r="AK2407" s="2" t="n">
        <v>1873</v>
      </c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2026Q2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n">
        <v>22304</v>
      </c>
      <c r="AK2409" s="2" t="n">
        <v>363</v>
      </c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2026Q2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n">
        <v>4769</v>
      </c>
      <c r="AK2412" s="2" t="n">
        <v>-345</v>
      </c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2026Q2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n">
        <v>21882</v>
      </c>
      <c r="AK2414" s="2" t="n">
        <v>6341</v>
      </c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2026Q2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n">
        <v>16666</v>
      </c>
      <c r="AK2415" s="2" t="n">
        <v>4454</v>
      </c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2026Q2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n">
        <v>29324</v>
      </c>
      <c r="AK2416" s="2" t="n">
        <v>9276</v>
      </c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2026Q2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n">
        <v>23846</v>
      </c>
      <c r="AK2421" s="2" t="n">
        <v>3392</v>
      </c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2026Q2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n">
        <v>64308</v>
      </c>
      <c r="AK2424" s="2" t="n">
        <v>3807</v>
      </c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2026Q2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n">
        <v>15605</v>
      </c>
      <c r="AK2429" s="2" t="n">
        <v>2693</v>
      </c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2026Q2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n">
        <v>3781</v>
      </c>
      <c r="AK2437" s="2" t="n">
        <v>-2137</v>
      </c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2026Q2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n">
        <v>7574</v>
      </c>
      <c r="AK2438" s="2" t="n">
        <v>808</v>
      </c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2026Q2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n">
        <v>3140</v>
      </c>
      <c r="AK2439" s="2" t="n">
        <v>-1606</v>
      </c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2026Q2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n">
        <v>17234</v>
      </c>
      <c r="AK2442" s="2" t="n">
        <v>1716</v>
      </c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연결</t>
        </is>
      </c>
      <c r="D2443" t="inlineStr">
        <is>
          <t>2026Q2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n">
        <v>6343</v>
      </c>
      <c r="AK2443" s="2" t="n">
        <v>-865</v>
      </c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2026Q2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n">
        <v>5629</v>
      </c>
      <c r="AK2445" s="2" t="n">
        <v>427</v>
      </c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2026Q2</t>
        </is>
      </c>
      <c r="E2449" t="inlineStr">
        <is>
          <t>2026Q2</t>
        </is>
      </c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3" t="n">
        <v>25810</v>
      </c>
      <c r="AK2449" s="3" t="n">
        <v>2524</v>
      </c>
      <c r="AL2449" s="3" t="n">
        <v>2807</v>
      </c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/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2" t="n">
        <v>73174</v>
      </c>
      <c r="AK2453" s="2" t="n">
        <v>16224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2026Q2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n">
        <v>17718</v>
      </c>
      <c r="AK2455" s="2" t="n">
        <v>738</v>
      </c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2026Q2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n">
        <v>13102</v>
      </c>
      <c r="AK2459" s="2" t="n">
        <v>852</v>
      </c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2026Q2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n">
        <v>44880</v>
      </c>
      <c r="AK2462" s="2" t="n">
        <v>6489</v>
      </c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/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2" t="n">
        <v>4898</v>
      </c>
      <c r="AK2466" s="2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2026Q2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n">
        <v>4118</v>
      </c>
      <c r="AK2471" s="2" t="n">
        <v>-615</v>
      </c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2026Q2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n">
        <v>15326</v>
      </c>
      <c r="AK2472" s="2" t="n">
        <v>-128</v>
      </c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2026Q2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n">
        <v>21796</v>
      </c>
      <c r="AK2475" s="2" t="n">
        <v>1770</v>
      </c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2026Q2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n">
        <v>4451</v>
      </c>
      <c r="AK2479" s="2" t="n">
        <v>509</v>
      </c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2026Q2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n">
        <v>150904</v>
      </c>
      <c r="AK2481" s="2" t="n">
        <v>15135</v>
      </c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2026Q2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n">
        <v>7215</v>
      </c>
      <c r="AK2485" s="2" t="n">
        <v>312</v>
      </c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2026Q2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n">
        <v>11008</v>
      </c>
      <c r="AK2486" s="2" t="n">
        <v>-2980</v>
      </c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2" t="n">
        <v>535010</v>
      </c>
      <c r="AK2494" s="2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2026Q2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n">
        <v>28376</v>
      </c>
      <c r="AK2503" s="2" t="n">
        <v>12950</v>
      </c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2026Q2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n">
        <v>2977</v>
      </c>
      <c r="AK2507" s="2" t="n">
        <v>-195</v>
      </c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2026Q2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n">
        <v>17323</v>
      </c>
      <c r="AK2510" s="2" t="n">
        <v>1660</v>
      </c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2026Q2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n">
        <v>72768</v>
      </c>
      <c r="AK2511" s="2" t="n">
        <v>12183</v>
      </c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2026Q2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n">
        <v>126216</v>
      </c>
      <c r="AK2518" s="2" t="n">
        <v>1005</v>
      </c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2026Q2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n">
        <v>15007</v>
      </c>
      <c r="AK2519" s="2" t="n">
        <v>3640</v>
      </c>
      <c r="AL2519" s="3" t="n">
        <v>2731</v>
      </c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41736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2026Q2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n">
        <v>-2370</v>
      </c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2026Q2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n">
        <v>5680</v>
      </c>
      <c r="AK2527" s="2" t="n">
        <v>-1326</v>
      </c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2026Q2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n">
        <v>4760</v>
      </c>
      <c r="AK2530" s="2" t="n">
        <v>1050</v>
      </c>
      <c r="AL2530" s="3" t="n">
        <v>3879</v>
      </c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2026Q2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n">
        <v>0</v>
      </c>
      <c r="AK2537" s="2" t="n">
        <v>-46</v>
      </c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2026Q2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n">
        <v>19559</v>
      </c>
      <c r="AK2539" s="2" t="n">
        <v>894</v>
      </c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2026Q2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n">
        <v>0</v>
      </c>
      <c r="AK2541" s="2" t="n">
        <v>-11</v>
      </c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2026Q2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n">
        <v>-11</v>
      </c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2026Q2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n">
        <v>0</v>
      </c>
      <c r="AK2543" s="2" t="n">
        <v>-10</v>
      </c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2026Q2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n">
        <v>0</v>
      </c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2026Q2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n">
        <v>-8</v>
      </c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2026Q2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n">
        <v>-8</v>
      </c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2026Q2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n">
        <v>0</v>
      </c>
      <c r="AK2549" s="2" t="n">
        <v>-10</v>
      </c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2026Q2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n">
        <v>-10</v>
      </c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2026Q2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n">
        <v>-9</v>
      </c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2026Q2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n">
        <v>0</v>
      </c>
      <c r="AK2557" s="2" t="n">
        <v>-16</v>
      </c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2026Q2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n">
        <v>240892</v>
      </c>
      <c r="AK2559" s="2" t="n">
        <v>4683</v>
      </c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2026Q2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n">
        <v>3744</v>
      </c>
      <c r="AK2563" s="2" t="n">
        <v>-4771</v>
      </c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2026Q2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n">
        <v>2789</v>
      </c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2026Q2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n">
        <v>48963</v>
      </c>
      <c r="AK2573" s="2" t="n">
        <v>1593</v>
      </c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2026Q2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n">
        <v>808</v>
      </c>
      <c r="AK2574" s="2" t="n">
        <v>-6852</v>
      </c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2026Q2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n">
        <v>0</v>
      </c>
      <c r="AK2575" s="2" t="n">
        <v>-6</v>
      </c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2026Q2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n">
        <v>-11</v>
      </c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2026Q2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n">
        <v>0</v>
      </c>
      <c r="AK2578" s="2" t="n">
        <v>-7</v>
      </c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2026Q2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n">
        <v>0</v>
      </c>
      <c r="AK2580" s="2" t="n">
        <v>-13</v>
      </c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2026Q2</t>
        </is>
      </c>
      <c r="E2588" t="inlineStr">
        <is>
          <t>2026Q2</t>
        </is>
      </c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3" t="n">
        <v>30273</v>
      </c>
      <c r="AK2588" s="3" t="n">
        <v>6274</v>
      </c>
      <c r="AL2588" s="3" t="n">
        <v>4733</v>
      </c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2026Q2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n">
        <v>0</v>
      </c>
      <c r="AK2591" s="2" t="n">
        <v>-38</v>
      </c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2026Q2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n">
        <v>38008</v>
      </c>
      <c r="AK2592" s="2" t="n">
        <v>5587</v>
      </c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2026Q2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n">
        <v>0</v>
      </c>
      <c r="AK2594" s="2" t="n">
        <v>-8</v>
      </c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2026Q2</t>
        </is>
      </c>
      <c r="E2595" t="inlineStr">
        <is>
          <t>2026Q2</t>
        </is>
      </c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3" t="n">
        <v>186861</v>
      </c>
      <c r="AK2595" s="3" t="n">
        <v>47241</v>
      </c>
      <c r="AL2595" s="3" t="n">
        <v>38060</v>
      </c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2026Q2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n">
        <v>58892</v>
      </c>
      <c r="AK2596" s="2" t="n">
        <v>8200</v>
      </c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2026Q2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n">
        <v>46790</v>
      </c>
      <c r="AK2598" s="2" t="n">
        <v>11483</v>
      </c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2026Q2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n">
        <v>10143</v>
      </c>
      <c r="AK2599" s="2" t="n">
        <v>-1561</v>
      </c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2026Q2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n">
        <v>0</v>
      </c>
      <c r="AK2601" s="2" t="n">
        <v>-12</v>
      </c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2026Q2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n">
        <v>-12</v>
      </c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2026Q2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n">
        <v>0</v>
      </c>
      <c r="AK2607" s="2" t="n">
        <v>-11</v>
      </c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2026Q2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n">
        <v>2085</v>
      </c>
      <c r="AK2609" s="2" t="n">
        <v>-3163</v>
      </c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2026Q2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n">
        <v>9876</v>
      </c>
      <c r="AK2612" s="2" t="n">
        <v>2701</v>
      </c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2026Q2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n">
        <v>0</v>
      </c>
      <c r="AK2613" s="2" t="n">
        <v>-12</v>
      </c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2026Q2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n">
        <v>0</v>
      </c>
      <c r="AK2615" s="2" t="n">
        <v>-5</v>
      </c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/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2" t="n">
        <v>542289</v>
      </c>
      <c r="AK2616" s="2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2026Q2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n">
        <v>-2678</v>
      </c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2026Q2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n">
        <v>15538</v>
      </c>
      <c r="AK2621" s="2" t="n">
        <v>2955</v>
      </c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2026Q2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n">
        <v>0</v>
      </c>
      <c r="AK2622" s="2" t="n">
        <v>-8</v>
      </c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2026Q2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n">
        <v>-10</v>
      </c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2026Q2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n">
        <v>35</v>
      </c>
      <c r="AK2640" s="2" t="n">
        <v>6</v>
      </c>
      <c r="AL2640" s="3" t="n">
        <v>6698</v>
      </c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2026Q2</t>
        </is>
      </c>
      <c r="E2643" t="inlineStr">
        <is>
          <t>2023Q4, 2026Q2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3" t="n">
        <v>22082</v>
      </c>
      <c r="AK2643" s="3" t="n">
        <v>4857</v>
      </c>
      <c r="AL2643" s="3" t="n">
        <v>4738</v>
      </c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2026Q2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n">
        <v>1</v>
      </c>
      <c r="AK2646" s="2" t="n">
        <v>-3</v>
      </c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2026-08-13</t>
        </is>
      </c>
      <c r="B2" t="inlineStr">
        <is>
          <t>삼성화재해상보험</t>
        </is>
      </c>
      <c r="C2" t="inlineStr">
        <is>
          <t>000810</t>
        </is>
      </c>
      <c r="D2" t="inlineStr">
        <is>
          <t>연결</t>
        </is>
      </c>
      <c r="E2" t="inlineStr">
        <is>
          <t>2026Q2</t>
        </is>
      </c>
      <c r="F2" s="2" t="n">
        <v>6461366</v>
      </c>
      <c r="G2" t="n">
        <v>-3.2</v>
      </c>
      <c r="H2" t="n">
        <v>-5.8</v>
      </c>
      <c r="I2" s="2" t="n">
        <v>885333</v>
      </c>
      <c r="J2" t="n">
        <v>2.8</v>
      </c>
      <c r="K2" t="n">
        <v>9.1</v>
      </c>
      <c r="L2" s="2" t="n">
        <v>738735</v>
      </c>
      <c r="M2" t="n">
        <v>15.7</v>
      </c>
      <c r="N2" t="inlineStr">
        <is>
          <t>20260813800018</t>
        </is>
      </c>
      <c r="O2">
        <f>HYPERLINK("https://dart.fss.or.kr/dsaf001/main.do?rcpNo=20260813800018", "공시열람")</f>
        <v/>
      </c>
    </row>
    <row r="3">
      <c r="A3" t="inlineStr">
        <is>
          <t>2026-08-13</t>
        </is>
      </c>
      <c r="B3" t="inlineStr">
        <is>
          <t>옵티시스</t>
        </is>
      </c>
      <c r="C3" t="inlineStr">
        <is>
          <t>109080</t>
        </is>
      </c>
      <c r="D3" t="inlineStr">
        <is>
          <t>별도</t>
        </is>
      </c>
      <c r="E3" t="inlineStr">
        <is>
          <t>2026Q2</t>
        </is>
      </c>
      <c r="F3" s="2" t="n">
        <v>6579</v>
      </c>
      <c r="G3" t="n">
        <v>-0.6</v>
      </c>
      <c r="H3" t="n">
        <v>-12.8</v>
      </c>
      <c r="I3" s="2" t="n">
        <v>1259</v>
      </c>
      <c r="J3" t="n">
        <v>0.4</v>
      </c>
      <c r="K3" t="n">
        <v>-23.4</v>
      </c>
      <c r="L3" s="2" t="n">
        <v>1883</v>
      </c>
      <c r="M3" t="n">
        <v>140.7</v>
      </c>
      <c r="N3" t="inlineStr">
        <is>
          <t>20260813900338</t>
        </is>
      </c>
      <c r="O3">
        <f>HYPERLINK("https://dart.fss.or.kr/dsaf001/main.do?rcpNo=20260813900338", "공시열람")</f>
        <v/>
      </c>
    </row>
    <row r="4">
      <c r="A4" t="inlineStr">
        <is>
          <t>2026-08-13</t>
        </is>
      </c>
      <c r="B4" t="inlineStr">
        <is>
          <t>LG</t>
        </is>
      </c>
      <c r="C4" t="inlineStr">
        <is>
          <t>003550</t>
        </is>
      </c>
      <c r="D4" t="inlineStr">
        <is>
          <t>연결</t>
        </is>
      </c>
      <c r="E4" t="inlineStr">
        <is>
          <t>2026Q2</t>
        </is>
      </c>
      <c r="F4" s="2" t="n">
        <v>2139622</v>
      </c>
      <c r="G4" t="n">
        <v>18.8</v>
      </c>
      <c r="H4" t="n">
        <v>19</v>
      </c>
      <c r="I4" s="2" t="n">
        <v>532978</v>
      </c>
      <c r="J4" t="n">
        <v>28.8</v>
      </c>
      <c r="K4" t="n">
        <v>92.5</v>
      </c>
      <c r="L4" s="2" t="n">
        <v>533838</v>
      </c>
      <c r="M4" t="n">
        <v>118.6</v>
      </c>
      <c r="N4" t="inlineStr">
        <is>
          <t>20260813800552</t>
        </is>
      </c>
      <c r="O4">
        <f>HYPERLINK("https://dart.fss.or.kr/dsaf001/main.do?rcpNo=20260813800552", "공시열람")</f>
        <v/>
      </c>
    </row>
    <row r="5">
      <c r="A5" t="inlineStr">
        <is>
          <t>2026-08-13</t>
        </is>
      </c>
      <c r="B5" t="inlineStr">
        <is>
          <t>라온피플</t>
        </is>
      </c>
      <c r="C5" t="inlineStr">
        <is>
          <t>300120</t>
        </is>
      </c>
      <c r="D5" t="inlineStr">
        <is>
          <t>연결</t>
        </is>
      </c>
      <c r="E5" t="inlineStr">
        <is>
          <t>2026Q2</t>
        </is>
      </c>
      <c r="F5" s="2" t="n">
        <v>64079</v>
      </c>
      <c r="G5" t="n">
        <v>60.7</v>
      </c>
      <c r="H5" t="n">
        <v>0.1</v>
      </c>
      <c r="I5" s="2" t="n">
        <v>-495</v>
      </c>
      <c r="J5" t="n">
        <v>81.59999999999999</v>
      </c>
      <c r="K5" t="n">
        <v>89.09999999999999</v>
      </c>
      <c r="L5" s="2" t="n">
        <v>140</v>
      </c>
      <c r="M5" t="inlineStr"/>
      <c r="N5" t="inlineStr">
        <is>
          <t>20260813900515</t>
        </is>
      </c>
      <c r="O5">
        <f>HYPERLINK("https://dart.fss.or.kr/dsaf001/main.do?rcpNo=20260813900515", "공시열람")</f>
        <v/>
      </c>
    </row>
    <row r="6">
      <c r="A6" t="inlineStr">
        <is>
          <t>2026-08-13</t>
        </is>
      </c>
      <c r="B6" t="inlineStr">
        <is>
          <t>DB손해보험</t>
        </is>
      </c>
      <c r="C6" t="inlineStr">
        <is>
          <t>005830</t>
        </is>
      </c>
      <c r="D6" t="inlineStr">
        <is>
          <t>별도</t>
        </is>
      </c>
      <c r="E6" t="inlineStr">
        <is>
          <t>2026Q2</t>
        </is>
      </c>
      <c r="F6" s="2" t="n">
        <v>5313432</v>
      </c>
      <c r="G6" t="n">
        <v>-8</v>
      </c>
      <c r="H6" t="n">
        <v>-3.7</v>
      </c>
      <c r="I6" s="2" t="n">
        <v>963859</v>
      </c>
      <c r="J6" t="n">
        <v>108.3</v>
      </c>
      <c r="K6" t="n">
        <v>57.4</v>
      </c>
      <c r="L6" s="2" t="n">
        <v>711108</v>
      </c>
      <c r="M6" t="n">
        <v>54.6</v>
      </c>
      <c r="N6" t="inlineStr">
        <is>
          <t>20260813800490</t>
        </is>
      </c>
      <c r="O6">
        <f>HYPERLINK("https://dart.fss.or.kr/dsaf001/main.do?rcpNo=20260813800490", "공시열람")</f>
        <v/>
      </c>
    </row>
    <row r="7">
      <c r="A7" t="inlineStr">
        <is>
          <t>2026-08-13</t>
        </is>
      </c>
      <c r="B7" t="inlineStr">
        <is>
          <t>코메론</t>
        </is>
      </c>
      <c r="C7" t="inlineStr">
        <is>
          <t>049430</t>
        </is>
      </c>
      <c r="D7" t="inlineStr">
        <is>
          <t>연결</t>
        </is>
      </c>
      <c r="E7" t="inlineStr">
        <is>
          <t>2026Q2</t>
        </is>
      </c>
      <c r="F7" s="2" t="n">
        <v>23712</v>
      </c>
      <c r="G7" t="n">
        <v>33.5</v>
      </c>
      <c r="H7" t="n">
        <v>29.9</v>
      </c>
      <c r="I7" s="2" t="n">
        <v>9875</v>
      </c>
      <c r="J7" t="n">
        <v>153.2</v>
      </c>
      <c r="K7" t="n">
        <v>129.2</v>
      </c>
      <c r="L7" s="2" t="n">
        <v>14358</v>
      </c>
      <c r="M7" t="n">
        <v>110.6</v>
      </c>
      <c r="N7" t="inlineStr">
        <is>
          <t>20260813900489</t>
        </is>
      </c>
      <c r="O7">
        <f>HYPERLINK("https://dart.fss.or.kr/dsaf001/main.do?rcpNo=20260813900489", "공시열람")</f>
        <v/>
      </c>
    </row>
    <row r="8">
      <c r="A8" t="inlineStr">
        <is>
          <t>2026-08-13</t>
        </is>
      </c>
      <c r="B8" t="inlineStr">
        <is>
          <t>이마트</t>
        </is>
      </c>
      <c r="C8" t="inlineStr">
        <is>
          <t>139480</t>
        </is>
      </c>
      <c r="D8" t="inlineStr">
        <is>
          <t>별도</t>
        </is>
      </c>
      <c r="E8" t="inlineStr">
        <is>
          <t>2026Q2</t>
        </is>
      </c>
      <c r="F8" s="2" t="n">
        <v>1525400</v>
      </c>
      <c r="G8" t="n">
        <v>12.3</v>
      </c>
      <c r="H8" t="n">
        <v>9.300000000000001</v>
      </c>
      <c r="I8" s="2" t="inlineStr"/>
      <c r="J8" t="inlineStr"/>
      <c r="K8" t="inlineStr"/>
      <c r="L8" s="2" t="inlineStr"/>
      <c r="M8" t="inlineStr"/>
      <c r="N8" t="inlineStr">
        <is>
          <t>20260813800366</t>
        </is>
      </c>
      <c r="O8">
        <f>HYPERLINK("https://dart.fss.or.kr/dsaf001/main.do?rcpNo=20260813800366", "공시열람")</f>
        <v/>
      </c>
    </row>
    <row r="9">
      <c r="A9" t="inlineStr">
        <is>
          <t>2026-08-13</t>
        </is>
      </c>
      <c r="B9" t="inlineStr">
        <is>
          <t>이마트</t>
        </is>
      </c>
      <c r="C9" t="inlineStr">
        <is>
          <t>139480</t>
        </is>
      </c>
      <c r="D9" t="inlineStr">
        <is>
          <t>연결</t>
        </is>
      </c>
      <c r="E9" t="inlineStr">
        <is>
          <t>2026Q2</t>
        </is>
      </c>
      <c r="F9" s="2" t="n">
        <v>6915000</v>
      </c>
      <c r="G9" t="n">
        <v>-2.9</v>
      </c>
      <c r="H9" t="n">
        <v>-1.8</v>
      </c>
      <c r="I9" s="2" t="n">
        <v>-43000</v>
      </c>
      <c r="J9" t="inlineStr"/>
      <c r="K9" t="inlineStr"/>
      <c r="L9" s="2" t="n">
        <v>-136800</v>
      </c>
      <c r="M9" t="n">
        <v>-336.1</v>
      </c>
      <c r="N9" t="inlineStr">
        <is>
          <t>20260813800351</t>
        </is>
      </c>
      <c r="O9">
        <f>HYPERLINK("https://dart.fss.or.kr/dsaf001/main.do?rcpNo=20260813800351", "공시열람")</f>
        <v/>
      </c>
    </row>
    <row r="10">
      <c r="A10" t="inlineStr">
        <is>
          <t>2026-08-13</t>
        </is>
      </c>
      <c r="B10" t="inlineStr">
        <is>
          <t>클리오</t>
        </is>
      </c>
      <c r="C10" t="inlineStr">
        <is>
          <t>237880</t>
        </is>
      </c>
      <c r="D10" t="inlineStr">
        <is>
          <t>연결</t>
        </is>
      </c>
      <c r="E10" t="inlineStr">
        <is>
          <t>2026Q2</t>
        </is>
      </c>
      <c r="F10" s="2" t="n">
        <v>86805</v>
      </c>
      <c r="G10" t="n">
        <v>10.8</v>
      </c>
      <c r="H10" t="n">
        <v>5.7</v>
      </c>
      <c r="I10" s="2" t="n">
        <v>11617</v>
      </c>
      <c r="J10" t="n">
        <v>100.5</v>
      </c>
      <c r="K10" t="n">
        <v>230</v>
      </c>
      <c r="L10" s="2" t="n">
        <v>13721</v>
      </c>
      <c r="M10" t="n">
        <v>607</v>
      </c>
      <c r="N10" t="inlineStr">
        <is>
          <t>20260813900811</t>
        </is>
      </c>
      <c r="O10">
        <f>HYPERLINK("https://dart.fss.or.kr/dsaf001/main.do?rcpNo=20260813900811", "공시열람")</f>
        <v/>
      </c>
    </row>
    <row r="11">
      <c r="A11" t="inlineStr">
        <is>
          <t>2026-08-13</t>
        </is>
      </c>
      <c r="B11" t="inlineStr">
        <is>
          <t>달바글로벌</t>
        </is>
      </c>
      <c r="C11" t="inlineStr">
        <is>
          <t>483650</t>
        </is>
      </c>
      <c r="D11" t="inlineStr">
        <is>
          <t>연결</t>
        </is>
      </c>
      <c r="E11" t="inlineStr">
        <is>
          <t>2026Q2</t>
        </is>
      </c>
      <c r="F11" s="2" t="n">
        <v>186861</v>
      </c>
      <c r="G11" t="n">
        <v>9.1</v>
      </c>
      <c r="H11" t="n">
        <v>45.6</v>
      </c>
      <c r="I11" s="2" t="n">
        <v>47241</v>
      </c>
      <c r="J11" t="n">
        <v>4.8</v>
      </c>
      <c r="K11" t="n">
        <v>61.6</v>
      </c>
      <c r="L11" s="2" t="n">
        <v>38060</v>
      </c>
      <c r="M11" t="n">
        <v>92.2</v>
      </c>
      <c r="N11" t="inlineStr">
        <is>
          <t>20260813800135</t>
        </is>
      </c>
      <c r="O11">
        <f>HYPERLINK("https://dart.fss.or.kr/dsaf001/main.do?rcpNo=20260813800135", "공시열람")</f>
        <v/>
      </c>
    </row>
    <row r="12">
      <c r="A12" t="inlineStr">
        <is>
          <t>2026-08-13</t>
        </is>
      </c>
      <c r="B12" t="inlineStr">
        <is>
          <t>삼성생명</t>
        </is>
      </c>
      <c r="C12" t="inlineStr">
        <is>
          <t>032830</t>
        </is>
      </c>
      <c r="D12" t="inlineStr">
        <is>
          <t>연결</t>
        </is>
      </c>
      <c r="E12" t="inlineStr">
        <is>
          <t>2026Q2</t>
        </is>
      </c>
      <c r="F12" s="2" t="n">
        <v>18759919</v>
      </c>
      <c r="G12" t="n">
        <v>27.5</v>
      </c>
      <c r="H12" t="n">
        <v>71.90000000000001</v>
      </c>
      <c r="I12" s="2" t="n">
        <v>622617</v>
      </c>
      <c r="J12" t="n">
        <v>-54.1</v>
      </c>
      <c r="K12" t="n">
        <v>-32</v>
      </c>
      <c r="L12" s="2" t="n">
        <v>727366</v>
      </c>
      <c r="M12" t="n">
        <v>-8.300000000000001</v>
      </c>
      <c r="N12" t="inlineStr">
        <is>
          <t>20260813800256</t>
        </is>
      </c>
      <c r="O12">
        <f>HYPERLINK("https://dart.fss.or.kr/dsaf001/main.do?rcpNo=20260813800256", "공시열람")</f>
        <v/>
      </c>
    </row>
    <row r="13">
      <c r="A13" t="inlineStr">
        <is>
          <t>2026-08-13</t>
        </is>
      </c>
      <c r="B13" t="inlineStr">
        <is>
          <t>고스트스튜디오</t>
        </is>
      </c>
      <c r="C13" t="inlineStr">
        <is>
          <t>950190</t>
        </is>
      </c>
      <c r="D13" t="inlineStr">
        <is>
          <t>연결</t>
        </is>
      </c>
      <c r="E13" t="inlineStr">
        <is>
          <t>2026Q2</t>
        </is>
      </c>
      <c r="F13" s="2" t="n">
        <v>22082</v>
      </c>
      <c r="G13" t="n">
        <v>5.5</v>
      </c>
      <c r="H13" t="n">
        <v>8.199999999999999</v>
      </c>
      <c r="I13" s="2" t="n">
        <v>4857</v>
      </c>
      <c r="J13" t="n">
        <v>11.7</v>
      </c>
      <c r="K13" t="n">
        <v>26.7</v>
      </c>
      <c r="L13" s="2" t="n">
        <v>4738</v>
      </c>
      <c r="M13" t="n">
        <v>70.09999999999999</v>
      </c>
      <c r="N13" t="inlineStr">
        <is>
          <t>20260813900241</t>
        </is>
      </c>
      <c r="O13">
        <f>HYPERLINK("https://dart.fss.or.kr/dsaf001/main.do?rcpNo=20260813900241", "공시열람")</f>
        <v/>
      </c>
    </row>
    <row r="14">
      <c r="A14" t="inlineStr">
        <is>
          <t>2026-08-13</t>
        </is>
      </c>
      <c r="B14" t="inlineStr">
        <is>
          <t>미투온</t>
        </is>
      </c>
      <c r="C14" t="inlineStr">
        <is>
          <t>201490</t>
        </is>
      </c>
      <c r="D14" t="inlineStr">
        <is>
          <t>연결</t>
        </is>
      </c>
      <c r="E14" t="inlineStr">
        <is>
          <t>2026Q2</t>
        </is>
      </c>
      <c r="F14" s="2" t="n">
        <v>24851</v>
      </c>
      <c r="G14" t="n">
        <v>7.8</v>
      </c>
      <c r="H14" t="n">
        <v>11.2</v>
      </c>
      <c r="I14" s="2" t="n">
        <v>4765</v>
      </c>
      <c r="J14" t="n">
        <v>22.5</v>
      </c>
      <c r="K14" t="n">
        <v>61.6</v>
      </c>
      <c r="L14" s="2" t="n">
        <v>4340</v>
      </c>
      <c r="M14" t="n">
        <v>85.2</v>
      </c>
      <c r="N14" t="inlineStr">
        <is>
          <t>20260813900236</t>
        </is>
      </c>
      <c r="O14">
        <f>HYPERLINK("https://dart.fss.or.kr/dsaf001/main.do?rcpNo=20260813900236", "공시열람")</f>
        <v/>
      </c>
    </row>
    <row r="15">
      <c r="A15" t="inlineStr">
        <is>
          <t>2026-08-13</t>
        </is>
      </c>
      <c r="B15" t="inlineStr">
        <is>
          <t>에이유브랜즈</t>
        </is>
      </c>
      <c r="C15" t="inlineStr">
        <is>
          <t>481070</t>
        </is>
      </c>
      <c r="D15" t="inlineStr">
        <is>
          <t>연결</t>
        </is>
      </c>
      <c r="E15" t="inlineStr">
        <is>
          <t>2026Q2</t>
        </is>
      </c>
      <c r="F15" s="2" t="n">
        <v>30273</v>
      </c>
      <c r="G15" t="n">
        <v>63.77</v>
      </c>
      <c r="H15" t="n">
        <v>118.78</v>
      </c>
      <c r="I15" s="2" t="n">
        <v>6274</v>
      </c>
      <c r="J15" t="n">
        <v>210.13</v>
      </c>
      <c r="K15" t="n">
        <v>143.46</v>
      </c>
      <c r="L15" s="2" t="n">
        <v>4733</v>
      </c>
      <c r="M15" t="n">
        <v>73.75</v>
      </c>
      <c r="N15" t="inlineStr">
        <is>
          <t>20260813900211</t>
        </is>
      </c>
      <c r="O15">
        <f>HYPERLINK("https://dart.fss.or.kr/dsaf001/main.do?rcpNo=20260813900211", "공시열람")</f>
        <v/>
      </c>
    </row>
    <row r="16">
      <c r="A16" t="inlineStr">
        <is>
          <t>2026-08-13</t>
        </is>
      </c>
      <c r="B16" t="inlineStr">
        <is>
          <t>인스피언</t>
        </is>
      </c>
      <c r="C16" t="inlineStr">
        <is>
          <t>465480</t>
        </is>
      </c>
      <c r="D16" t="inlineStr">
        <is>
          <t>별도</t>
        </is>
      </c>
      <c r="E16" t="inlineStr">
        <is>
          <t>2026Q2</t>
        </is>
      </c>
      <c r="F16" s="2" t="n">
        <v>4760</v>
      </c>
      <c r="G16" t="n">
        <v>19.5</v>
      </c>
      <c r="H16" t="n">
        <v>18.2</v>
      </c>
      <c r="I16" s="2" t="n">
        <v>1050</v>
      </c>
      <c r="J16" t="n">
        <v>447.3</v>
      </c>
      <c r="K16" t="inlineStr"/>
      <c r="L16" s="2" t="n">
        <v>3879</v>
      </c>
      <c r="M16" t="inlineStr"/>
      <c r="N16" t="inlineStr">
        <is>
          <t>20260813900208</t>
        </is>
      </c>
      <c r="O16">
        <f>HYPERLINK("https://dart.fss.or.kr/dsaf001/main.do?rcpNo=20260813900208", "공시열람")</f>
        <v/>
      </c>
    </row>
    <row r="17">
      <c r="A17" t="inlineStr">
        <is>
          <t>2026-08-13</t>
        </is>
      </c>
      <c r="B17" t="inlineStr">
        <is>
          <t>윈팩</t>
        </is>
      </c>
      <c r="C17" t="inlineStr">
        <is>
          <t>097800</t>
        </is>
      </c>
      <c r="D17" t="inlineStr">
        <is>
          <t>별도</t>
        </is>
      </c>
      <c r="E17" t="inlineStr">
        <is>
          <t>2026Q2</t>
        </is>
      </c>
      <c r="F17" s="2" t="n">
        <v>30185</v>
      </c>
      <c r="G17" t="n">
        <v>36.1</v>
      </c>
      <c r="H17" t="n">
        <v>64.5</v>
      </c>
      <c r="I17" s="2" t="n">
        <v>795</v>
      </c>
      <c r="J17" t="inlineStr"/>
      <c r="K17" t="inlineStr"/>
      <c r="L17" s="2" t="n">
        <v>127</v>
      </c>
      <c r="M17" t="inlineStr"/>
      <c r="N17" t="inlineStr">
        <is>
          <t>20260813900086</t>
        </is>
      </c>
      <c r="O17">
        <f>HYPERLINK("https://dart.fss.or.kr/dsaf001/main.do?rcpNo=20260813900086", "공시열람")</f>
        <v/>
      </c>
    </row>
    <row r="18">
      <c r="A18" t="inlineStr">
        <is>
          <t>2026-08-12</t>
        </is>
      </c>
      <c r="B18" t="inlineStr">
        <is>
          <t>메리츠금융지주</t>
        </is>
      </c>
      <c r="C18" t="inlineStr">
        <is>
          <t>138040</t>
        </is>
      </c>
      <c r="D18" t="inlineStr">
        <is>
          <t>별도</t>
        </is>
      </c>
      <c r="E18" t="inlineStr">
        <is>
          <t>2026Q2</t>
        </is>
      </c>
      <c r="F18" s="2" t="n">
        <v>3399567</v>
      </c>
      <c r="G18" t="n">
        <v>2.8</v>
      </c>
      <c r="H18" t="n">
        <v>6.3</v>
      </c>
      <c r="I18" s="2" t="n">
        <v>769862</v>
      </c>
      <c r="J18" t="n">
        <v>22.1</v>
      </c>
      <c r="K18" t="n">
        <v>8.9</v>
      </c>
      <c r="L18" s="2" t="n">
        <v>558267</v>
      </c>
      <c r="M18" t="n">
        <v>6.4</v>
      </c>
      <c r="N18" t="inlineStr">
        <is>
          <t>20260812800524</t>
        </is>
      </c>
      <c r="O18">
        <f>HYPERLINK("https://dart.fss.or.kr/dsaf001/main.do?rcpNo=20260812800524", "공시열람")</f>
        <v/>
      </c>
    </row>
    <row r="19">
      <c r="A19" t="inlineStr">
        <is>
          <t>2026-08-12</t>
        </is>
      </c>
      <c r="B19" t="inlineStr">
        <is>
          <t>컴투스홀딩스</t>
        </is>
      </c>
      <c r="C19" t="inlineStr">
        <is>
          <t>063080</t>
        </is>
      </c>
      <c r="D19" t="inlineStr">
        <is>
          <t>연결</t>
        </is>
      </c>
      <c r="E19" t="inlineStr">
        <is>
          <t>2026Q2</t>
        </is>
      </c>
      <c r="F19" s="2" t="n">
        <v>15553</v>
      </c>
      <c r="G19" t="n">
        <v>-9.199999999999999</v>
      </c>
      <c r="H19" t="n">
        <v>-43.1</v>
      </c>
      <c r="I19" s="2" t="n">
        <v>-5275</v>
      </c>
      <c r="J19" t="n">
        <v>45.7</v>
      </c>
      <c r="K19" t="n">
        <v>-139.8</v>
      </c>
      <c r="L19" s="2" t="n">
        <v>7706</v>
      </c>
      <c r="M19" t="inlineStr"/>
      <c r="N19" t="inlineStr">
        <is>
          <t>20260812900569</t>
        </is>
      </c>
      <c r="O19">
        <f>HYPERLINK("https://dart.fss.or.kr/dsaf001/main.do?rcpNo=20260812900569", "공시열람")</f>
        <v/>
      </c>
    </row>
    <row r="20">
      <c r="A20" t="inlineStr">
        <is>
          <t>2026-08-12</t>
        </is>
      </c>
      <c r="B20" t="inlineStr">
        <is>
          <t>한국전력공사</t>
        </is>
      </c>
      <c r="C20" t="inlineStr">
        <is>
          <t>015760</t>
        </is>
      </c>
      <c r="D20" t="inlineStr">
        <is>
          <t>연결</t>
        </is>
      </c>
      <c r="E20" t="inlineStr">
        <is>
          <t>2026Q2</t>
        </is>
      </c>
      <c r="F20" s="2" t="n">
        <v>21918852</v>
      </c>
      <c r="G20" t="n">
        <v>-10.2</v>
      </c>
      <c r="H20" t="n">
        <v>-0.1</v>
      </c>
      <c r="I20" s="2" t="n">
        <v>1128552</v>
      </c>
      <c r="J20" t="n">
        <v>-70.2</v>
      </c>
      <c r="K20" t="n">
        <v>-47.2</v>
      </c>
      <c r="L20" s="2" t="n">
        <v>277537</v>
      </c>
      <c r="M20" t="n">
        <v>-76.40000000000001</v>
      </c>
      <c r="N20" t="inlineStr">
        <is>
          <t>20260812800565</t>
        </is>
      </c>
      <c r="O20">
        <f>HYPERLINK("https://dart.fss.or.kr/dsaf001/main.do?rcpNo=20260812800565", "공시열람")</f>
        <v/>
      </c>
    </row>
    <row r="21">
      <c r="A21" t="inlineStr">
        <is>
          <t>2026-08-12</t>
        </is>
      </c>
      <c r="B21" t="inlineStr">
        <is>
          <t>애경산업</t>
        </is>
      </c>
      <c r="C21" t="inlineStr">
        <is>
          <t>018250</t>
        </is>
      </c>
      <c r="D21" t="inlineStr">
        <is>
          <t>연결</t>
        </is>
      </c>
      <c r="E21" t="inlineStr">
        <is>
          <t>2026Q2</t>
        </is>
      </c>
      <c r="F21" s="2" t="n">
        <v>194165</v>
      </c>
      <c r="G21" t="n">
        <v>22.3</v>
      </c>
      <c r="H21" t="n">
        <v>13.3</v>
      </c>
      <c r="I21" s="2" t="n">
        <v>4527</v>
      </c>
      <c r="J21" t="inlineStr"/>
      <c r="K21" t="n">
        <v>-59.4</v>
      </c>
      <c r="L21" s="2" t="n">
        <v>4611</v>
      </c>
      <c r="M21" t="n">
        <v>-58.5</v>
      </c>
      <c r="N21" t="inlineStr">
        <is>
          <t>20260812800558</t>
        </is>
      </c>
      <c r="O21">
        <f>HYPERLINK("https://dart.fss.or.kr/dsaf001/main.do?rcpNo=20260812800558", "공시열람")</f>
        <v/>
      </c>
    </row>
    <row r="22">
      <c r="A22" t="inlineStr">
        <is>
          <t>2026-08-12</t>
        </is>
      </c>
      <c r="B22" t="inlineStr">
        <is>
          <t>메리츠금융지주</t>
        </is>
      </c>
      <c r="C22" t="inlineStr">
        <is>
          <t>138040</t>
        </is>
      </c>
      <c r="D22" t="inlineStr">
        <is>
          <t>연결</t>
        </is>
      </c>
      <c r="E22" t="inlineStr">
        <is>
          <t>2026Q2</t>
        </is>
      </c>
      <c r="F22" s="2" t="n">
        <v>19263084</v>
      </c>
      <c r="G22" t="n">
        <v>18.1</v>
      </c>
      <c r="H22" t="n">
        <v>106</v>
      </c>
      <c r="I22" s="2" t="n">
        <v>967554</v>
      </c>
      <c r="J22" t="n">
        <v>13.2</v>
      </c>
      <c r="K22" t="n">
        <v>1.9</v>
      </c>
      <c r="L22" s="2" t="n">
        <v>791372</v>
      </c>
      <c r="M22" t="n">
        <v>7.3</v>
      </c>
      <c r="N22" t="inlineStr">
        <is>
          <t>20260812800531</t>
        </is>
      </c>
      <c r="O22">
        <f>HYPERLINK("https://dart.fss.or.kr/dsaf001/main.do?rcpNo=20260812800531", "공시열람")</f>
        <v/>
      </c>
    </row>
    <row r="23">
      <c r="A23" t="inlineStr">
        <is>
          <t>2026-08-12</t>
        </is>
      </c>
      <c r="B23" t="inlineStr">
        <is>
          <t>한화투자증권</t>
        </is>
      </c>
      <c r="C23" t="inlineStr">
        <is>
          <t>003530</t>
        </is>
      </c>
      <c r="D23" t="inlineStr">
        <is>
          <t>별도</t>
        </is>
      </c>
      <c r="E23" t="inlineStr">
        <is>
          <t>2026Q2</t>
        </is>
      </c>
      <c r="F23" s="2" t="n">
        <v>3191472</v>
      </c>
      <c r="G23" t="n">
        <v>96.3</v>
      </c>
      <c r="H23" t="n">
        <v>286.1</v>
      </c>
      <c r="I23" s="2" t="n">
        <v>57348</v>
      </c>
      <c r="J23" t="n">
        <v>33</v>
      </c>
      <c r="K23" t="n">
        <v>82.90000000000001</v>
      </c>
      <c r="L23" s="2" t="n">
        <v>27437</v>
      </c>
      <c r="M23" t="n">
        <v>19.5</v>
      </c>
      <c r="N23" t="inlineStr">
        <is>
          <t>20260812800530</t>
        </is>
      </c>
      <c r="O23">
        <f>HYPERLINK("https://dart.fss.or.kr/dsaf001/main.do?rcpNo=20260812800530", "공시열람")</f>
        <v/>
      </c>
    </row>
    <row r="24">
      <c r="A24" t="inlineStr">
        <is>
          <t>2026-08-12</t>
        </is>
      </c>
      <c r="B24" t="inlineStr">
        <is>
          <t>광동제약</t>
        </is>
      </c>
      <c r="C24" t="inlineStr">
        <is>
          <t>009290</t>
        </is>
      </c>
      <c r="D24" t="inlineStr">
        <is>
          <t>연결</t>
        </is>
      </c>
      <c r="E24" t="inlineStr">
        <is>
          <t>2026Q2</t>
        </is>
      </c>
      <c r="F24" s="2" t="n">
        <v>439816</v>
      </c>
      <c r="G24" t="n">
        <v>7</v>
      </c>
      <c r="H24" t="n">
        <v>3.4</v>
      </c>
      <c r="I24" s="2" t="n">
        <v>2823</v>
      </c>
      <c r="J24" t="n">
        <v>-62.5</v>
      </c>
      <c r="K24" t="n">
        <v>-37.8</v>
      </c>
      <c r="L24" s="2" t="n">
        <v>3164</v>
      </c>
      <c r="M24" t="n">
        <v>32.1</v>
      </c>
      <c r="N24" t="inlineStr">
        <is>
          <t>20260812800851</t>
        </is>
      </c>
      <c r="O24">
        <f>HYPERLINK("https://dart.fss.or.kr/dsaf001/main.do?rcpNo=20260812800851", "공시열람")</f>
        <v/>
      </c>
    </row>
    <row r="25">
      <c r="A25" t="inlineStr">
        <is>
          <t>2026-08-12</t>
        </is>
      </c>
      <c r="B25" t="inlineStr">
        <is>
          <t>한화투자증권</t>
        </is>
      </c>
      <c r="C25" t="inlineStr">
        <is>
          <t>003530</t>
        </is>
      </c>
      <c r="D25" t="inlineStr">
        <is>
          <t>연결</t>
        </is>
      </c>
      <c r="E25" t="inlineStr">
        <is>
          <t>2026Q2</t>
        </is>
      </c>
      <c r="F25" s="2" t="n">
        <v>3234649</v>
      </c>
      <c r="G25" t="n">
        <v>94.90000000000001</v>
      </c>
      <c r="H25" t="n">
        <v>263.6</v>
      </c>
      <c r="I25" s="2" t="n">
        <v>55604</v>
      </c>
      <c r="J25" t="n">
        <v>87.5</v>
      </c>
      <c r="K25" t="n">
        <v>47.4</v>
      </c>
      <c r="L25" s="2" t="n">
        <v>27026</v>
      </c>
      <c r="M25" t="n">
        <v>-7.8</v>
      </c>
      <c r="N25" t="inlineStr">
        <is>
          <t>20260812800516</t>
        </is>
      </c>
      <c r="O25">
        <f>HYPERLINK("https://dart.fss.or.kr/dsaf001/main.do?rcpNo=20260812800516", "공시열람")</f>
        <v/>
      </c>
    </row>
    <row r="26">
      <c r="A26" t="inlineStr">
        <is>
          <t>2026-08-12</t>
        </is>
      </c>
      <c r="B26" t="inlineStr">
        <is>
          <t>HS애드</t>
        </is>
      </c>
      <c r="C26" t="inlineStr">
        <is>
          <t>035000</t>
        </is>
      </c>
      <c r="D26" t="inlineStr">
        <is>
          <t>연결</t>
        </is>
      </c>
      <c r="E26" t="inlineStr">
        <is>
          <t>2026Q2</t>
        </is>
      </c>
      <c r="F26" s="2" t="n">
        <v>102766</v>
      </c>
      <c r="G26" t="n">
        <v>42.49</v>
      </c>
      <c r="H26" t="n">
        <v>3.81</v>
      </c>
      <c r="I26" s="2" t="n">
        <v>3770</v>
      </c>
      <c r="J26" t="inlineStr"/>
      <c r="K26" t="n">
        <v>717.79</v>
      </c>
      <c r="L26" s="2" t="n">
        <v>2756</v>
      </c>
      <c r="M26" t="inlineStr"/>
      <c r="N26" t="inlineStr">
        <is>
          <t>20260812800619</t>
        </is>
      </c>
      <c r="O26">
        <f>HYPERLINK("https://dart.fss.or.kr/dsaf001/main.do?rcpNo=20260812800619", "공시열람")</f>
        <v/>
      </c>
    </row>
    <row r="27">
      <c r="A27" t="inlineStr">
        <is>
          <t>2026-08-12</t>
        </is>
      </c>
      <c r="B27" t="inlineStr">
        <is>
          <t>한화생명</t>
        </is>
      </c>
      <c r="C27" t="inlineStr">
        <is>
          <t>088350</t>
        </is>
      </c>
      <c r="D27" t="inlineStr">
        <is>
          <t>연결</t>
        </is>
      </c>
      <c r="E27" t="inlineStr">
        <is>
          <t>2026Q2</t>
        </is>
      </c>
      <c r="F27" s="2" t="n">
        <v>12604054</v>
      </c>
      <c r="G27" t="n">
        <v>26.23</v>
      </c>
      <c r="H27" t="n">
        <v>61.8</v>
      </c>
      <c r="I27" s="2" t="n">
        <v>626782</v>
      </c>
      <c r="J27" t="n">
        <v>30.37</v>
      </c>
      <c r="K27" t="n">
        <v>160.4</v>
      </c>
      <c r="L27" s="2" t="n">
        <v>522943</v>
      </c>
      <c r="M27" t="n">
        <v>215.47</v>
      </c>
      <c r="N27" t="inlineStr">
        <is>
          <t>20260812800529</t>
        </is>
      </c>
      <c r="O27">
        <f>HYPERLINK("https://dart.fss.or.kr/dsaf001/main.do?rcpNo=20260812800529", "공시열람")</f>
        <v/>
      </c>
    </row>
    <row r="28">
      <c r="A28" t="inlineStr">
        <is>
          <t>2026-08-12</t>
        </is>
      </c>
      <c r="B28" t="inlineStr">
        <is>
          <t>한화생명</t>
        </is>
      </c>
      <c r="C28" t="inlineStr">
        <is>
          <t>088350</t>
        </is>
      </c>
      <c r="D28" t="inlineStr">
        <is>
          <t>별도</t>
        </is>
      </c>
      <c r="E28" t="inlineStr">
        <is>
          <t>2026Q2</t>
        </is>
      </c>
      <c r="F28" s="2" t="n">
        <v>6475829</v>
      </c>
      <c r="G28" t="n">
        <v>21.89</v>
      </c>
      <c r="H28" t="n">
        <v>50.91</v>
      </c>
      <c r="I28" s="2" t="n">
        <v>333698</v>
      </c>
      <c r="J28" t="n">
        <v>19.19</v>
      </c>
      <c r="K28" t="n">
        <v>407.02</v>
      </c>
      <c r="L28" s="2" t="n">
        <v>262368</v>
      </c>
      <c r="M28" t="n">
        <v>354.62</v>
      </c>
      <c r="N28" t="inlineStr">
        <is>
          <t>20260812800515</t>
        </is>
      </c>
      <c r="O28">
        <f>HYPERLINK("https://dart.fss.or.kr/dsaf001/main.do?rcpNo=20260812800515", "공시열람")</f>
        <v/>
      </c>
    </row>
    <row r="29">
      <c r="A29" t="inlineStr">
        <is>
          <t>2026-08-12</t>
        </is>
      </c>
      <c r="B29" t="inlineStr">
        <is>
          <t>위메이드플레이</t>
        </is>
      </c>
      <c r="C29" t="inlineStr">
        <is>
          <t>123420</t>
        </is>
      </c>
      <c r="D29" t="inlineStr">
        <is>
          <t>연결</t>
        </is>
      </c>
      <c r="E29" t="inlineStr">
        <is>
          <t>2026Q2</t>
        </is>
      </c>
      <c r="F29" s="2" t="n">
        <v>32192</v>
      </c>
      <c r="G29" t="n">
        <v>-0.6</v>
      </c>
      <c r="H29" t="n">
        <v>8.699999999999999</v>
      </c>
      <c r="I29" s="2" t="n">
        <v>2595</v>
      </c>
      <c r="J29" t="n">
        <v>-23.4</v>
      </c>
      <c r="K29" t="n">
        <v>5.7</v>
      </c>
      <c r="L29" s="2" t="n">
        <v>3628</v>
      </c>
      <c r="M29" t="n">
        <v>-73.3</v>
      </c>
      <c r="N29" t="inlineStr">
        <is>
          <t>20260812900504</t>
        </is>
      </c>
      <c r="O29">
        <f>HYPERLINK("https://dart.fss.or.kr/dsaf001/main.do?rcpNo=20260812900504", "공시열람")</f>
        <v/>
      </c>
    </row>
    <row r="30">
      <c r="A30" t="inlineStr">
        <is>
          <t>2026-08-12</t>
        </is>
      </c>
      <c r="B30" t="inlineStr">
        <is>
          <t>JYP Ent.</t>
        </is>
      </c>
      <c r="C30" t="inlineStr">
        <is>
          <t>035900</t>
        </is>
      </c>
      <c r="D30" t="inlineStr">
        <is>
          <t>연결</t>
        </is>
      </c>
      <c r="E30" t="inlineStr">
        <is>
          <t>2026Q2</t>
        </is>
      </c>
      <c r="F30" s="2" t="n">
        <v>183143</v>
      </c>
      <c r="G30" t="n">
        <v>-1.5</v>
      </c>
      <c r="H30" t="n">
        <v>-15.1</v>
      </c>
      <c r="I30" s="2" t="n">
        <v>30998</v>
      </c>
      <c r="J30" t="n">
        <v>-7.1</v>
      </c>
      <c r="K30" t="n">
        <v>-41.4</v>
      </c>
      <c r="L30" s="2" t="n">
        <v>21661</v>
      </c>
      <c r="M30" t="n">
        <v>-40.3</v>
      </c>
      <c r="N30" t="inlineStr">
        <is>
          <t>20260812900607</t>
        </is>
      </c>
      <c r="O30">
        <f>HYPERLINK("https://dart.fss.or.kr/dsaf001/main.do?rcpNo=20260812900607", "공시열람")</f>
        <v/>
      </c>
    </row>
    <row r="31">
      <c r="A31" t="inlineStr">
        <is>
          <t>2026-08-12</t>
        </is>
      </c>
      <c r="B31" t="inlineStr">
        <is>
          <t>가비아</t>
        </is>
      </c>
      <c r="C31" t="inlineStr">
        <is>
          <t>079940</t>
        </is>
      </c>
      <c r="D31" t="inlineStr">
        <is>
          <t>별도</t>
        </is>
      </c>
      <c r="E31" t="inlineStr">
        <is>
          <t>2026Q2</t>
        </is>
      </c>
      <c r="F31" s="2" t="n">
        <v>29338</v>
      </c>
      <c r="G31" t="n">
        <v>4.7</v>
      </c>
      <c r="H31" t="n">
        <v>14.4</v>
      </c>
      <c r="I31" s="2" t="n">
        <v>2722</v>
      </c>
      <c r="J31" t="n">
        <v>58.1</v>
      </c>
      <c r="K31" t="n">
        <v>16.6</v>
      </c>
      <c r="L31" s="2" t="n">
        <v>2449</v>
      </c>
      <c r="M31" t="n">
        <v>124.6</v>
      </c>
      <c r="N31" t="inlineStr">
        <is>
          <t>20260812900575</t>
        </is>
      </c>
      <c r="O31">
        <f>HYPERLINK("https://dart.fss.or.kr/dsaf001/main.do?rcpNo=20260812900575", "공시열람")</f>
        <v/>
      </c>
    </row>
    <row r="32">
      <c r="A32" t="inlineStr">
        <is>
          <t>2026-08-12</t>
        </is>
      </c>
      <c r="B32" t="inlineStr">
        <is>
          <t>케이티알파</t>
        </is>
      </c>
      <c r="C32" t="inlineStr">
        <is>
          <t>036030</t>
        </is>
      </c>
      <c r="D32" t="inlineStr">
        <is>
          <t>별도</t>
        </is>
      </c>
      <c r="E32" t="inlineStr">
        <is>
          <t>2026Q2</t>
        </is>
      </c>
      <c r="F32" s="2" t="n">
        <v>96366</v>
      </c>
      <c r="G32" t="n">
        <v>0.2</v>
      </c>
      <c r="H32" t="n">
        <v>-3.7</v>
      </c>
      <c r="I32" s="2" t="n">
        <v>12722</v>
      </c>
      <c r="J32" t="n">
        <v>-6</v>
      </c>
      <c r="K32" t="n">
        <v>-8.6</v>
      </c>
      <c r="L32" s="2" t="n">
        <v>13322</v>
      </c>
      <c r="M32" t="n">
        <v>0.4</v>
      </c>
      <c r="N32" t="inlineStr">
        <is>
          <t>20260812900559</t>
        </is>
      </c>
      <c r="O32">
        <f>HYPERLINK("https://dart.fss.or.kr/dsaf001/main.do?rcpNo=20260812900559", "공시열람")</f>
        <v/>
      </c>
    </row>
    <row r="33">
      <c r="A33" t="inlineStr">
        <is>
          <t>2026-08-12</t>
        </is>
      </c>
      <c r="B33" t="inlineStr">
        <is>
          <t>동원산업</t>
        </is>
      </c>
      <c r="C33" t="inlineStr">
        <is>
          <t>006040</t>
        </is>
      </c>
      <c r="D33" t="inlineStr">
        <is>
          <t>연결</t>
        </is>
      </c>
      <c r="E33" t="inlineStr">
        <is>
          <t>2026Q2</t>
        </is>
      </c>
      <c r="F33" s="2" t="n">
        <v>2571954</v>
      </c>
      <c r="G33" t="n">
        <v>1.7</v>
      </c>
      <c r="H33" t="n">
        <v>9</v>
      </c>
      <c r="I33" s="2" t="n">
        <v>151458</v>
      </c>
      <c r="J33" t="n">
        <v>3.6</v>
      </c>
      <c r="K33" t="n">
        <v>13.3</v>
      </c>
      <c r="L33" s="2" t="n">
        <v>104623</v>
      </c>
      <c r="M33" t="n">
        <v>18.8</v>
      </c>
      <c r="N33" t="inlineStr">
        <is>
          <t>20260812800646</t>
        </is>
      </c>
      <c r="O33">
        <f>HYPERLINK("https://dart.fss.or.kr/dsaf001/main.do?rcpNo=20260812800646", "공시열람")</f>
        <v/>
      </c>
    </row>
    <row r="34">
      <c r="A34" t="inlineStr">
        <is>
          <t>2026-08-12</t>
        </is>
      </c>
      <c r="B34" t="inlineStr">
        <is>
          <t>동원산업</t>
        </is>
      </c>
      <c r="C34" t="inlineStr">
        <is>
          <t>006040</t>
        </is>
      </c>
      <c r="D34" t="inlineStr">
        <is>
          <t>별도</t>
        </is>
      </c>
      <c r="E34" t="inlineStr">
        <is>
          <t>2026Q2</t>
        </is>
      </c>
      <c r="F34" s="2" t="n">
        <v>336426</v>
      </c>
      <c r="G34" t="n">
        <v>13.8</v>
      </c>
      <c r="H34" t="n">
        <v>30.1</v>
      </c>
      <c r="I34" s="2" t="n">
        <v>56000</v>
      </c>
      <c r="J34" t="n">
        <v>-15.9</v>
      </c>
      <c r="K34" t="n">
        <v>255.3</v>
      </c>
      <c r="L34" s="2" t="n">
        <v>42570</v>
      </c>
      <c r="M34" t="n">
        <v>370.2</v>
      </c>
      <c r="N34" t="inlineStr">
        <is>
          <t>20260812800649</t>
        </is>
      </c>
      <c r="O34">
        <f>HYPERLINK("https://dart.fss.or.kr/dsaf001/main.do?rcpNo=20260812800649", "공시열람")</f>
        <v/>
      </c>
    </row>
    <row r="35">
      <c r="A35" t="inlineStr">
        <is>
          <t>2026-08-12</t>
        </is>
      </c>
      <c r="B35" t="inlineStr">
        <is>
          <t>세이브존I&amp;C</t>
        </is>
      </c>
      <c r="C35" t="inlineStr">
        <is>
          <t>067830</t>
        </is>
      </c>
      <c r="D35" t="inlineStr">
        <is>
          <t>별도</t>
        </is>
      </c>
      <c r="E35" t="inlineStr">
        <is>
          <t>2026Q2</t>
        </is>
      </c>
      <c r="F35" s="2" t="n">
        <v>31291</v>
      </c>
      <c r="G35" t="n">
        <v>8.380000000000001</v>
      </c>
      <c r="H35" t="n">
        <v>6.43</v>
      </c>
      <c r="I35" s="2" t="n">
        <v>2686</v>
      </c>
      <c r="J35" t="n">
        <v>106.22</v>
      </c>
      <c r="K35" t="n">
        <v>0.44</v>
      </c>
      <c r="L35" s="2" t="n">
        <v>31438</v>
      </c>
      <c r="M35" t="n">
        <v>768.28</v>
      </c>
      <c r="N35" t="inlineStr">
        <is>
          <t>20260812800866</t>
        </is>
      </c>
      <c r="O35">
        <f>HYPERLINK("https://dart.fss.or.kr/dsaf001/main.do?rcpNo=20260812800866", "공시열람")</f>
        <v/>
      </c>
    </row>
    <row r="36">
      <c r="A36" t="inlineStr">
        <is>
          <t>2026-08-12</t>
        </is>
      </c>
      <c r="B36" t="inlineStr">
        <is>
          <t>가비아</t>
        </is>
      </c>
      <c r="C36" t="inlineStr">
        <is>
          <t>079940</t>
        </is>
      </c>
      <c r="D36" t="inlineStr">
        <is>
          <t>연결</t>
        </is>
      </c>
      <c r="E36" t="inlineStr">
        <is>
          <t>2026Q2</t>
        </is>
      </c>
      <c r="F36" s="2" t="n">
        <v>88761</v>
      </c>
      <c r="G36" t="n">
        <v>4.5</v>
      </c>
      <c r="H36" t="n">
        <v>10.1</v>
      </c>
      <c r="I36" s="2" t="n">
        <v>12477</v>
      </c>
      <c r="J36" t="n">
        <v>16.3</v>
      </c>
      <c r="K36" t="n">
        <v>55.2</v>
      </c>
      <c r="L36" s="2" t="n">
        <v>8716</v>
      </c>
      <c r="M36" t="n">
        <v>43</v>
      </c>
      <c r="N36" t="inlineStr">
        <is>
          <t>20260812900599</t>
        </is>
      </c>
      <c r="O36">
        <f>HYPERLINK("https://dart.fss.or.kr/dsaf001/main.do?rcpNo=20260812900599", "공시열람")</f>
        <v/>
      </c>
    </row>
    <row r="37">
      <c r="A37" t="inlineStr">
        <is>
          <t>2026-08-12</t>
        </is>
      </c>
      <c r="B37" t="inlineStr">
        <is>
          <t>마녀공장</t>
        </is>
      </c>
      <c r="C37" t="inlineStr">
        <is>
          <t>439090</t>
        </is>
      </c>
      <c r="D37" t="inlineStr">
        <is>
          <t>연결</t>
        </is>
      </c>
      <c r="E37" t="inlineStr">
        <is>
          <t>2026Q2</t>
        </is>
      </c>
      <c r="F37" s="2" t="n">
        <v>25810</v>
      </c>
      <c r="G37" t="n">
        <v>-4.11</v>
      </c>
      <c r="H37" t="n">
        <v>-18.56</v>
      </c>
      <c r="I37" s="2" t="n">
        <v>2524</v>
      </c>
      <c r="J37" t="n">
        <v>-58.3</v>
      </c>
      <c r="K37" t="n">
        <v>-15.39</v>
      </c>
      <c r="L37" s="2" t="n">
        <v>2807</v>
      </c>
      <c r="M37" t="n">
        <v>47.58</v>
      </c>
      <c r="N37" t="inlineStr">
        <is>
          <t>20260812900626</t>
        </is>
      </c>
      <c r="O37">
        <f>HYPERLINK("https://dart.fss.or.kr/dsaf001/main.do?rcpNo=20260812900626", "공시열람")</f>
        <v/>
      </c>
    </row>
    <row r="38">
      <c r="A38" t="inlineStr">
        <is>
          <t>2026-08-12</t>
        </is>
      </c>
      <c r="B38" t="inlineStr">
        <is>
          <t>위메이드</t>
        </is>
      </c>
      <c r="C38" t="inlineStr">
        <is>
          <t>112040</t>
        </is>
      </c>
      <c r="D38" t="inlineStr">
        <is>
          <t>연결</t>
        </is>
      </c>
      <c r="E38" t="inlineStr">
        <is>
          <t>2026Q2</t>
        </is>
      </c>
      <c r="F38" s="2" t="n">
        <v>108274</v>
      </c>
      <c r="G38" t="n">
        <v>-29.4</v>
      </c>
      <c r="H38" t="n">
        <v>-7.3</v>
      </c>
      <c r="I38" s="2" t="n">
        <v>-20962</v>
      </c>
      <c r="J38" t="inlineStr"/>
      <c r="K38" t="n">
        <v>26.6</v>
      </c>
      <c r="L38" s="2" t="n">
        <v>3457</v>
      </c>
      <c r="M38" t="inlineStr"/>
      <c r="N38" t="inlineStr">
        <is>
          <t>20260812900664</t>
        </is>
      </c>
      <c r="O38">
        <f>HYPERLINK("https://dart.fss.or.kr/dsaf001/main.do?rcpNo=20260812900664", "공시열람")</f>
        <v/>
      </c>
    </row>
    <row r="39">
      <c r="A39" t="inlineStr">
        <is>
          <t>2026-08-12</t>
        </is>
      </c>
      <c r="B39" t="inlineStr">
        <is>
          <t>GS글로벌</t>
        </is>
      </c>
      <c r="C39" t="inlineStr">
        <is>
          <t>001250</t>
        </is>
      </c>
      <c r="D39" t="inlineStr">
        <is>
          <t>연결</t>
        </is>
      </c>
      <c r="E39" t="inlineStr">
        <is>
          <t>2026Q2</t>
        </is>
      </c>
      <c r="F39" s="2" t="n">
        <v>1134889</v>
      </c>
      <c r="G39" t="n">
        <v>3.3</v>
      </c>
      <c r="H39" t="n">
        <v>5.7</v>
      </c>
      <c r="I39" s="2" t="n">
        <v>11717</v>
      </c>
      <c r="J39" t="n">
        <v>-8.800000000000001</v>
      </c>
      <c r="K39" t="n">
        <v>-40.8</v>
      </c>
      <c r="L39" s="2" t="n">
        <v>7858</v>
      </c>
      <c r="M39" t="n">
        <v>-37.3</v>
      </c>
      <c r="N39" t="inlineStr">
        <is>
          <t>20260812800727</t>
        </is>
      </c>
      <c r="O39">
        <f>HYPERLINK("https://dart.fss.or.kr/dsaf001/main.do?rcpNo=20260812800727", "공시열람")</f>
        <v/>
      </c>
    </row>
    <row r="40">
      <c r="A40" t="inlineStr">
        <is>
          <t>2026-08-12</t>
        </is>
      </c>
      <c r="B40" t="inlineStr">
        <is>
          <t>JW신약</t>
        </is>
      </c>
      <c r="C40" t="inlineStr">
        <is>
          <t>067290</t>
        </is>
      </c>
      <c r="D40" t="inlineStr">
        <is>
          <t>별도</t>
        </is>
      </c>
      <c r="E40" t="inlineStr">
        <is>
          <t>2026Q2</t>
        </is>
      </c>
      <c r="F40" s="2" t="n">
        <v>21543</v>
      </c>
      <c r="G40" t="n">
        <v>0.8</v>
      </c>
      <c r="H40" t="n">
        <v>9.4</v>
      </c>
      <c r="I40" s="2" t="n">
        <v>3584</v>
      </c>
      <c r="J40" t="n">
        <v>24.3</v>
      </c>
      <c r="K40" t="n">
        <v>34.1</v>
      </c>
      <c r="L40" s="2" t="n">
        <v>3572</v>
      </c>
      <c r="M40" t="n">
        <v>15</v>
      </c>
      <c r="N40" t="inlineStr">
        <is>
          <t>20260812900453</t>
        </is>
      </c>
      <c r="O40">
        <f>HYPERLINK("https://dart.fss.or.kr/dsaf001/main.do?rcpNo=20260812900453", "공시열람")</f>
        <v/>
      </c>
    </row>
    <row r="41">
      <c r="A41" t="inlineStr">
        <is>
          <t>2026-08-12</t>
        </is>
      </c>
      <c r="B41" t="inlineStr">
        <is>
          <t>KTis</t>
        </is>
      </c>
      <c r="C41" t="inlineStr">
        <is>
          <t>058860</t>
        </is>
      </c>
      <c r="D41" t="inlineStr">
        <is>
          <t>별도</t>
        </is>
      </c>
      <c r="E41" t="inlineStr">
        <is>
          <t>2026Q2</t>
        </is>
      </c>
      <c r="F41" s="2" t="n">
        <v>155355</v>
      </c>
      <c r="G41" t="n">
        <v>0.3</v>
      </c>
      <c r="H41" t="n">
        <v>10.4</v>
      </c>
      <c r="I41" s="2" t="n">
        <v>7127</v>
      </c>
      <c r="J41" t="n">
        <v>36.6</v>
      </c>
      <c r="K41" t="n">
        <v>8.199999999999999</v>
      </c>
      <c r="L41" s="2" t="n">
        <v>5790</v>
      </c>
      <c r="M41" t="n">
        <v>5.6</v>
      </c>
      <c r="N41" t="inlineStr">
        <is>
          <t>20260812800755</t>
        </is>
      </c>
      <c r="O41">
        <f>HYPERLINK("https://dart.fss.or.kr/dsaf001/main.do?rcpNo=20260812800755", "공시열람")</f>
        <v/>
      </c>
    </row>
    <row r="42">
      <c r="A42" t="inlineStr">
        <is>
          <t>2026-08-12</t>
        </is>
      </c>
      <c r="B42" t="inlineStr">
        <is>
          <t>KT지니뮤직</t>
        </is>
      </c>
      <c r="C42" t="inlineStr">
        <is>
          <t>043610</t>
        </is>
      </c>
      <c r="D42" t="inlineStr">
        <is>
          <t>연결</t>
        </is>
      </c>
      <c r="E42" t="inlineStr">
        <is>
          <t>2026Q2</t>
        </is>
      </c>
      <c r="F42" s="2" t="n">
        <v>77216</v>
      </c>
      <c r="G42" t="n">
        <v>2.71</v>
      </c>
      <c r="H42" t="n">
        <v>5.1</v>
      </c>
      <c r="I42" s="2" t="n">
        <v>1894</v>
      </c>
      <c r="J42" t="n">
        <v>-61.81</v>
      </c>
      <c r="K42" t="n">
        <v>-62.29</v>
      </c>
      <c r="L42" s="2" t="n">
        <v>-465</v>
      </c>
      <c r="M42" t="inlineStr"/>
      <c r="N42" t="inlineStr">
        <is>
          <t>20260812900780</t>
        </is>
      </c>
      <c r="O42">
        <f>HYPERLINK("https://dart.fss.or.kr/dsaf001/main.do?rcpNo=20260812900780", "공시열람")</f>
        <v/>
      </c>
    </row>
    <row r="43">
      <c r="A43" t="inlineStr">
        <is>
          <t>2026-08-12</t>
        </is>
      </c>
      <c r="B43" t="inlineStr">
        <is>
          <t>위메이드맥스</t>
        </is>
      </c>
      <c r="C43" t="inlineStr">
        <is>
          <t>101730</t>
        </is>
      </c>
      <c r="D43" t="inlineStr">
        <is>
          <t>연결</t>
        </is>
      </c>
      <c r="E43" t="inlineStr">
        <is>
          <t>2026Q2</t>
        </is>
      </c>
      <c r="F43" s="2" t="n">
        <v>33703</v>
      </c>
      <c r="G43" t="n">
        <v>3.1</v>
      </c>
      <c r="H43" t="n">
        <v>2.1</v>
      </c>
      <c r="I43" s="2" t="n">
        <v>-15429</v>
      </c>
      <c r="J43" t="n">
        <v>-0.5</v>
      </c>
      <c r="K43" t="n">
        <v>7.6</v>
      </c>
      <c r="L43" s="2" t="n">
        <v>-14377</v>
      </c>
      <c r="M43" t="n">
        <v>5.3</v>
      </c>
      <c r="N43" t="inlineStr">
        <is>
          <t>20260812900817</t>
        </is>
      </c>
      <c r="O43">
        <f>HYPERLINK("https://dart.fss.or.kr/dsaf001/main.do?rcpNo=20260812900817", "공시열람")</f>
        <v/>
      </c>
    </row>
    <row r="44">
      <c r="A44" t="inlineStr">
        <is>
          <t>2026-08-12</t>
        </is>
      </c>
      <c r="B44" t="inlineStr">
        <is>
          <t>JW생명과학</t>
        </is>
      </c>
      <c r="C44" t="inlineStr">
        <is>
          <t>234080</t>
        </is>
      </c>
      <c r="D44" t="inlineStr">
        <is>
          <t>별도</t>
        </is>
      </c>
      <c r="E44" t="inlineStr">
        <is>
          <t>2026Q2</t>
        </is>
      </c>
      <c r="F44" s="2" t="n">
        <v>56728</v>
      </c>
      <c r="G44" t="n">
        <v>-4.28</v>
      </c>
      <c r="H44" t="n">
        <v>-0.8</v>
      </c>
      <c r="I44" s="2" t="n">
        <v>7842</v>
      </c>
      <c r="J44" t="n">
        <v>-12.07</v>
      </c>
      <c r="K44" t="n">
        <v>3.76</v>
      </c>
      <c r="L44" s="2" t="n">
        <v>5954</v>
      </c>
      <c r="M44" t="n">
        <v>-37.23</v>
      </c>
      <c r="N44" t="inlineStr">
        <is>
          <t>20260812800461</t>
        </is>
      </c>
      <c r="O44">
        <f>HYPERLINK("https://dart.fss.or.kr/dsaf001/main.do?rcpNo=20260812800461", "공시열람")</f>
        <v/>
      </c>
    </row>
    <row r="45">
      <c r="A45" t="inlineStr">
        <is>
          <t>2026-08-12</t>
        </is>
      </c>
      <c r="B45" t="inlineStr">
        <is>
          <t>메리츠금융지주</t>
        </is>
      </c>
      <c r="C45" t="inlineStr">
        <is>
          <t>138040</t>
        </is>
      </c>
      <c r="D45" t="inlineStr">
        <is>
          <t>연결</t>
        </is>
      </c>
      <c r="E45" t="inlineStr">
        <is>
          <t>2026Q2</t>
        </is>
      </c>
      <c r="F45" s="2" t="n">
        <v>16163062</v>
      </c>
      <c r="G45" t="n">
        <v>25.6</v>
      </c>
      <c r="H45" t="n">
        <v>145.1</v>
      </c>
      <c r="I45" s="2" t="n">
        <v>245738</v>
      </c>
      <c r="J45" t="n">
        <v>-3.9</v>
      </c>
      <c r="K45" t="n">
        <v>-18.2</v>
      </c>
      <c r="L45" s="2" t="n">
        <v>259743</v>
      </c>
      <c r="M45" t="n">
        <v>1.4</v>
      </c>
      <c r="N45" t="inlineStr">
        <is>
          <t>20260812800518</t>
        </is>
      </c>
      <c r="O45">
        <f>HYPERLINK("https://dart.fss.or.kr/dsaf001/main.do?rcpNo=20260812800518", "공시열람")</f>
        <v/>
      </c>
    </row>
    <row r="46">
      <c r="A46" t="inlineStr">
        <is>
          <t>2026-08-12</t>
        </is>
      </c>
      <c r="B46" t="inlineStr">
        <is>
          <t>케이아이엔엑스</t>
        </is>
      </c>
      <c r="C46" t="inlineStr">
        <is>
          <t>093320</t>
        </is>
      </c>
      <c r="D46" t="inlineStr">
        <is>
          <t>별도</t>
        </is>
      </c>
      <c r="E46" t="inlineStr">
        <is>
          <t>2026Q2</t>
        </is>
      </c>
      <c r="F46" s="2" t="n">
        <v>29616</v>
      </c>
      <c r="G46" t="n">
        <v>-0.61</v>
      </c>
      <c r="H46" t="n">
        <v>14.9</v>
      </c>
      <c r="I46" s="2" t="n">
        <v>7969</v>
      </c>
      <c r="J46" t="n">
        <v>-0.45</v>
      </c>
      <c r="K46" t="n">
        <v>62.36</v>
      </c>
      <c r="L46" s="2" t="n">
        <v>6138</v>
      </c>
      <c r="M46" t="n">
        <v>85.19</v>
      </c>
      <c r="N46" t="inlineStr">
        <is>
          <t>20260812900364</t>
        </is>
      </c>
      <c r="O46">
        <f>HYPERLINK("https://dart.fss.or.kr/dsaf001/main.do?rcpNo=20260812900364", "공시열람")</f>
        <v/>
      </c>
    </row>
    <row r="47">
      <c r="A47" t="inlineStr">
        <is>
          <t>2026-08-12</t>
        </is>
      </c>
      <c r="B47" t="inlineStr">
        <is>
          <t>앤씨앤</t>
        </is>
      </c>
      <c r="C47" t="inlineStr">
        <is>
          <t>092600</t>
        </is>
      </c>
      <c r="D47" t="inlineStr">
        <is>
          <t>연결</t>
        </is>
      </c>
      <c r="E47" t="inlineStr">
        <is>
          <t>2026Q2</t>
        </is>
      </c>
      <c r="F47" s="2" t="n">
        <v>17953</v>
      </c>
      <c r="G47" t="n">
        <v>10.7</v>
      </c>
      <c r="H47" t="n">
        <v>-26.7</v>
      </c>
      <c r="I47" s="2" t="n">
        <v>672</v>
      </c>
      <c r="J47" t="inlineStr"/>
      <c r="K47" t="inlineStr"/>
      <c r="L47" s="2" t="n">
        <v>2442</v>
      </c>
      <c r="M47" t="inlineStr"/>
      <c r="N47" t="inlineStr">
        <is>
          <t>20260812900170</t>
        </is>
      </c>
      <c r="O47">
        <f>HYPERLINK("https://dart.fss.or.kr/dsaf001/main.do?rcpNo=20260812900170", "공시열람")</f>
        <v/>
      </c>
    </row>
    <row r="48">
      <c r="A48" t="inlineStr">
        <is>
          <t>2026-08-12</t>
        </is>
      </c>
      <c r="B48" t="inlineStr">
        <is>
          <t>케이아이엔엑스</t>
        </is>
      </c>
      <c r="C48" t="inlineStr">
        <is>
          <t>093320</t>
        </is>
      </c>
      <c r="D48" t="inlineStr">
        <is>
          <t>연결</t>
        </is>
      </c>
      <c r="E48" t="inlineStr">
        <is>
          <t>2026Q2</t>
        </is>
      </c>
      <c r="F48" s="2" t="n">
        <v>42506</v>
      </c>
      <c r="G48" t="n">
        <v>-0.06</v>
      </c>
      <c r="H48" t="n">
        <v>8.56</v>
      </c>
      <c r="I48" s="2" t="n">
        <v>8818</v>
      </c>
      <c r="J48" t="n">
        <v>-0.54</v>
      </c>
      <c r="K48" t="n">
        <v>51.15</v>
      </c>
      <c r="L48" s="2" t="n">
        <v>6772</v>
      </c>
      <c r="M48" t="n">
        <v>67.23999999999999</v>
      </c>
      <c r="N48" t="inlineStr">
        <is>
          <t>20260812900363</t>
        </is>
      </c>
      <c r="O48">
        <f>HYPERLINK("https://dart.fss.or.kr/dsaf001/main.do?rcpNo=20260812900363", "공시열람")</f>
        <v/>
      </c>
    </row>
    <row r="49">
      <c r="A49" t="inlineStr">
        <is>
          <t>2026-08-12</t>
        </is>
      </c>
      <c r="B49" t="inlineStr">
        <is>
          <t>더블유게임즈</t>
        </is>
      </c>
      <c r="C49" t="inlineStr">
        <is>
          <t>192080</t>
        </is>
      </c>
      <c r="D49" t="inlineStr">
        <is>
          <t>연결</t>
        </is>
      </c>
      <c r="E49" t="inlineStr">
        <is>
          <t>2026Q2</t>
        </is>
      </c>
      <c r="F49" s="2" t="n">
        <v>210629</v>
      </c>
      <c r="G49" t="n">
        <v>2.8</v>
      </c>
      <c r="H49" t="n">
        <v>22.5</v>
      </c>
      <c r="I49" s="2" t="n">
        <v>70072</v>
      </c>
      <c r="J49" t="n">
        <v>2.3</v>
      </c>
      <c r="K49" t="n">
        <v>29</v>
      </c>
      <c r="L49" s="2" t="n">
        <v>65033</v>
      </c>
      <c r="M49" t="n">
        <v>97.09999999999999</v>
      </c>
      <c r="N49" t="inlineStr">
        <is>
          <t>20260812800023</t>
        </is>
      </c>
      <c r="O49">
        <f>HYPERLINK("https://dart.fss.or.kr/dsaf001/main.do?rcpNo=20260812800023", "공시열람")</f>
        <v/>
      </c>
    </row>
    <row r="50">
      <c r="A50" t="inlineStr">
        <is>
          <t>2026-08-12</t>
        </is>
      </c>
      <c r="B50" t="inlineStr">
        <is>
          <t>네오위즈</t>
        </is>
      </c>
      <c r="C50" t="inlineStr">
        <is>
          <t>095660</t>
        </is>
      </c>
      <c r="D50" t="inlineStr">
        <is>
          <t>연결</t>
        </is>
      </c>
      <c r="E50" t="inlineStr">
        <is>
          <t>2026Q2</t>
        </is>
      </c>
      <c r="F50" s="2" t="n">
        <v>102073</v>
      </c>
      <c r="G50" t="n">
        <v>0.6</v>
      </c>
      <c r="H50" t="n">
        <v>-7.2</v>
      </c>
      <c r="I50" s="2" t="n">
        <v>7942</v>
      </c>
      <c r="J50" t="n">
        <v>14.3</v>
      </c>
      <c r="K50" t="n">
        <v>-57.3</v>
      </c>
      <c r="L50" s="2" t="n">
        <v>18406</v>
      </c>
      <c r="M50" t="n">
        <v>44.1</v>
      </c>
      <c r="N50" t="inlineStr">
        <is>
          <t>20260812900051</t>
        </is>
      </c>
      <c r="O50">
        <f>HYPERLINK("https://dart.fss.or.kr/dsaf001/main.do?rcpNo=20260812900051", "공시열람")</f>
        <v/>
      </c>
    </row>
    <row r="51">
      <c r="A51" t="inlineStr">
        <is>
          <t>2026-08-12</t>
        </is>
      </c>
      <c r="B51" t="inlineStr">
        <is>
          <t>한국콜마</t>
        </is>
      </c>
      <c r="C51" t="inlineStr">
        <is>
          <t>161890</t>
        </is>
      </c>
      <c r="D51" t="inlineStr">
        <is>
          <t>별도</t>
        </is>
      </c>
      <c r="E51" t="inlineStr">
        <is>
          <t>2026Q2</t>
        </is>
      </c>
      <c r="F51" s="2" t="n">
        <v>430401</v>
      </c>
      <c r="G51" t="n">
        <v>25.46</v>
      </c>
      <c r="H51" t="n">
        <v>31.16</v>
      </c>
      <c r="I51" s="2" t="n">
        <v>70775</v>
      </c>
      <c r="J51" t="n">
        <v>38.14</v>
      </c>
      <c r="K51" t="n">
        <v>44.34</v>
      </c>
      <c r="L51" s="2" t="n">
        <v>52141</v>
      </c>
      <c r="M51" t="n">
        <v>68.15000000000001</v>
      </c>
      <c r="N51" t="inlineStr">
        <is>
          <t>20260812800079</t>
        </is>
      </c>
      <c r="O51">
        <f>HYPERLINK("https://dart.fss.or.kr/dsaf001/main.do?rcpNo=20260812800079", "공시열람")</f>
        <v/>
      </c>
    </row>
    <row r="52">
      <c r="A52" t="inlineStr">
        <is>
          <t>2026-08-12</t>
        </is>
      </c>
      <c r="B52" t="inlineStr">
        <is>
          <t>한국콜마</t>
        </is>
      </c>
      <c r="C52" t="inlineStr">
        <is>
          <t>161890</t>
        </is>
      </c>
      <c r="D52" t="inlineStr">
        <is>
          <t>연결</t>
        </is>
      </c>
      <c r="E52" t="inlineStr">
        <is>
          <t>2026Q2</t>
        </is>
      </c>
      <c r="F52" s="2" t="n">
        <v>861277</v>
      </c>
      <c r="G52" t="n">
        <v>18.3</v>
      </c>
      <c r="H52" t="n">
        <v>17.85</v>
      </c>
      <c r="I52" s="2" t="n">
        <v>110341</v>
      </c>
      <c r="J52" t="n">
        <v>39.87</v>
      </c>
      <c r="K52" t="n">
        <v>50.17</v>
      </c>
      <c r="L52" s="2" t="n">
        <v>70615</v>
      </c>
      <c r="M52" t="n">
        <v>68.92</v>
      </c>
      <c r="N52" t="inlineStr">
        <is>
          <t>20260812800082</t>
        </is>
      </c>
      <c r="O52">
        <f>HYPERLINK("https://dart.fss.or.kr/dsaf001/main.do?rcpNo=20260812800082", "공시열람")</f>
        <v/>
      </c>
    </row>
    <row r="53">
      <c r="A53" t="inlineStr">
        <is>
          <t>2026-08-12</t>
        </is>
      </c>
      <c r="B53" t="inlineStr">
        <is>
          <t>컴투스</t>
        </is>
      </c>
      <c r="C53" t="inlineStr">
        <is>
          <t>078340</t>
        </is>
      </c>
      <c r="D53" t="inlineStr">
        <is>
          <t>연결</t>
        </is>
      </c>
      <c r="E53" t="inlineStr">
        <is>
          <t>2026Q2</t>
        </is>
      </c>
      <c r="F53" s="2" t="n">
        <v>157020</v>
      </c>
      <c r="G53" t="n">
        <v>8.5</v>
      </c>
      <c r="H53" t="n">
        <v>-15</v>
      </c>
      <c r="I53" s="2" t="n">
        <v>7160</v>
      </c>
      <c r="J53" t="n">
        <v>39.4</v>
      </c>
      <c r="K53" t="n">
        <v>420.7</v>
      </c>
      <c r="L53" s="2" t="n">
        <v>-3507</v>
      </c>
      <c r="M53" t="inlineStr"/>
      <c r="N53" t="inlineStr">
        <is>
          <t>20260812900071</t>
        </is>
      </c>
      <c r="O53">
        <f>HYPERLINK("https://dart.fss.or.kr/dsaf001/main.do?rcpNo=20260812900071", "공시열람")</f>
        <v/>
      </c>
    </row>
    <row r="54">
      <c r="A54" t="inlineStr">
        <is>
          <t>2026-08-12</t>
        </is>
      </c>
      <c r="B54" t="inlineStr">
        <is>
          <t>미래에셋증권</t>
        </is>
      </c>
      <c r="C54" t="inlineStr">
        <is>
          <t>006800</t>
        </is>
      </c>
      <c r="D54" t="inlineStr">
        <is>
          <t>연결</t>
        </is>
      </c>
      <c r="E54" t="inlineStr">
        <is>
          <t>2026Q2</t>
        </is>
      </c>
      <c r="F54" s="2" t="n">
        <v>21631395</v>
      </c>
      <c r="G54" t="n">
        <v>49.9</v>
      </c>
      <c r="H54" t="n">
        <v>181.1</v>
      </c>
      <c r="I54" s="2" t="n">
        <v>2489873</v>
      </c>
      <c r="J54" t="n">
        <v>81.09999999999999</v>
      </c>
      <c r="K54" t="n">
        <v>397.5</v>
      </c>
      <c r="L54" s="2" t="n">
        <v>1905216</v>
      </c>
      <c r="M54" t="n">
        <v>369.4</v>
      </c>
      <c r="N54" t="inlineStr">
        <is>
          <t>20260812800085</t>
        </is>
      </c>
      <c r="O54">
        <f>HYPERLINK("https://dart.fss.or.kr/dsaf001/main.do?rcpNo=20260812800085", "공시열람")</f>
        <v/>
      </c>
    </row>
    <row r="55">
      <c r="A55" t="inlineStr">
        <is>
          <t>2026-08-12</t>
        </is>
      </c>
      <c r="B55" t="inlineStr">
        <is>
          <t>케이티</t>
        </is>
      </c>
      <c r="C55" t="inlineStr">
        <is>
          <t>030200</t>
        </is>
      </c>
      <c r="D55" t="inlineStr">
        <is>
          <t>별도</t>
        </is>
      </c>
      <c r="E55" t="inlineStr">
        <is>
          <t>2026Q2</t>
        </is>
      </c>
      <c r="F55" s="2" t="n">
        <v>4523500</v>
      </c>
      <c r="G55" t="n">
        <v>-6.4</v>
      </c>
      <c r="H55" t="n">
        <v>-5.2</v>
      </c>
      <c r="I55" s="2" t="n">
        <v>389000</v>
      </c>
      <c r="J55" t="n">
        <v>23.9</v>
      </c>
      <c r="K55" t="n">
        <v>-17</v>
      </c>
      <c r="L55" s="2" t="n">
        <v>285300</v>
      </c>
      <c r="M55" t="n">
        <v>-20.3</v>
      </c>
      <c r="N55" t="inlineStr">
        <is>
          <t>20260812800089</t>
        </is>
      </c>
      <c r="O55">
        <f>HYPERLINK("https://dart.fss.or.kr/dsaf001/main.do?rcpNo=20260812800089", "공시열람")</f>
        <v/>
      </c>
    </row>
    <row r="56">
      <c r="A56" t="inlineStr">
        <is>
          <t>2026-08-12</t>
        </is>
      </c>
      <c r="B56" t="inlineStr">
        <is>
          <t>케이티</t>
        </is>
      </c>
      <c r="C56" t="inlineStr">
        <is>
          <t>030200</t>
        </is>
      </c>
      <c r="D56" t="inlineStr">
        <is>
          <t>연결</t>
        </is>
      </c>
      <c r="E56" t="inlineStr">
        <is>
          <t>2026Q2</t>
        </is>
      </c>
      <c r="F56" s="2" t="n">
        <v>6679900</v>
      </c>
      <c r="G56" t="n">
        <v>-1.5</v>
      </c>
      <c r="H56" t="n">
        <v>-10.1</v>
      </c>
      <c r="I56" s="2" t="n">
        <v>648300</v>
      </c>
      <c r="J56" t="n">
        <v>34.3</v>
      </c>
      <c r="K56" t="n">
        <v>-36.1</v>
      </c>
      <c r="L56" s="2" t="n">
        <v>480600</v>
      </c>
      <c r="M56" t="n">
        <v>-34.5</v>
      </c>
      <c r="N56" t="inlineStr">
        <is>
          <t>20260812800090</t>
        </is>
      </c>
      <c r="O56">
        <f>HYPERLINK("https://dart.fss.or.kr/dsaf001/main.do?rcpNo=20260812800090", "공시열람")</f>
        <v/>
      </c>
    </row>
    <row r="57">
      <c r="A57" t="inlineStr">
        <is>
          <t>2026-08-12</t>
        </is>
      </c>
      <c r="B57" t="inlineStr">
        <is>
          <t>에스피지</t>
        </is>
      </c>
      <c r="C57" t="inlineStr">
        <is>
          <t>058610</t>
        </is>
      </c>
      <c r="D57" t="inlineStr">
        <is>
          <t>연결</t>
        </is>
      </c>
      <c r="E57" t="inlineStr">
        <is>
          <t>2026Q2</t>
        </is>
      </c>
      <c r="F57" s="2" t="n">
        <v>88770</v>
      </c>
      <c r="G57" t="n">
        <v>9.800000000000001</v>
      </c>
      <c r="H57" t="n">
        <v>10.3</v>
      </c>
      <c r="I57" s="2" t="n">
        <v>3997</v>
      </c>
      <c r="J57" t="n">
        <v>-10.9</v>
      </c>
      <c r="K57" t="n">
        <v>2</v>
      </c>
      <c r="L57" s="2" t="n">
        <v>2435</v>
      </c>
      <c r="M57" t="n">
        <v>1.1</v>
      </c>
      <c r="N57" t="inlineStr">
        <is>
          <t>20260812900128</t>
        </is>
      </c>
      <c r="O57">
        <f>HYPERLINK("https://dart.fss.or.kr/dsaf001/main.do?rcpNo=20260812900128", "공시열람")</f>
        <v/>
      </c>
    </row>
    <row r="58">
      <c r="A58" t="inlineStr">
        <is>
          <t>2026-08-12</t>
        </is>
      </c>
      <c r="B58" t="inlineStr">
        <is>
          <t>실리콘투</t>
        </is>
      </c>
      <c r="C58" t="inlineStr">
        <is>
          <t>257720</t>
        </is>
      </c>
      <c r="D58" t="inlineStr">
        <is>
          <t>연결</t>
        </is>
      </c>
      <c r="E58" t="inlineStr">
        <is>
          <t>2026Q2</t>
        </is>
      </c>
      <c r="F58" s="2" t="n">
        <v>402597</v>
      </c>
      <c r="G58" t="n">
        <v>16.2</v>
      </c>
      <c r="H58" t="n">
        <v>51.8</v>
      </c>
      <c r="I58" s="2" t="n">
        <v>82970</v>
      </c>
      <c r="J58" t="n">
        <v>28.6</v>
      </c>
      <c r="K58" t="n">
        <v>59</v>
      </c>
      <c r="L58" s="2" t="n">
        <v>72331</v>
      </c>
      <c r="M58" t="n">
        <v>103.2</v>
      </c>
      <c r="N58" t="inlineStr">
        <is>
          <t>20260812900140</t>
        </is>
      </c>
      <c r="O58">
        <f>HYPERLINK("https://dart.fss.or.kr/dsaf001/main.do?rcpNo=20260812900140", "공시열람")</f>
        <v/>
      </c>
    </row>
    <row r="59">
      <c r="A59" t="inlineStr">
        <is>
          <t>2026-08-12</t>
        </is>
      </c>
      <c r="B59" t="inlineStr">
        <is>
          <t>더블유게임즈</t>
        </is>
      </c>
      <c r="C59" t="inlineStr">
        <is>
          <t>192080</t>
        </is>
      </c>
      <c r="D59" t="inlineStr">
        <is>
          <t>별도</t>
        </is>
      </c>
      <c r="E59" t="inlineStr">
        <is>
          <t>2026Q2</t>
        </is>
      </c>
      <c r="F59" s="2" t="n">
        <v>46289</v>
      </c>
      <c r="G59" t="n">
        <v>1</v>
      </c>
      <c r="H59" t="n">
        <v>6</v>
      </c>
      <c r="I59" s="2" t="n">
        <v>13423</v>
      </c>
      <c r="J59" t="n">
        <v>-17.2</v>
      </c>
      <c r="K59" t="n">
        <v>8.9</v>
      </c>
      <c r="L59" s="2" t="n">
        <v>12193</v>
      </c>
      <c r="M59" t="n">
        <v>434.7</v>
      </c>
      <c r="N59" t="inlineStr">
        <is>
          <t>20260812800020</t>
        </is>
      </c>
      <c r="O59">
        <f>HYPERLINK("https://dart.fss.or.kr/dsaf001/main.do?rcpNo=20260812800020", "공시열람")</f>
        <v/>
      </c>
    </row>
    <row r="60">
      <c r="A60" t="inlineStr">
        <is>
          <t>2026-08-12</t>
        </is>
      </c>
      <c r="B60" t="inlineStr">
        <is>
          <t>한화손해보험</t>
        </is>
      </c>
      <c r="C60" t="inlineStr">
        <is>
          <t>000370</t>
        </is>
      </c>
      <c r="D60" t="inlineStr">
        <is>
          <t>별도</t>
        </is>
      </c>
      <c r="E60" t="inlineStr">
        <is>
          <t>2026Q2</t>
        </is>
      </c>
      <c r="F60" s="2" t="n">
        <v>1977376</v>
      </c>
      <c r="G60" t="n">
        <v>0.3</v>
      </c>
      <c r="H60" t="n">
        <v>15.4</v>
      </c>
      <c r="I60" s="2" t="n">
        <v>135147</v>
      </c>
      <c r="J60" t="n">
        <v>3.5</v>
      </c>
      <c r="K60" t="n">
        <v>15.9</v>
      </c>
      <c r="L60" s="2" t="n">
        <v>116426</v>
      </c>
      <c r="M60" t="n">
        <v>45.6</v>
      </c>
      <c r="N60" t="inlineStr">
        <is>
          <t>20260812800203</t>
        </is>
      </c>
      <c r="O60">
        <f>HYPERLINK("https://dart.fss.or.kr/dsaf001/main.do?rcpNo=20260812800203", "공시열람")</f>
        <v/>
      </c>
    </row>
    <row r="61">
      <c r="A61" t="inlineStr">
        <is>
          <t>2026-08-12</t>
        </is>
      </c>
      <c r="B61" t="inlineStr">
        <is>
          <t>SK오션플랜트</t>
        </is>
      </c>
      <c r="C61" t="inlineStr">
        <is>
          <t>100090</t>
        </is>
      </c>
      <c r="D61" t="inlineStr">
        <is>
          <t>연결</t>
        </is>
      </c>
      <c r="E61" t="inlineStr">
        <is>
          <t>2026Q2</t>
        </is>
      </c>
      <c r="F61" s="2" t="n">
        <v>170484</v>
      </c>
      <c r="G61" t="n">
        <v>-2.4</v>
      </c>
      <c r="H61" t="n">
        <v>-29.1</v>
      </c>
      <c r="I61" s="2" t="n">
        <v>19344</v>
      </c>
      <c r="J61" t="n">
        <v>14.7</v>
      </c>
      <c r="K61" t="n">
        <v>24.4</v>
      </c>
      <c r="L61" s="2" t="n">
        <v>13789</v>
      </c>
      <c r="M61" t="n">
        <v>62.2</v>
      </c>
      <c r="N61" t="inlineStr">
        <is>
          <t>20260812800199</t>
        </is>
      </c>
      <c r="O61">
        <f>HYPERLINK("https://dart.fss.or.kr/dsaf001/main.do?rcpNo=20260812800199", "공시열람")</f>
        <v/>
      </c>
    </row>
    <row r="62">
      <c r="A62" t="inlineStr">
        <is>
          <t>2026-08-12</t>
        </is>
      </c>
      <c r="B62" t="inlineStr">
        <is>
          <t>클래시스</t>
        </is>
      </c>
      <c r="C62" t="inlineStr">
        <is>
          <t>214150</t>
        </is>
      </c>
      <c r="D62" t="inlineStr">
        <is>
          <t>연결</t>
        </is>
      </c>
      <c r="E62" t="inlineStr">
        <is>
          <t>2026Q2</t>
        </is>
      </c>
      <c r="F62" s="2" t="n">
        <v>105515</v>
      </c>
      <c r="G62" t="n">
        <v>21</v>
      </c>
      <c r="H62" t="n">
        <v>26.7</v>
      </c>
      <c r="I62" s="2" t="n">
        <v>43941</v>
      </c>
      <c r="J62" t="n">
        <v>18.1</v>
      </c>
      <c r="K62" t="n">
        <v>2.2</v>
      </c>
      <c r="L62" s="2" t="n">
        <v>25521</v>
      </c>
      <c r="M62" t="n">
        <v>-3.6</v>
      </c>
      <c r="N62" t="inlineStr">
        <is>
          <t>20260812900269</t>
        </is>
      </c>
      <c r="O62">
        <f>HYPERLINK("https://dart.fss.or.kr/dsaf001/main.do?rcpNo=20260812900269", "공시열람")</f>
        <v/>
      </c>
    </row>
    <row r="63">
      <c r="A63" t="inlineStr">
        <is>
          <t>2026-08-12</t>
        </is>
      </c>
      <c r="B63" t="inlineStr">
        <is>
          <t>KG케미칼</t>
        </is>
      </c>
      <c r="C63" t="inlineStr">
        <is>
          <t>001390</t>
        </is>
      </c>
      <c r="D63" t="inlineStr">
        <is>
          <t>연결</t>
        </is>
      </c>
      <c r="E63" t="inlineStr">
        <is>
          <t>2026Q2</t>
        </is>
      </c>
      <c r="F63" s="2" t="n">
        <v>2581225</v>
      </c>
      <c r="G63" t="n">
        <v>7.85</v>
      </c>
      <c r="H63" t="n">
        <v>18.34</v>
      </c>
      <c r="I63" s="2" t="n">
        <v>90912</v>
      </c>
      <c r="J63" t="n">
        <v>40.75</v>
      </c>
      <c r="K63" t="n">
        <v>15.28</v>
      </c>
      <c r="L63" s="2" t="n">
        <v>135007</v>
      </c>
      <c r="M63" t="n">
        <v>132.03</v>
      </c>
      <c r="N63" t="inlineStr">
        <is>
          <t>20260812800306</t>
        </is>
      </c>
      <c r="O63">
        <f>HYPERLINK("https://dart.fss.or.kr/dsaf001/main.do?rcpNo=20260812800306", "공시열람")</f>
        <v/>
      </c>
    </row>
    <row r="64">
      <c r="A64" t="inlineStr">
        <is>
          <t>2026-08-12</t>
        </is>
      </c>
      <c r="B64" t="inlineStr">
        <is>
          <t>한국앤컴퍼니</t>
        </is>
      </c>
      <c r="C64" t="inlineStr">
        <is>
          <t>000240</t>
        </is>
      </c>
      <c r="D64" t="inlineStr">
        <is>
          <t>연결</t>
        </is>
      </c>
      <c r="E64" t="inlineStr">
        <is>
          <t>2026Q2</t>
        </is>
      </c>
      <c r="F64" s="2" t="n">
        <v>339568</v>
      </c>
      <c r="G64" t="n">
        <v>-10.3</v>
      </c>
      <c r="H64" t="n">
        <v>-1.2</v>
      </c>
      <c r="I64" s="2" t="n">
        <v>100150</v>
      </c>
      <c r="J64" t="n">
        <v>-17.7</v>
      </c>
      <c r="K64" t="n">
        <v>35.6</v>
      </c>
      <c r="L64" s="2" t="n">
        <v>95692</v>
      </c>
      <c r="M64" t="n">
        <v>69.3</v>
      </c>
      <c r="N64" t="inlineStr">
        <is>
          <t>20260812800307</t>
        </is>
      </c>
      <c r="O64">
        <f>HYPERLINK("https://dart.fss.or.kr/dsaf001/main.do?rcpNo=20260812800307", "공시열람")</f>
        <v/>
      </c>
    </row>
    <row r="65">
      <c r="A65" t="inlineStr">
        <is>
          <t>2026-08-12</t>
        </is>
      </c>
      <c r="B65" t="inlineStr">
        <is>
          <t>TS트릴리온</t>
        </is>
      </c>
      <c r="C65" t="inlineStr">
        <is>
          <t>317240</t>
        </is>
      </c>
      <c r="D65" t="inlineStr">
        <is>
          <t>연결</t>
        </is>
      </c>
      <c r="E65" t="inlineStr">
        <is>
          <t>2026Q2</t>
        </is>
      </c>
      <c r="F65" s="2" t="n">
        <v>7897</v>
      </c>
      <c r="G65" t="n">
        <v>-21.6</v>
      </c>
      <c r="H65" t="n">
        <v>45.5</v>
      </c>
      <c r="I65" s="2" t="n">
        <v>290</v>
      </c>
      <c r="J65" t="n">
        <v>-73.90000000000001</v>
      </c>
      <c r="K65" t="inlineStr"/>
      <c r="L65" s="2" t="n">
        <v>-131</v>
      </c>
      <c r="M65" t="n">
        <v>-88.8</v>
      </c>
      <c r="N65" t="inlineStr">
        <is>
          <t>20260812900338</t>
        </is>
      </c>
      <c r="O65">
        <f>HYPERLINK("https://dart.fss.or.kr/dsaf001/main.do?rcpNo=20260812900338", "공시열람")</f>
        <v/>
      </c>
    </row>
    <row r="66">
      <c r="A66" t="inlineStr">
        <is>
          <t>2026-08-12</t>
        </is>
      </c>
      <c r="B66" t="inlineStr">
        <is>
          <t>원익QnC</t>
        </is>
      </c>
      <c r="C66" t="inlineStr">
        <is>
          <t>074600</t>
        </is>
      </c>
      <c r="D66" t="inlineStr">
        <is>
          <t>연결</t>
        </is>
      </c>
      <c r="E66" t="inlineStr">
        <is>
          <t>2026Q2</t>
        </is>
      </c>
      <c r="F66" s="2" t="n">
        <v>271857</v>
      </c>
      <c r="G66" t="n">
        <v>6.1</v>
      </c>
      <c r="H66" t="n">
        <v>16.7</v>
      </c>
      <c r="I66" s="2" t="n">
        <v>30873</v>
      </c>
      <c r="J66" t="n">
        <v>41.2</v>
      </c>
      <c r="K66" t="n">
        <v>119.1</v>
      </c>
      <c r="L66" s="2" t="n">
        <v>26732</v>
      </c>
      <c r="M66" t="inlineStr"/>
      <c r="N66" t="inlineStr">
        <is>
          <t>20260812900356</t>
        </is>
      </c>
      <c r="O66">
        <f>HYPERLINK("https://dart.fss.or.kr/dsaf001/main.do?rcpNo=20260812900356", "공시열람")</f>
        <v/>
      </c>
    </row>
    <row r="67">
      <c r="A67" t="inlineStr">
        <is>
          <t>2026-08-12</t>
        </is>
      </c>
      <c r="B67" t="inlineStr">
        <is>
          <t>디케이락</t>
        </is>
      </c>
      <c r="C67" t="inlineStr">
        <is>
          <t>105740</t>
        </is>
      </c>
      <c r="D67" t="inlineStr">
        <is>
          <t>연결</t>
        </is>
      </c>
      <c r="E67" t="inlineStr">
        <is>
          <t>2026Q2</t>
        </is>
      </c>
      <c r="F67" s="2" t="n">
        <v>39520</v>
      </c>
      <c r="G67" t="n">
        <v>20.38</v>
      </c>
      <c r="H67" t="n">
        <v>28.99</v>
      </c>
      <c r="I67" s="2" t="n">
        <v>3807</v>
      </c>
      <c r="J67" t="n">
        <v>1499.58</v>
      </c>
      <c r="K67" t="n">
        <v>1112.42</v>
      </c>
      <c r="L67" s="2" t="n">
        <v>3488</v>
      </c>
      <c r="M67" t="inlineStr"/>
      <c r="N67" t="inlineStr">
        <is>
          <t>20260812900365</t>
        </is>
      </c>
      <c r="O67">
        <f>HYPERLINK("https://dart.fss.or.kr/dsaf001/main.do?rcpNo=20260812900365", "공시열람")</f>
        <v/>
      </c>
    </row>
    <row r="68">
      <c r="A68" t="inlineStr">
        <is>
          <t>2026-08-11</t>
        </is>
      </c>
      <c r="B68" t="inlineStr">
        <is>
          <t>쏘카</t>
        </is>
      </c>
      <c r="C68" t="inlineStr">
        <is>
          <t>403550</t>
        </is>
      </c>
      <c r="D68" t="inlineStr">
        <is>
          <t>연결</t>
        </is>
      </c>
      <c r="E68" t="inlineStr">
        <is>
          <t>2026Q2</t>
        </is>
      </c>
      <c r="F68" s="2" t="n">
        <v>120993</v>
      </c>
      <c r="G68" t="n">
        <v>24.6</v>
      </c>
      <c r="H68" t="n">
        <v>22.6</v>
      </c>
      <c r="I68" s="2" t="n">
        <v>6811</v>
      </c>
      <c r="J68" t="n">
        <v>390.6</v>
      </c>
      <c r="K68" t="n">
        <v>271.2</v>
      </c>
      <c r="L68" s="2" t="n">
        <v>6465</v>
      </c>
      <c r="M68" t="inlineStr"/>
      <c r="N68" t="inlineStr">
        <is>
          <t>20260811800431</t>
        </is>
      </c>
      <c r="O68">
        <f>HYPERLINK("https://dart.fss.or.kr/dsaf001/main.do?rcpNo=20260811800431", "공시열람")</f>
        <v/>
      </c>
    </row>
    <row r="69">
      <c r="A69" t="inlineStr">
        <is>
          <t>2026-08-11</t>
        </is>
      </c>
      <c r="B69" t="inlineStr">
        <is>
          <t>시프트업</t>
        </is>
      </c>
      <c r="C69" t="inlineStr">
        <is>
          <t>462870</t>
        </is>
      </c>
      <c r="D69" t="inlineStr">
        <is>
          <t>연결</t>
        </is>
      </c>
      <c r="E69" t="inlineStr">
        <is>
          <t>2025Q4</t>
        </is>
      </c>
      <c r="F69" s="2" t="n">
        <v>55724</v>
      </c>
      <c r="G69" t="n">
        <v>17.8</v>
      </c>
      <c r="H69" t="n">
        <v>-50.4</v>
      </c>
      <c r="I69" s="2" t="n">
        <v>28118</v>
      </c>
      <c r="J69" t="n">
        <v>30.7</v>
      </c>
      <c r="K69" t="n">
        <v>-58.8</v>
      </c>
      <c r="L69" s="2" t="n">
        <v>41736</v>
      </c>
      <c r="M69" t="n">
        <v>-18.7</v>
      </c>
      <c r="N69" t="inlineStr">
        <is>
          <t>20260811800484</t>
        </is>
      </c>
      <c r="O69">
        <f>HYPERLINK("https://dart.fss.or.kr/dsaf001/main.do?rcpNo=20260811800484", "공시열람")</f>
        <v/>
      </c>
    </row>
    <row r="70">
      <c r="A70" t="inlineStr">
        <is>
          <t>2026-08-11</t>
        </is>
      </c>
      <c r="B70" t="inlineStr">
        <is>
          <t>코스맥스</t>
        </is>
      </c>
      <c r="C70" t="inlineStr">
        <is>
          <t>192820</t>
        </is>
      </c>
      <c r="D70" t="inlineStr">
        <is>
          <t>연결</t>
        </is>
      </c>
      <c r="E70" t="inlineStr">
        <is>
          <t>2026Q2</t>
        </is>
      </c>
      <c r="F70" s="2" t="n">
        <v>794891</v>
      </c>
      <c r="G70" t="n">
        <v>16.55</v>
      </c>
      <c r="H70" t="n">
        <v>27.48</v>
      </c>
      <c r="I70" s="2" t="n">
        <v>73735</v>
      </c>
      <c r="J70" t="n">
        <v>39.04</v>
      </c>
      <c r="K70" t="n">
        <v>21.25</v>
      </c>
      <c r="L70" s="2" t="n">
        <v>50009</v>
      </c>
      <c r="M70" t="n">
        <v>129</v>
      </c>
      <c r="N70" t="inlineStr">
        <is>
          <t>20260811800420</t>
        </is>
      </c>
      <c r="O70">
        <f>HYPERLINK("https://dart.fss.or.kr/dsaf001/main.do?rcpNo=20260811800420", "공시열람")</f>
        <v/>
      </c>
    </row>
    <row r="71">
      <c r="A71" t="inlineStr">
        <is>
          <t>2026-08-11</t>
        </is>
      </c>
      <c r="B71" t="inlineStr">
        <is>
          <t>태광</t>
        </is>
      </c>
      <c r="C71" t="inlineStr">
        <is>
          <t>023160</t>
        </is>
      </c>
      <c r="D71" t="inlineStr">
        <is>
          <t>연결</t>
        </is>
      </c>
      <c r="E71" t="inlineStr">
        <is>
          <t>2026Q2</t>
        </is>
      </c>
      <c r="F71" s="2" t="n">
        <v>83746</v>
      </c>
      <c r="G71" t="n">
        <v>1.8</v>
      </c>
      <c r="H71" t="n">
        <v>15.8</v>
      </c>
      <c r="I71" s="2" t="n">
        <v>7212</v>
      </c>
      <c r="J71" t="n">
        <v>-22.9</v>
      </c>
      <c r="K71" t="n">
        <v>-5.8</v>
      </c>
      <c r="L71" s="2" t="n">
        <v>68946</v>
      </c>
      <c r="M71" t="n">
        <v>415.2</v>
      </c>
      <c r="N71" t="inlineStr">
        <is>
          <t>20260811900430</t>
        </is>
      </c>
      <c r="O71">
        <f>HYPERLINK("https://dart.fss.or.kr/dsaf001/main.do?rcpNo=20260811900430", "공시열람")</f>
        <v/>
      </c>
    </row>
    <row r="72">
      <c r="A72" t="inlineStr">
        <is>
          <t>2026-08-11</t>
        </is>
      </c>
      <c r="B72" t="inlineStr">
        <is>
          <t>서울반도체</t>
        </is>
      </c>
      <c r="C72" t="inlineStr">
        <is>
          <t>046890</t>
        </is>
      </c>
      <c r="D72" t="inlineStr">
        <is>
          <t>연결</t>
        </is>
      </c>
      <c r="E72" t="inlineStr">
        <is>
          <t>2026Q2</t>
        </is>
      </c>
      <c r="F72" s="2" t="n">
        <v>292104</v>
      </c>
      <c r="G72" t="n">
        <v>22.6</v>
      </c>
      <c r="H72" t="n">
        <v>16.1</v>
      </c>
      <c r="I72" s="2" t="n">
        <v>3494</v>
      </c>
      <c r="J72" t="n">
        <v>96.3</v>
      </c>
      <c r="K72" t="n">
        <v>144.3</v>
      </c>
      <c r="L72" s="2" t="n">
        <v>6194</v>
      </c>
      <c r="M72" t="n">
        <v>125</v>
      </c>
      <c r="N72" t="inlineStr">
        <is>
          <t>20260811900428</t>
        </is>
      </c>
      <c r="O72">
        <f>HYPERLINK("https://dart.fss.or.kr/dsaf001/main.do?rcpNo=20260811900428", "공시열람")</f>
        <v/>
      </c>
    </row>
    <row r="73">
      <c r="A73" t="inlineStr">
        <is>
          <t>2026-08-11</t>
        </is>
      </c>
      <c r="B73" t="inlineStr">
        <is>
          <t>HL D&amp;I</t>
        </is>
      </c>
      <c r="C73" t="inlineStr">
        <is>
          <t>014790</t>
        </is>
      </c>
      <c r="D73" t="inlineStr">
        <is>
          <t>연결</t>
        </is>
      </c>
      <c r="E73" t="inlineStr">
        <is>
          <t>2026Q2</t>
        </is>
      </c>
      <c r="F73" s="2" t="n">
        <v>445593</v>
      </c>
      <c r="G73" t="n">
        <v>15.9</v>
      </c>
      <c r="H73" t="n">
        <v>9.5</v>
      </c>
      <c r="I73" s="2" t="n">
        <v>26516</v>
      </c>
      <c r="J73" t="n">
        <v>39.7</v>
      </c>
      <c r="K73" t="n">
        <v>34.1</v>
      </c>
      <c r="L73" s="2" t="n">
        <v>10551</v>
      </c>
      <c r="M73" t="n">
        <v>19.9</v>
      </c>
      <c r="N73" t="inlineStr">
        <is>
          <t>20260811800383</t>
        </is>
      </c>
      <c r="O73">
        <f>HYPERLINK("https://dart.fss.or.kr/dsaf001/main.do?rcpNo=20260811800383", "공시열람")</f>
        <v/>
      </c>
    </row>
    <row r="74">
      <c r="A74" t="inlineStr">
        <is>
          <t>2026-08-11</t>
        </is>
      </c>
      <c r="B74" t="inlineStr">
        <is>
          <t>GS</t>
        </is>
      </c>
      <c r="C74" t="inlineStr">
        <is>
          <t>078930</t>
        </is>
      </c>
      <c r="D74" t="inlineStr">
        <is>
          <t>연결</t>
        </is>
      </c>
      <c r="E74" t="inlineStr">
        <is>
          <t>2026Q2</t>
        </is>
      </c>
      <c r="F74" s="2" t="n">
        <v>7413100</v>
      </c>
      <c r="G74" t="n">
        <v>8.34</v>
      </c>
      <c r="H74" t="n">
        <v>24.93</v>
      </c>
      <c r="I74" s="2" t="n">
        <v>1717400</v>
      </c>
      <c r="J74" t="n">
        <v>36.45</v>
      </c>
      <c r="K74" t="n">
        <v>253.37</v>
      </c>
      <c r="L74" s="2" t="n">
        <v>1132000</v>
      </c>
      <c r="M74" t="n">
        <v>1180.54</v>
      </c>
      <c r="N74" t="inlineStr">
        <is>
          <t>20260811800401</t>
        </is>
      </c>
      <c r="O74">
        <f>HYPERLINK("https://dart.fss.or.kr/dsaf001/main.do?rcpNo=20260811800401", "공시열람")</f>
        <v/>
      </c>
    </row>
    <row r="75">
      <c r="A75" t="inlineStr">
        <is>
          <t>2026-08-11</t>
        </is>
      </c>
      <c r="B75" t="inlineStr">
        <is>
          <t>GKL</t>
        </is>
      </c>
      <c r="C75" t="inlineStr">
        <is>
          <t>114090</t>
        </is>
      </c>
      <c r="D75" t="inlineStr">
        <is>
          <t>연결</t>
        </is>
      </c>
      <c r="E75" t="inlineStr">
        <is>
          <t>2026Q2</t>
        </is>
      </c>
      <c r="F75" s="2" t="n">
        <v>120451</v>
      </c>
      <c r="G75" t="n">
        <v>8.9</v>
      </c>
      <c r="H75" t="n">
        <v>19.3</v>
      </c>
      <c r="I75" s="2" t="n">
        <v>20835</v>
      </c>
      <c r="J75" t="n">
        <v>14.8</v>
      </c>
      <c r="K75" t="n">
        <v>30.5</v>
      </c>
      <c r="L75" s="2" t="n">
        <v>18015</v>
      </c>
      <c r="M75" t="n">
        <v>6.2</v>
      </c>
      <c r="N75" t="inlineStr">
        <is>
          <t>20260811800388</t>
        </is>
      </c>
      <c r="O75">
        <f>HYPERLINK("https://dart.fss.or.kr/dsaf001/main.do?rcpNo=20260811800388", "공시열람")</f>
        <v/>
      </c>
    </row>
    <row r="76">
      <c r="A76" t="inlineStr">
        <is>
          <t>2026-08-11</t>
        </is>
      </c>
      <c r="B76" t="inlineStr">
        <is>
          <t>레이크머티리얼즈</t>
        </is>
      </c>
      <c r="C76" t="inlineStr">
        <is>
          <t>281740</t>
        </is>
      </c>
      <c r="D76" t="inlineStr">
        <is>
          <t>연결</t>
        </is>
      </c>
      <c r="E76" t="inlineStr">
        <is>
          <t>2026Q2</t>
        </is>
      </c>
      <c r="F76" s="2" t="n">
        <v>37206</v>
      </c>
      <c r="G76" t="n">
        <v>12.13</v>
      </c>
      <c r="H76" t="n">
        <v>19.08</v>
      </c>
      <c r="I76" s="2" t="n">
        <v>6080</v>
      </c>
      <c r="J76" t="n">
        <v>43.12</v>
      </c>
      <c r="K76" t="n">
        <v>39.95</v>
      </c>
      <c r="L76" s="2" t="n">
        <v>2630</v>
      </c>
      <c r="M76" t="n">
        <v>131.18</v>
      </c>
      <c r="N76" t="inlineStr">
        <is>
          <t>20260811900511</t>
        </is>
      </c>
      <c r="O76">
        <f>HYPERLINK("https://dart.fss.or.kr/dsaf001/main.do?rcpNo=20260811900511", "공시열람")</f>
        <v/>
      </c>
    </row>
    <row r="77">
      <c r="A77" t="inlineStr">
        <is>
          <t>2026-08-11</t>
        </is>
      </c>
      <c r="B77" t="inlineStr">
        <is>
          <t>한국타이어앤테크놀로지</t>
        </is>
      </c>
      <c r="C77" t="inlineStr">
        <is>
          <t>161390</t>
        </is>
      </c>
      <c r="D77" t="inlineStr">
        <is>
          <t>연결</t>
        </is>
      </c>
      <c r="E77" t="inlineStr">
        <is>
          <t>2026Q2</t>
        </is>
      </c>
      <c r="F77" s="2" t="n">
        <v>5682494</v>
      </c>
      <c r="G77" t="n">
        <v>6.94</v>
      </c>
      <c r="H77" t="n">
        <v>5.83</v>
      </c>
      <c r="I77" s="2" t="n">
        <v>559087</v>
      </c>
      <c r="J77" t="n">
        <v>10.28</v>
      </c>
      <c r="K77" t="n">
        <v>58.09</v>
      </c>
      <c r="L77" s="2" t="n">
        <v>317249</v>
      </c>
      <c r="M77" t="n">
        <v>77.48</v>
      </c>
      <c r="N77" t="inlineStr">
        <is>
          <t>20260811800304</t>
        </is>
      </c>
      <c r="O77">
        <f>HYPERLINK("https://dart.fss.or.kr/dsaf001/main.do?rcpNo=20260811800304", "공시열람")</f>
        <v/>
      </c>
    </row>
    <row r="78">
      <c r="A78" t="inlineStr">
        <is>
          <t>2026-08-11</t>
        </is>
      </c>
      <c r="B78" t="inlineStr">
        <is>
          <t>광주신세계</t>
        </is>
      </c>
      <c r="C78" t="inlineStr">
        <is>
          <t>037710</t>
        </is>
      </c>
      <c r="D78" t="inlineStr">
        <is>
          <t>별도</t>
        </is>
      </c>
      <c r="E78" t="inlineStr">
        <is>
          <t>2026Q2</t>
        </is>
      </c>
      <c r="F78" s="2" t="n">
        <v>14055</v>
      </c>
      <c r="G78" t="n">
        <v>-1.9</v>
      </c>
      <c r="H78" t="n">
        <v>12.1</v>
      </c>
      <c r="I78" s="2" t="inlineStr"/>
      <c r="J78" t="inlineStr"/>
      <c r="K78" t="inlineStr"/>
      <c r="L78" s="2" t="inlineStr"/>
      <c r="M78" t="inlineStr"/>
      <c r="N78" t="inlineStr">
        <is>
          <t>20260811800310</t>
        </is>
      </c>
      <c r="O78">
        <f>HYPERLINK("https://dart.fss.or.kr/dsaf001/main.do?rcpNo=20260811800310", "공시열람")</f>
        <v/>
      </c>
    </row>
    <row r="79">
      <c r="A79" t="inlineStr">
        <is>
          <t>2026-08-11</t>
        </is>
      </c>
      <c r="B79" t="inlineStr">
        <is>
          <t>덴티움</t>
        </is>
      </c>
      <c r="C79" t="inlineStr">
        <is>
          <t>145720</t>
        </is>
      </c>
      <c r="D79" t="inlineStr">
        <is>
          <t>연결</t>
        </is>
      </c>
      <c r="E79" t="inlineStr">
        <is>
          <t>2026Q2</t>
        </is>
      </c>
      <c r="F79" s="2" t="n">
        <v>89346</v>
      </c>
      <c r="G79" t="n">
        <v>25.2</v>
      </c>
      <c r="H79" t="n">
        <v>8.6</v>
      </c>
      <c r="I79" s="2" t="n">
        <v>14688</v>
      </c>
      <c r="J79" t="n">
        <v>-7.3</v>
      </c>
      <c r="K79" t="n">
        <v>-5.5</v>
      </c>
      <c r="L79" s="2" t="n">
        <v>13890</v>
      </c>
      <c r="M79" t="n">
        <v>193.5</v>
      </c>
      <c r="N79" t="inlineStr">
        <is>
          <t>20260811800486</t>
        </is>
      </c>
      <c r="O79">
        <f>HYPERLINK("https://dart.fss.or.kr/dsaf001/main.do?rcpNo=20260811800486", "공시열람")</f>
        <v/>
      </c>
    </row>
    <row r="80">
      <c r="A80" t="inlineStr">
        <is>
          <t>2026-08-11</t>
        </is>
      </c>
      <c r="B80" t="inlineStr">
        <is>
          <t>KG에코솔루션</t>
        </is>
      </c>
      <c r="C80" t="inlineStr">
        <is>
          <t>151860</t>
        </is>
      </c>
      <c r="D80" t="inlineStr">
        <is>
          <t>연결</t>
        </is>
      </c>
      <c r="E80" t="inlineStr">
        <is>
          <t>2026Q2</t>
        </is>
      </c>
      <c r="F80" s="2" t="n">
        <v>2150309</v>
      </c>
      <c r="G80" t="n">
        <v>9.199999999999999</v>
      </c>
      <c r="H80" t="n">
        <v>19.1</v>
      </c>
      <c r="I80" s="2" t="n">
        <v>51655</v>
      </c>
      <c r="J80" t="n">
        <v>57.5</v>
      </c>
      <c r="K80" t="n">
        <v>6.9</v>
      </c>
      <c r="L80" s="2" t="n">
        <v>112761</v>
      </c>
      <c r="M80" t="n">
        <v>184</v>
      </c>
      <c r="N80" t="inlineStr">
        <is>
          <t>20260811900559</t>
        </is>
      </c>
      <c r="O80">
        <f>HYPERLINK("https://dart.fss.or.kr/dsaf001/main.do?rcpNo=20260811900559", "공시열람")</f>
        <v/>
      </c>
    </row>
    <row r="81">
      <c r="A81" t="inlineStr">
        <is>
          <t>2026-08-11</t>
        </is>
      </c>
      <c r="B81" t="inlineStr">
        <is>
          <t>대신증권</t>
        </is>
      </c>
      <c r="C81" t="inlineStr">
        <is>
          <t>003540</t>
        </is>
      </c>
      <c r="D81" t="inlineStr">
        <is>
          <t>연결</t>
        </is>
      </c>
      <c r="E81" t="inlineStr">
        <is>
          <t>2026Q2</t>
        </is>
      </c>
      <c r="F81" s="2" t="n">
        <v>2550414</v>
      </c>
      <c r="G81" t="n">
        <v>6.2</v>
      </c>
      <c r="H81" t="n">
        <v>92.90000000000001</v>
      </c>
      <c r="I81" s="2" t="n">
        <v>359933</v>
      </c>
      <c r="J81" t="n">
        <v>251.3</v>
      </c>
      <c r="K81" t="n">
        <v>165.2</v>
      </c>
      <c r="L81" s="2" t="n">
        <v>257808</v>
      </c>
      <c r="M81" t="n">
        <v>242.8</v>
      </c>
      <c r="N81" t="inlineStr">
        <is>
          <t>20260811800542</t>
        </is>
      </c>
      <c r="O81">
        <f>HYPERLINK("https://dart.fss.or.kr/dsaf001/main.do?rcpNo=20260811800542", "공시열람")</f>
        <v/>
      </c>
    </row>
    <row r="82">
      <c r="A82" t="inlineStr">
        <is>
          <t>2026-08-11</t>
        </is>
      </c>
      <c r="B82" t="inlineStr">
        <is>
          <t>코오롱글로벌</t>
        </is>
      </c>
      <c r="C82" t="inlineStr">
        <is>
          <t>003070</t>
        </is>
      </c>
      <c r="D82" t="inlineStr">
        <is>
          <t>연결</t>
        </is>
      </c>
      <c r="E82" t="inlineStr">
        <is>
          <t>2026Q2</t>
        </is>
      </c>
      <c r="F82" s="2" t="n">
        <v>750495</v>
      </c>
      <c r="G82" t="n">
        <v>18.9</v>
      </c>
      <c r="H82" t="n">
        <v>2.2</v>
      </c>
      <c r="I82" s="2" t="n">
        <v>52208</v>
      </c>
      <c r="J82" t="n">
        <v>137.2</v>
      </c>
      <c r="K82" t="n">
        <v>173.6</v>
      </c>
      <c r="L82" s="2" t="n">
        <v>32255</v>
      </c>
      <c r="M82" t="inlineStr"/>
      <c r="N82" t="inlineStr">
        <is>
          <t>20260811800546</t>
        </is>
      </c>
      <c r="O82">
        <f>HYPERLINK("https://dart.fss.or.kr/dsaf001/main.do?rcpNo=20260811800546", "공시열람")</f>
        <v/>
      </c>
    </row>
    <row r="83">
      <c r="A83" t="inlineStr">
        <is>
          <t>2026-08-11</t>
        </is>
      </c>
      <c r="B83" t="inlineStr">
        <is>
          <t>KG에코솔루션</t>
        </is>
      </c>
      <c r="C83" t="inlineStr">
        <is>
          <t>151860</t>
        </is>
      </c>
      <c r="D83" t="inlineStr">
        <is>
          <t>별도</t>
        </is>
      </c>
      <c r="E83" t="inlineStr">
        <is>
          <t>2026Q1</t>
        </is>
      </c>
      <c r="F83" s="2" t="n">
        <v>24663</v>
      </c>
      <c r="G83" t="n">
        <v>-39.1</v>
      </c>
      <c r="H83" t="n">
        <v>41</v>
      </c>
      <c r="I83" s="2" t="n">
        <v>542</v>
      </c>
      <c r="J83" t="n">
        <v>-95.59999999999999</v>
      </c>
      <c r="K83" t="n">
        <v>-10.4</v>
      </c>
      <c r="L83" s="2" t="n">
        <v>-3547</v>
      </c>
      <c r="M83" t="n">
        <v>-100.6</v>
      </c>
      <c r="N83" t="inlineStr">
        <is>
          <t>20260811900556</t>
        </is>
      </c>
      <c r="O83">
        <f>HYPERLINK("https://dart.fss.or.kr/dsaf001/main.do?rcpNo=20260811900556", "공시열람")</f>
        <v/>
      </c>
    </row>
    <row r="84">
      <c r="A84" t="inlineStr">
        <is>
          <t>2026-08-11</t>
        </is>
      </c>
      <c r="B84" t="inlineStr">
        <is>
          <t>펌텍코리아</t>
        </is>
      </c>
      <c r="C84" t="inlineStr">
        <is>
          <t>251970</t>
        </is>
      </c>
      <c r="D84" t="inlineStr">
        <is>
          <t>연결</t>
        </is>
      </c>
      <c r="E84" t="inlineStr">
        <is>
          <t>2026Q2</t>
        </is>
      </c>
      <c r="F84" s="2" t="n">
        <v>116844</v>
      </c>
      <c r="G84" t="n">
        <v>27.3</v>
      </c>
      <c r="H84" t="n">
        <v>10.8</v>
      </c>
      <c r="I84" s="2" t="n">
        <v>21651</v>
      </c>
      <c r="J84" t="n">
        <v>67</v>
      </c>
      <c r="K84" t="n">
        <v>11.4</v>
      </c>
      <c r="L84" s="2" t="n">
        <v>21055</v>
      </c>
      <c r="M84" t="n">
        <v>61.2</v>
      </c>
      <c r="N84" t="inlineStr">
        <is>
          <t>20260811900576</t>
        </is>
      </c>
      <c r="O84">
        <f>HYPERLINK("https://dart.fss.or.kr/dsaf001/main.do?rcpNo=20260811900576", "공시열람")</f>
        <v/>
      </c>
    </row>
    <row r="85">
      <c r="A85" t="inlineStr">
        <is>
          <t>2026-08-11</t>
        </is>
      </c>
      <c r="B85" t="inlineStr">
        <is>
          <t>동원모빌리티</t>
        </is>
      </c>
      <c r="C85" t="inlineStr">
        <is>
          <t>018500</t>
        </is>
      </c>
      <c r="D85" t="inlineStr">
        <is>
          <t>별도</t>
        </is>
      </c>
      <c r="E85" t="inlineStr">
        <is>
          <t>2026Q2</t>
        </is>
      </c>
      <c r="F85" s="2" t="n">
        <v>94311</v>
      </c>
      <c r="G85" t="n">
        <v>21.9</v>
      </c>
      <c r="H85" t="n">
        <v>-1.5</v>
      </c>
      <c r="I85" s="2" t="n">
        <v>13911</v>
      </c>
      <c r="J85" t="inlineStr"/>
      <c r="K85" t="n">
        <v>29.9</v>
      </c>
      <c r="L85" s="2" t="n">
        <v>16230</v>
      </c>
      <c r="M85" t="n">
        <v>141.2</v>
      </c>
      <c r="N85" t="inlineStr">
        <is>
          <t>20260811800964</t>
        </is>
      </c>
      <c r="O85">
        <f>HYPERLINK("https://dart.fss.or.kr/dsaf001/main.do?rcpNo=20260811800964", "공시열람")</f>
        <v/>
      </c>
    </row>
    <row r="86">
      <c r="A86" t="inlineStr">
        <is>
          <t>2026-08-11</t>
        </is>
      </c>
      <c r="B86" t="inlineStr">
        <is>
          <t>동원모빌리티</t>
        </is>
      </c>
      <c r="C86" t="inlineStr">
        <is>
          <t>018500</t>
        </is>
      </c>
      <c r="D86" t="inlineStr">
        <is>
          <t>연결</t>
        </is>
      </c>
      <c r="E86" t="inlineStr">
        <is>
          <t>2026Q2</t>
        </is>
      </c>
      <c r="F86" s="2" t="n">
        <v>193669</v>
      </c>
      <c r="G86" t="n">
        <v>8.300000000000001</v>
      </c>
      <c r="H86" t="n">
        <v>15.3</v>
      </c>
      <c r="I86" s="2" t="n">
        <v>14415</v>
      </c>
      <c r="J86" t="n">
        <v>137.8</v>
      </c>
      <c r="K86" t="n">
        <v>10.4</v>
      </c>
      <c r="L86" s="2" t="n">
        <v>13922</v>
      </c>
      <c r="M86" t="n">
        <v>154.5</v>
      </c>
      <c r="N86" t="inlineStr">
        <is>
          <t>20260811800960</t>
        </is>
      </c>
      <c r="O86">
        <f>HYPERLINK("https://dart.fss.or.kr/dsaf001/main.do?rcpNo=20260811800960", "공시열람")</f>
        <v/>
      </c>
    </row>
    <row r="87">
      <c r="A87" t="inlineStr">
        <is>
          <t>2026-08-11</t>
        </is>
      </c>
      <c r="B87" t="inlineStr">
        <is>
          <t>펄어비스</t>
        </is>
      </c>
      <c r="C87" t="inlineStr">
        <is>
          <t>263750</t>
        </is>
      </c>
      <c r="D87" t="inlineStr">
        <is>
          <t>연결</t>
        </is>
      </c>
      <c r="E87" t="inlineStr">
        <is>
          <t>2026Q2</t>
        </is>
      </c>
      <c r="F87" s="2" t="n">
        <v>192611</v>
      </c>
      <c r="G87" t="n">
        <v>-41.4</v>
      </c>
      <c r="H87" t="n">
        <v>247.8</v>
      </c>
      <c r="I87" s="2" t="n">
        <v>67625</v>
      </c>
      <c r="J87" t="n">
        <v>-68.09999999999999</v>
      </c>
      <c r="K87" t="n">
        <v>7388.9</v>
      </c>
      <c r="L87" s="2" t="n">
        <v>99542</v>
      </c>
      <c r="M87" t="inlineStr"/>
      <c r="N87" t="inlineStr">
        <is>
          <t>20260811900974</t>
        </is>
      </c>
      <c r="O87">
        <f>HYPERLINK("https://dart.fss.or.kr/dsaf001/main.do?rcpNo=20260811900974", "공시열람")</f>
        <v/>
      </c>
    </row>
    <row r="88">
      <c r="A88" t="inlineStr">
        <is>
          <t>2026-08-11</t>
        </is>
      </c>
      <c r="B88" t="inlineStr">
        <is>
          <t>JW홀딩스</t>
        </is>
      </c>
      <c r="C88" t="inlineStr">
        <is>
          <t>096760</t>
        </is>
      </c>
      <c r="D88" t="inlineStr">
        <is>
          <t>별도</t>
        </is>
      </c>
      <c r="E88" t="inlineStr">
        <is>
          <t>2026Q2</t>
        </is>
      </c>
      <c r="F88" s="2" t="n">
        <v>31840</v>
      </c>
      <c r="G88" t="n">
        <v>55.4</v>
      </c>
      <c r="H88" t="n">
        <v>67.59999999999999</v>
      </c>
      <c r="I88" s="2" t="n">
        <v>15444</v>
      </c>
      <c r="J88" t="n">
        <v>113.7</v>
      </c>
      <c r="K88" t="n">
        <v>350.7</v>
      </c>
      <c r="L88" s="2" t="n">
        <v>7802</v>
      </c>
      <c r="M88" t="inlineStr"/>
      <c r="N88" t="inlineStr">
        <is>
          <t>20260811800855</t>
        </is>
      </c>
      <c r="O88">
        <f>HYPERLINK("https://dart.fss.or.kr/dsaf001/main.do?rcpNo=20260811800855", "공시열람")</f>
        <v/>
      </c>
    </row>
    <row r="89">
      <c r="A89" t="inlineStr">
        <is>
          <t>2026-08-11</t>
        </is>
      </c>
      <c r="B89" t="inlineStr">
        <is>
          <t>JW중외제약</t>
        </is>
      </c>
      <c r="C89" t="inlineStr">
        <is>
          <t>001060</t>
        </is>
      </c>
      <c r="D89" t="inlineStr">
        <is>
          <t>별도</t>
        </is>
      </c>
      <c r="E89" t="inlineStr">
        <is>
          <t>2026Q2</t>
        </is>
      </c>
      <c r="F89" s="2" t="n">
        <v>220272</v>
      </c>
      <c r="G89" t="n">
        <v>11</v>
      </c>
      <c r="H89" t="n">
        <v>16.1</v>
      </c>
      <c r="I89" s="2" t="n">
        <v>33739</v>
      </c>
      <c r="J89" t="n">
        <v>6.4</v>
      </c>
      <c r="K89" t="n">
        <v>32.7</v>
      </c>
      <c r="L89" s="2" t="n">
        <v>27053</v>
      </c>
      <c r="M89" t="inlineStr"/>
      <c r="N89" t="inlineStr">
        <is>
          <t>20260811800829</t>
        </is>
      </c>
      <c r="O89">
        <f>HYPERLINK("https://dart.fss.or.kr/dsaf001/main.do?rcpNo=20260811800829", "공시열람")</f>
        <v/>
      </c>
    </row>
    <row r="90">
      <c r="A90" t="inlineStr">
        <is>
          <t>2026-08-11</t>
        </is>
      </c>
      <c r="B90" t="inlineStr">
        <is>
          <t>바텍</t>
        </is>
      </c>
      <c r="C90" t="inlineStr">
        <is>
          <t>043150</t>
        </is>
      </c>
      <c r="D90" t="inlineStr">
        <is>
          <t>연결</t>
        </is>
      </c>
      <c r="E90" t="inlineStr">
        <is>
          <t>2026Q2</t>
        </is>
      </c>
      <c r="F90" s="2" t="n">
        <v>121363</v>
      </c>
      <c r="G90" t="n">
        <v>15.4</v>
      </c>
      <c r="H90" t="n">
        <v>9.699999999999999</v>
      </c>
      <c r="I90" s="2" t="n">
        <v>24473</v>
      </c>
      <c r="J90" t="n">
        <v>122.6</v>
      </c>
      <c r="K90" t="n">
        <v>45</v>
      </c>
      <c r="L90" s="2" t="n">
        <v>22190</v>
      </c>
      <c r="M90" t="n">
        <v>200.6</v>
      </c>
      <c r="N90" t="inlineStr">
        <is>
          <t>20260811900285</t>
        </is>
      </c>
      <c r="O90">
        <f>HYPERLINK("https://dart.fss.or.kr/dsaf001/main.do?rcpNo=20260811900285", "공시열람")</f>
        <v/>
      </c>
    </row>
    <row r="91">
      <c r="A91" t="inlineStr">
        <is>
          <t>2026-08-11</t>
        </is>
      </c>
      <c r="B91" t="inlineStr">
        <is>
          <t>경동나비엔</t>
        </is>
      </c>
      <c r="C91" t="inlineStr">
        <is>
          <t>009450</t>
        </is>
      </c>
      <c r="D91" t="inlineStr">
        <is>
          <t>연결</t>
        </is>
      </c>
      <c r="E91" t="inlineStr">
        <is>
          <t>2026Q2</t>
        </is>
      </c>
      <c r="F91" s="2" t="n">
        <v>388200</v>
      </c>
      <c r="G91" t="n">
        <v>-8.699999999999999</v>
      </c>
      <c r="H91" t="n">
        <v>-1</v>
      </c>
      <c r="I91" s="2" t="n">
        <v>84261</v>
      </c>
      <c r="J91" t="n">
        <v>32</v>
      </c>
      <c r="K91" t="n">
        <v>64.59999999999999</v>
      </c>
      <c r="L91" s="2" t="n">
        <v>68456</v>
      </c>
      <c r="M91" t="n">
        <v>254.1</v>
      </c>
      <c r="N91" t="inlineStr">
        <is>
          <t>20260811800697</t>
        </is>
      </c>
      <c r="O91">
        <f>HYPERLINK("https://dart.fss.or.kr/dsaf001/main.do?rcpNo=20260811800697", "공시열람")</f>
        <v/>
      </c>
    </row>
    <row r="92">
      <c r="A92" t="inlineStr">
        <is>
          <t>2026-08-11</t>
        </is>
      </c>
      <c r="B92" t="inlineStr">
        <is>
          <t>화천기계</t>
        </is>
      </c>
      <c r="C92" t="inlineStr">
        <is>
          <t>010660</t>
        </is>
      </c>
      <c r="D92" t="inlineStr">
        <is>
          <t>별도</t>
        </is>
      </c>
      <c r="E92" t="inlineStr">
        <is>
          <t>2026Q2</t>
        </is>
      </c>
      <c r="F92" s="2" t="n">
        <v>56894</v>
      </c>
      <c r="G92" t="n">
        <v>23</v>
      </c>
      <c r="H92" t="n">
        <v>-15.1</v>
      </c>
      <c r="I92" s="2" t="n">
        <v>905</v>
      </c>
      <c r="J92" t="inlineStr"/>
      <c r="K92" t="n">
        <v>-56.6</v>
      </c>
      <c r="L92" s="2" t="n">
        <v>2381</v>
      </c>
      <c r="M92" t="n">
        <v>55.3</v>
      </c>
      <c r="N92" t="inlineStr">
        <is>
          <t>20260811800683</t>
        </is>
      </c>
      <c r="O92">
        <f>HYPERLINK("https://dart.fss.or.kr/dsaf001/main.do?rcpNo=20260811800683", "공시열람")</f>
        <v/>
      </c>
    </row>
    <row r="93">
      <c r="A93" t="inlineStr">
        <is>
          <t>2026-08-11</t>
        </is>
      </c>
      <c r="B93" t="inlineStr">
        <is>
          <t>광주신세계</t>
        </is>
      </c>
      <c r="C93" t="inlineStr">
        <is>
          <t>037710</t>
        </is>
      </c>
      <c r="D93" t="inlineStr">
        <is>
          <t>별도</t>
        </is>
      </c>
      <c r="E93" t="inlineStr">
        <is>
          <t>2026Q2</t>
        </is>
      </c>
      <c r="F93" s="2" t="n">
        <v>48352</v>
      </c>
      <c r="G93" t="n">
        <v>-0.7</v>
      </c>
      <c r="H93" t="n">
        <v>8.6</v>
      </c>
      <c r="I93" s="2" t="n">
        <v>13897</v>
      </c>
      <c r="J93" t="n">
        <v>-11.3</v>
      </c>
      <c r="K93" t="n">
        <v>18</v>
      </c>
      <c r="L93" s="2" t="n">
        <v>12104</v>
      </c>
      <c r="M93" t="n">
        <v>27.3</v>
      </c>
      <c r="N93" t="inlineStr">
        <is>
          <t>20260811800306</t>
        </is>
      </c>
      <c r="O93">
        <f>HYPERLINK("https://dart.fss.or.kr/dsaf001/main.do?rcpNo=20260811800306", "공시열람")</f>
        <v/>
      </c>
    </row>
    <row r="94">
      <c r="A94" t="inlineStr">
        <is>
          <t>2026-08-11</t>
        </is>
      </c>
      <c r="B94" t="inlineStr">
        <is>
          <t>신세계</t>
        </is>
      </c>
      <c r="C94" t="inlineStr">
        <is>
          <t>004170</t>
        </is>
      </c>
      <c r="D94" t="inlineStr">
        <is>
          <t>별도</t>
        </is>
      </c>
      <c r="E94" t="inlineStr">
        <is>
          <t>2026Q2</t>
        </is>
      </c>
      <c r="F94" s="2" t="n">
        <v>164999</v>
      </c>
      <c r="G94" t="n">
        <v>-9.880000000000001</v>
      </c>
      <c r="H94" t="n">
        <v>15.23</v>
      </c>
      <c r="I94" s="2" t="inlineStr"/>
      <c r="J94" t="inlineStr"/>
      <c r="K94" t="inlineStr"/>
      <c r="L94" s="2" t="inlineStr"/>
      <c r="M94" t="inlineStr"/>
      <c r="N94" t="inlineStr">
        <is>
          <t>20260811800243</t>
        </is>
      </c>
      <c r="O94">
        <f>HYPERLINK("https://dart.fss.or.kr/dsaf001/main.do?rcpNo=20260811800243", "공시열람")</f>
        <v/>
      </c>
    </row>
    <row r="95">
      <c r="A95" t="inlineStr">
        <is>
          <t>2026-08-11</t>
        </is>
      </c>
      <c r="B95" t="inlineStr">
        <is>
          <t>레이언스</t>
        </is>
      </c>
      <c r="C95" t="inlineStr">
        <is>
          <t>228850</t>
        </is>
      </c>
      <c r="D95" t="inlineStr">
        <is>
          <t>연결</t>
        </is>
      </c>
      <c r="E95" t="inlineStr">
        <is>
          <t>2026Q2</t>
        </is>
      </c>
      <c r="F95" s="2" t="n">
        <v>36458</v>
      </c>
      <c r="G95" t="n">
        <v>-0.8</v>
      </c>
      <c r="H95" t="n">
        <v>25.7</v>
      </c>
      <c r="I95" s="2" t="n">
        <v>2512</v>
      </c>
      <c r="J95" t="n">
        <v>-29.9</v>
      </c>
      <c r="K95" t="inlineStr"/>
      <c r="L95" s="2" t="n">
        <v>2567</v>
      </c>
      <c r="M95" t="inlineStr"/>
      <c r="N95" t="inlineStr">
        <is>
          <t>20260811900290</t>
        </is>
      </c>
      <c r="O95">
        <f>HYPERLINK("https://dart.fss.or.kr/dsaf001/main.do?rcpNo=20260811900290", "공시열람")</f>
        <v/>
      </c>
    </row>
    <row r="96">
      <c r="A96" t="inlineStr">
        <is>
          <t>2026-08-11</t>
        </is>
      </c>
      <c r="B96" t="inlineStr">
        <is>
          <t>피제이메탈</t>
        </is>
      </c>
      <c r="C96" t="inlineStr">
        <is>
          <t>128660</t>
        </is>
      </c>
      <c r="D96" t="inlineStr">
        <is>
          <t>연결</t>
        </is>
      </c>
      <c r="E96" t="inlineStr">
        <is>
          <t>2026Q2</t>
        </is>
      </c>
      <c r="F96" s="2" t="n">
        <v>122814</v>
      </c>
      <c r="G96" t="n">
        <v>19.2</v>
      </c>
      <c r="H96" t="n">
        <v>40.9</v>
      </c>
      <c r="I96" s="2" t="n">
        <v>11786</v>
      </c>
      <c r="J96" t="n">
        <v>48.6</v>
      </c>
      <c r="K96" t="inlineStr"/>
      <c r="L96" s="2" t="n">
        <v>9299</v>
      </c>
      <c r="M96" t="n">
        <v>781</v>
      </c>
      <c r="N96" t="inlineStr">
        <is>
          <t>20260811900149</t>
        </is>
      </c>
      <c r="O96">
        <f>HYPERLINK("https://dart.fss.or.kr/dsaf001/main.do?rcpNo=20260811900149", "공시열람")</f>
        <v/>
      </c>
    </row>
    <row r="97">
      <c r="A97" t="inlineStr">
        <is>
          <t>2026-08-11</t>
        </is>
      </c>
      <c r="B97" t="inlineStr">
        <is>
          <t>덴티스</t>
        </is>
      </c>
      <c r="C97" t="inlineStr">
        <is>
          <t>261200</t>
        </is>
      </c>
      <c r="D97" t="inlineStr">
        <is>
          <t>연결</t>
        </is>
      </c>
      <c r="E97" t="inlineStr">
        <is>
          <t>2026Q2</t>
        </is>
      </c>
      <c r="F97" s="2" t="n">
        <v>32136</v>
      </c>
      <c r="G97" t="n">
        <v>6.4</v>
      </c>
      <c r="H97" t="n">
        <v>-0.8</v>
      </c>
      <c r="I97" s="2" t="n">
        <v>2649</v>
      </c>
      <c r="J97" t="n">
        <v>-13.3</v>
      </c>
      <c r="K97" t="inlineStr"/>
      <c r="L97" s="2" t="n">
        <v>3819</v>
      </c>
      <c r="M97" t="inlineStr"/>
      <c r="N97" t="inlineStr">
        <is>
          <t>20260811900270</t>
        </is>
      </c>
      <c r="O97">
        <f>HYPERLINK("https://dart.fss.or.kr/dsaf001/main.do?rcpNo=20260811900270", "공시열람")</f>
        <v/>
      </c>
    </row>
    <row r="98">
      <c r="A98" t="inlineStr">
        <is>
          <t>2026-08-11</t>
        </is>
      </c>
      <c r="B98" t="inlineStr">
        <is>
          <t>NHN KCP</t>
        </is>
      </c>
      <c r="C98" t="inlineStr">
        <is>
          <t>060250</t>
        </is>
      </c>
      <c r="D98" t="inlineStr">
        <is>
          <t>연결</t>
        </is>
      </c>
      <c r="E98" t="inlineStr">
        <is>
          <t>2026Q2</t>
        </is>
      </c>
      <c r="F98" s="2" t="n">
        <v>383375</v>
      </c>
      <c r="G98" t="n">
        <v>11.2</v>
      </c>
      <c r="H98" t="n">
        <v>27.5</v>
      </c>
      <c r="I98" s="2" t="n">
        <v>15441</v>
      </c>
      <c r="J98" t="n">
        <v>12</v>
      </c>
      <c r="K98" t="n">
        <v>24.8</v>
      </c>
      <c r="L98" s="2" t="n">
        <v>12973</v>
      </c>
      <c r="M98" t="n">
        <v>35.9</v>
      </c>
      <c r="N98" t="inlineStr">
        <is>
          <t>20260811900001</t>
        </is>
      </c>
      <c r="O98">
        <f>HYPERLINK("https://dart.fss.or.kr/dsaf001/main.do?rcpNo=20260811900001", "공시열람")</f>
        <v/>
      </c>
    </row>
    <row r="99">
      <c r="A99" t="inlineStr">
        <is>
          <t>2026-08-11</t>
        </is>
      </c>
      <c r="B99" t="inlineStr">
        <is>
          <t>NHN벅스</t>
        </is>
      </c>
      <c r="C99" t="inlineStr">
        <is>
          <t>104200</t>
        </is>
      </c>
      <c r="D99" t="inlineStr">
        <is>
          <t>별도</t>
        </is>
      </c>
      <c r="E99" t="inlineStr">
        <is>
          <t>2026Q2</t>
        </is>
      </c>
      <c r="F99" s="2" t="n">
        <v>10597</v>
      </c>
      <c r="G99" t="n">
        <v>-1.2</v>
      </c>
      <c r="H99" t="n">
        <v>-8.5</v>
      </c>
      <c r="I99" s="2" t="n">
        <v>496</v>
      </c>
      <c r="J99" t="n">
        <v>182.5</v>
      </c>
      <c r="K99" t="n">
        <v>125.6</v>
      </c>
      <c r="L99" s="2" t="n">
        <v>240</v>
      </c>
      <c r="M99" t="inlineStr"/>
      <c r="N99" t="inlineStr">
        <is>
          <t>20260811900023</t>
        </is>
      </c>
      <c r="O99">
        <f>HYPERLINK("https://dart.fss.or.kr/dsaf001/main.do?rcpNo=20260811900023", "공시열람")</f>
        <v/>
      </c>
    </row>
    <row r="100">
      <c r="A100" t="inlineStr">
        <is>
          <t>2026-08-11</t>
        </is>
      </c>
      <c r="B100" t="inlineStr">
        <is>
          <t>NHN</t>
        </is>
      </c>
      <c r="C100" t="inlineStr">
        <is>
          <t>181710</t>
        </is>
      </c>
      <c r="D100" t="inlineStr">
        <is>
          <t>별도</t>
        </is>
      </c>
      <c r="E100" t="inlineStr">
        <is>
          <t>2026Q2</t>
        </is>
      </c>
      <c r="F100" s="2" t="n">
        <v>102166</v>
      </c>
      <c r="G100" t="n">
        <v>-0.5</v>
      </c>
      <c r="H100" t="n">
        <v>9.9</v>
      </c>
      <c r="I100" s="2" t="n">
        <v>27273</v>
      </c>
      <c r="J100" t="n">
        <v>25.3</v>
      </c>
      <c r="K100" t="n">
        <v>36</v>
      </c>
      <c r="L100" s="2" t="n">
        <v>5356</v>
      </c>
      <c r="M100" t="n">
        <v>-63.6</v>
      </c>
      <c r="N100" t="inlineStr">
        <is>
          <t>20260811800021</t>
        </is>
      </c>
      <c r="O100">
        <f>HYPERLINK("https://dart.fss.or.kr/dsaf001/main.do?rcpNo=20260811800021", "공시열람")</f>
        <v/>
      </c>
    </row>
    <row r="101">
      <c r="A101" t="inlineStr">
        <is>
          <t>2026-08-11</t>
        </is>
      </c>
      <c r="B101" t="inlineStr">
        <is>
          <t>NHN</t>
        </is>
      </c>
      <c r="C101" t="inlineStr">
        <is>
          <t>181710</t>
        </is>
      </c>
      <c r="D101" t="inlineStr">
        <is>
          <t>연결</t>
        </is>
      </c>
      <c r="E101" t="inlineStr">
        <is>
          <t>2026Q2</t>
        </is>
      </c>
      <c r="F101" s="2" t="n">
        <v>757918</v>
      </c>
      <c r="G101" t="n">
        <v>12.9</v>
      </c>
      <c r="H101" t="n">
        <v>25.3</v>
      </c>
      <c r="I101" s="2" t="n">
        <v>57905</v>
      </c>
      <c r="J101" t="n">
        <v>120.6</v>
      </c>
      <c r="K101" t="n">
        <v>164.1</v>
      </c>
      <c r="L101" s="2" t="n">
        <v>29075</v>
      </c>
      <c r="M101" t="n">
        <v>158.8</v>
      </c>
      <c r="N101" t="inlineStr">
        <is>
          <t>20260811800022</t>
        </is>
      </c>
      <c r="O101">
        <f>HYPERLINK("https://dart.fss.or.kr/dsaf001/main.do?rcpNo=20260811800022", "공시열람")</f>
        <v/>
      </c>
    </row>
    <row r="102">
      <c r="A102" t="inlineStr">
        <is>
          <t>2026-08-11</t>
        </is>
      </c>
      <c r="B102" t="inlineStr">
        <is>
          <t>CJ대한통운</t>
        </is>
      </c>
      <c r="C102" t="inlineStr">
        <is>
          <t>000120</t>
        </is>
      </c>
      <c r="D102" t="inlineStr">
        <is>
          <t>연결</t>
        </is>
      </c>
      <c r="E102" t="inlineStr">
        <is>
          <t>2026Q2</t>
        </is>
      </c>
      <c r="F102" s="2" t="n">
        <v>3379979</v>
      </c>
      <c r="G102" t="n">
        <v>5.1</v>
      </c>
      <c r="H102" t="n">
        <v>10.9</v>
      </c>
      <c r="I102" s="2" t="n">
        <v>101566</v>
      </c>
      <c r="J102" t="n">
        <v>10.3</v>
      </c>
      <c r="K102" t="n">
        <v>-11.9</v>
      </c>
      <c r="L102" s="2" t="n">
        <v>36767</v>
      </c>
      <c r="M102" t="n">
        <v>-36.8</v>
      </c>
      <c r="N102" t="inlineStr">
        <is>
          <t>20260811800040</t>
        </is>
      </c>
      <c r="O102">
        <f>HYPERLINK("https://dart.fss.or.kr/dsaf001/main.do?rcpNo=20260811800040", "공시열람")</f>
        <v/>
      </c>
    </row>
    <row r="103">
      <c r="A103" t="inlineStr">
        <is>
          <t>2026-08-11</t>
        </is>
      </c>
      <c r="B103" t="inlineStr">
        <is>
          <t>CJ제일제당</t>
        </is>
      </c>
      <c r="C103" t="inlineStr">
        <is>
          <t>097950</t>
        </is>
      </c>
      <c r="D103" t="inlineStr">
        <is>
          <t>연결</t>
        </is>
      </c>
      <c r="E103" t="inlineStr">
        <is>
          <t>2026Q2</t>
        </is>
      </c>
      <c r="F103" s="2" t="n">
        <v>7362113</v>
      </c>
      <c r="G103" t="n">
        <v>3.5</v>
      </c>
      <c r="H103" t="n">
        <v>1.7</v>
      </c>
      <c r="I103" s="2" t="n">
        <v>257575</v>
      </c>
      <c r="J103" t="n">
        <v>8.199999999999999</v>
      </c>
      <c r="K103" t="n">
        <v>-27.1</v>
      </c>
      <c r="L103" s="2" t="n">
        <v>-3877</v>
      </c>
      <c r="M103" t="inlineStr"/>
      <c r="N103" t="inlineStr">
        <is>
          <t>20260811800053</t>
        </is>
      </c>
      <c r="O103">
        <f>HYPERLINK("https://dart.fss.or.kr/dsaf001/main.do?rcpNo=20260811800053", "공시열람")</f>
        <v/>
      </c>
    </row>
    <row r="104">
      <c r="A104" t="inlineStr">
        <is>
          <t>2026-08-11</t>
        </is>
      </c>
      <c r="B104" t="inlineStr">
        <is>
          <t>키다리스튜디오</t>
        </is>
      </c>
      <c r="C104" t="inlineStr">
        <is>
          <t>020120</t>
        </is>
      </c>
      <c r="D104" t="inlineStr">
        <is>
          <t>연결</t>
        </is>
      </c>
      <c r="E104" t="inlineStr">
        <is>
          <t>2026Q2</t>
        </is>
      </c>
      <c r="F104" s="2" t="n">
        <v>64427</v>
      </c>
      <c r="G104" t="n">
        <v>10.42</v>
      </c>
      <c r="H104" t="n">
        <v>24.46</v>
      </c>
      <c r="I104" s="2" t="n">
        <v>5516</v>
      </c>
      <c r="J104" t="n">
        <v>60.26</v>
      </c>
      <c r="K104" t="n">
        <v>193.19</v>
      </c>
      <c r="L104" s="2" t="n">
        <v>2025</v>
      </c>
      <c r="M104" t="n">
        <v>286.93</v>
      </c>
      <c r="N104" t="inlineStr">
        <is>
          <t>20260811800085</t>
        </is>
      </c>
      <c r="O104">
        <f>HYPERLINK("https://dart.fss.or.kr/dsaf001/main.do?rcpNo=20260811800085", "공시열람")</f>
        <v/>
      </c>
    </row>
    <row r="105">
      <c r="A105" t="inlineStr">
        <is>
          <t>2026-08-11</t>
        </is>
      </c>
      <c r="B105" t="inlineStr">
        <is>
          <t>NHN KCP</t>
        </is>
      </c>
      <c r="C105" t="inlineStr">
        <is>
          <t>060250</t>
        </is>
      </c>
      <c r="D105" t="inlineStr">
        <is>
          <t>별도</t>
        </is>
      </c>
      <c r="E105" t="inlineStr">
        <is>
          <t>2026Q2</t>
        </is>
      </c>
      <c r="F105" s="2" t="n">
        <v>366369</v>
      </c>
      <c r="G105" t="n">
        <v>11.4</v>
      </c>
      <c r="H105" t="n">
        <v>29.1</v>
      </c>
      <c r="I105" s="2" t="n">
        <v>15290</v>
      </c>
      <c r="J105" t="n">
        <v>11.7</v>
      </c>
      <c r="K105" t="n">
        <v>26.7</v>
      </c>
      <c r="L105" s="2" t="n">
        <v>12984</v>
      </c>
      <c r="M105" t="n">
        <v>38.2</v>
      </c>
      <c r="N105" t="inlineStr">
        <is>
          <t>20260811900006</t>
        </is>
      </c>
      <c r="O105">
        <f>HYPERLINK("https://dart.fss.or.kr/dsaf001/main.do?rcpNo=20260811900006", "공시열람")</f>
        <v/>
      </c>
    </row>
    <row r="106">
      <c r="A106" t="inlineStr">
        <is>
          <t>2026-08-11</t>
        </is>
      </c>
      <c r="B106" t="inlineStr">
        <is>
          <t>CJ씨푸드</t>
        </is>
      </c>
      <c r="C106" t="inlineStr">
        <is>
          <t>011150</t>
        </is>
      </c>
      <c r="D106" t="inlineStr">
        <is>
          <t>별도</t>
        </is>
      </c>
      <c r="E106" t="inlineStr">
        <is>
          <t>2026Q2</t>
        </is>
      </c>
      <c r="F106" s="2" t="n">
        <v>48254</v>
      </c>
      <c r="G106" t="n">
        <v>-12.2</v>
      </c>
      <c r="H106" t="n">
        <v>13.6</v>
      </c>
      <c r="I106" s="2" t="n">
        <v>-578</v>
      </c>
      <c r="J106" t="n">
        <v>60.7</v>
      </c>
      <c r="K106" t="n">
        <v>61.2</v>
      </c>
      <c r="L106" s="2" t="n">
        <v>742</v>
      </c>
      <c r="M106" t="n">
        <v>151.2</v>
      </c>
      <c r="N106" t="inlineStr">
        <is>
          <t>20260811800197</t>
        </is>
      </c>
      <c r="O106">
        <f>HYPERLINK("https://dart.fss.or.kr/dsaf001/main.do?rcpNo=20260811800197", "공시열람")</f>
        <v/>
      </c>
    </row>
    <row r="107">
      <c r="A107" t="inlineStr">
        <is>
          <t>2026-08-11</t>
        </is>
      </c>
      <c r="B107" t="inlineStr">
        <is>
          <t>엘앤씨바이오</t>
        </is>
      </c>
      <c r="C107" t="inlineStr">
        <is>
          <t>290650</t>
        </is>
      </c>
      <c r="D107" t="inlineStr">
        <is>
          <t>별도</t>
        </is>
      </c>
      <c r="E107" t="inlineStr">
        <is>
          <t>2026Q2</t>
        </is>
      </c>
      <c r="F107" s="2" t="n">
        <v>31579</v>
      </c>
      <c r="G107" t="n">
        <v>32.6</v>
      </c>
      <c r="H107" t="n">
        <v>91.7</v>
      </c>
      <c r="I107" s="2" t="n">
        <v>8846</v>
      </c>
      <c r="J107" t="n">
        <v>36.8</v>
      </c>
      <c r="K107" t="n">
        <v>624.8</v>
      </c>
      <c r="L107" s="2" t="n">
        <v>-27342</v>
      </c>
      <c r="M107" t="n">
        <v>-103.9</v>
      </c>
      <c r="N107" t="inlineStr">
        <is>
          <t>20260811900222</t>
        </is>
      </c>
      <c r="O107">
        <f>HYPERLINK("https://dart.fss.or.kr/dsaf001/main.do?rcpNo=20260811900222", "공시열람")</f>
        <v/>
      </c>
    </row>
    <row r="108">
      <c r="A108" t="inlineStr">
        <is>
          <t>2026-08-11</t>
        </is>
      </c>
      <c r="B108" t="inlineStr">
        <is>
          <t>엘앤씨바이오</t>
        </is>
      </c>
      <c r="C108" t="inlineStr">
        <is>
          <t>290650</t>
        </is>
      </c>
      <c r="D108" t="inlineStr">
        <is>
          <t>연결</t>
        </is>
      </c>
      <c r="E108" t="inlineStr">
        <is>
          <t>2026Q2</t>
        </is>
      </c>
      <c r="F108" s="2" t="n">
        <v>38785</v>
      </c>
      <c r="G108" t="n">
        <v>28</v>
      </c>
      <c r="H108" t="n">
        <v>88.40000000000001</v>
      </c>
      <c r="I108" s="2" t="n">
        <v>8580</v>
      </c>
      <c r="J108" t="n">
        <v>43</v>
      </c>
      <c r="K108" t="inlineStr"/>
      <c r="L108" s="2" t="n">
        <v>-28123</v>
      </c>
      <c r="M108" t="n">
        <v>-97</v>
      </c>
      <c r="N108" t="inlineStr">
        <is>
          <t>20260811900225</t>
        </is>
      </c>
      <c r="O108">
        <f>HYPERLINK("https://dart.fss.or.kr/dsaf001/main.do?rcpNo=20260811900225", "공시열람")</f>
        <v/>
      </c>
    </row>
    <row r="109">
      <c r="A109" t="inlineStr">
        <is>
          <t>2026-08-11</t>
        </is>
      </c>
      <c r="B109" t="inlineStr">
        <is>
          <t>NC</t>
        </is>
      </c>
      <c r="C109" t="inlineStr">
        <is>
          <t>036570</t>
        </is>
      </c>
      <c r="D109" t="inlineStr">
        <is>
          <t>연결</t>
        </is>
      </c>
      <c r="E109" t="inlineStr">
        <is>
          <t>2026Q2</t>
        </is>
      </c>
      <c r="F109" s="2" t="n">
        <v>770501</v>
      </c>
      <c r="G109" t="n">
        <v>38.2</v>
      </c>
      <c r="H109" t="n">
        <v>101.5</v>
      </c>
      <c r="I109" s="2" t="n">
        <v>173861</v>
      </c>
      <c r="J109" t="n">
        <v>53.5</v>
      </c>
      <c r="K109" t="n">
        <v>1053</v>
      </c>
      <c r="L109" s="2" t="n">
        <v>131181</v>
      </c>
      <c r="M109" t="inlineStr"/>
      <c r="N109" t="inlineStr">
        <is>
          <t>20260811800245</t>
        </is>
      </c>
      <c r="O109">
        <f>HYPERLINK("https://dart.fss.or.kr/dsaf001/main.do?rcpNo=20260811800245", "공시열람")</f>
        <v/>
      </c>
    </row>
    <row r="110">
      <c r="A110" t="inlineStr">
        <is>
          <t>2026-08-11</t>
        </is>
      </c>
      <c r="B110" t="inlineStr">
        <is>
          <t>신세계</t>
        </is>
      </c>
      <c r="C110" t="inlineStr">
        <is>
          <t>004170</t>
        </is>
      </c>
      <c r="D110" t="inlineStr">
        <is>
          <t>연결</t>
        </is>
      </c>
      <c r="E110" t="inlineStr">
        <is>
          <t>2026Q2</t>
        </is>
      </c>
      <c r="F110" s="2" t="n">
        <v>1780382</v>
      </c>
      <c r="G110" t="n">
        <v>-3.61</v>
      </c>
      <c r="H110" t="n">
        <v>5.11</v>
      </c>
      <c r="I110" s="2" t="n">
        <v>167133</v>
      </c>
      <c r="J110" t="n">
        <v>-15.51</v>
      </c>
      <c r="K110" t="n">
        <v>121.84</v>
      </c>
      <c r="L110" s="2" t="n">
        <v>106987</v>
      </c>
      <c r="M110" t="n">
        <v>1186.66</v>
      </c>
      <c r="N110" t="inlineStr">
        <is>
          <t>20260811800241</t>
        </is>
      </c>
      <c r="O110">
        <f>HYPERLINK("https://dart.fss.or.kr/dsaf001/main.do?rcpNo=20260811800241", "공시열람")</f>
        <v/>
      </c>
    </row>
    <row r="111">
      <c r="A111" t="inlineStr">
        <is>
          <t>2026-08-11</t>
        </is>
      </c>
      <c r="B111" t="inlineStr">
        <is>
          <t>휴온스</t>
        </is>
      </c>
      <c r="C111" t="inlineStr">
        <is>
          <t>243070</t>
        </is>
      </c>
      <c r="D111" t="inlineStr">
        <is>
          <t>연결</t>
        </is>
      </c>
      <c r="E111" t="inlineStr">
        <is>
          <t>2026Q2</t>
        </is>
      </c>
      <c r="F111" s="2" t="n">
        <v>146981</v>
      </c>
      <c r="G111" t="n">
        <v>3.6</v>
      </c>
      <c r="H111" t="n">
        <v>-5.8</v>
      </c>
      <c r="I111" s="2" t="n">
        <v>2927</v>
      </c>
      <c r="J111" t="inlineStr"/>
      <c r="K111" t="n">
        <v>-77.59999999999999</v>
      </c>
      <c r="L111" s="2" t="n">
        <v>-1077</v>
      </c>
      <c r="M111" t="inlineStr"/>
      <c r="N111" t="inlineStr">
        <is>
          <t>20260811900204</t>
        </is>
      </c>
      <c r="O111">
        <f>HYPERLINK("https://dart.fss.or.kr/dsaf001/main.do?rcpNo=20260811900204", "공시열람")</f>
        <v/>
      </c>
    </row>
    <row r="112">
      <c r="A112" t="inlineStr">
        <is>
          <t>2026-08-11</t>
        </is>
      </c>
      <c r="B112" t="inlineStr">
        <is>
          <t>신세계인터내셔날</t>
        </is>
      </c>
      <c r="C112" t="inlineStr">
        <is>
          <t>031430</t>
        </is>
      </c>
      <c r="D112" t="inlineStr">
        <is>
          <t>연결</t>
        </is>
      </c>
      <c r="E112" t="inlineStr">
        <is>
          <t>2026Q2</t>
        </is>
      </c>
      <c r="F112" s="2" t="n">
        <v>291576</v>
      </c>
      <c r="G112" t="n">
        <v>-1.4</v>
      </c>
      <c r="H112" t="n">
        <v>15.1</v>
      </c>
      <c r="I112" s="2" t="n">
        <v>6965</v>
      </c>
      <c r="J112" t="n">
        <v>-53</v>
      </c>
      <c r="K112" t="inlineStr"/>
      <c r="L112" s="2" t="n">
        <v>6809</v>
      </c>
      <c r="M112" t="n">
        <v>12680.5</v>
      </c>
      <c r="N112" t="inlineStr">
        <is>
          <t>20260811800258</t>
        </is>
      </c>
      <c r="O112">
        <f>HYPERLINK("https://dart.fss.or.kr/dsaf001/main.do?rcpNo=20260811800258", "공시열람")</f>
        <v/>
      </c>
    </row>
    <row r="113">
      <c r="A113" t="inlineStr">
        <is>
          <t>2026-08-10</t>
        </is>
      </c>
      <c r="B113" t="inlineStr">
        <is>
          <t>아이크래프트</t>
        </is>
      </c>
      <c r="C113" t="inlineStr">
        <is>
          <t>052460</t>
        </is>
      </c>
      <c r="D113" t="inlineStr">
        <is>
          <t>별도</t>
        </is>
      </c>
      <c r="E113" t="inlineStr">
        <is>
          <t>2026Q2</t>
        </is>
      </c>
      <c r="F113" s="2" t="n">
        <v>35426</v>
      </c>
      <c r="G113" t="n">
        <v>214.12</v>
      </c>
      <c r="H113" t="n">
        <v>46.93</v>
      </c>
      <c r="I113" s="2" t="n">
        <v>-875</v>
      </c>
      <c r="J113" t="n">
        <v>62.42</v>
      </c>
      <c r="K113" t="n">
        <v>-1.52</v>
      </c>
      <c r="L113" s="2" t="n">
        <v>-2089</v>
      </c>
      <c r="M113" t="inlineStr"/>
      <c r="N113" t="inlineStr">
        <is>
          <t>20260810900575</t>
        </is>
      </c>
      <c r="O113">
        <f>HYPERLINK("https://dart.fss.or.kr/dsaf001/main.do?rcpNo=20260810900575", "공시열람")</f>
        <v/>
      </c>
    </row>
    <row r="114">
      <c r="A114" t="inlineStr">
        <is>
          <t>2026-08-10</t>
        </is>
      </c>
      <c r="B114" t="inlineStr">
        <is>
          <t>한국가스공사</t>
        </is>
      </c>
      <c r="C114" t="inlineStr">
        <is>
          <t>036460</t>
        </is>
      </c>
      <c r="D114" t="inlineStr">
        <is>
          <t>별도</t>
        </is>
      </c>
      <c r="E114" t="inlineStr">
        <is>
          <t>2026Q2</t>
        </is>
      </c>
      <c r="F114" s="2" t="inlineStr"/>
      <c r="G114" t="inlineStr"/>
      <c r="H114" t="inlineStr"/>
      <c r="I114" s="2" t="inlineStr"/>
      <c r="J114" t="inlineStr"/>
      <c r="K114" t="inlineStr"/>
      <c r="L114" s="2" t="inlineStr"/>
      <c r="M114" t="inlineStr"/>
      <c r="N114" t="inlineStr">
        <is>
          <t>20260810800407</t>
        </is>
      </c>
      <c r="O114">
        <f>HYPERLINK("https://dart.fss.or.kr/dsaf001/main.do?rcpNo=20260810800407", "공시열람")</f>
        <v/>
      </c>
    </row>
    <row r="115">
      <c r="A115" t="inlineStr">
        <is>
          <t>2026-08-10</t>
        </is>
      </c>
      <c r="B115" t="inlineStr">
        <is>
          <t>서울바이오시스</t>
        </is>
      </c>
      <c r="C115" t="inlineStr">
        <is>
          <t>092190</t>
        </is>
      </c>
      <c r="D115" t="inlineStr">
        <is>
          <t>연결</t>
        </is>
      </c>
      <c r="E115" t="inlineStr">
        <is>
          <t>2026Q2</t>
        </is>
      </c>
      <c r="F115" s="2" t="n">
        <v>214144</v>
      </c>
      <c r="G115" t="n">
        <v>14</v>
      </c>
      <c r="H115" t="n">
        <v>13.8</v>
      </c>
      <c r="I115" s="2" t="n">
        <v>10196</v>
      </c>
      <c r="J115" t="n">
        <v>1.7</v>
      </c>
      <c r="K115" t="inlineStr"/>
      <c r="L115" s="2" t="n">
        <v>8162</v>
      </c>
      <c r="M115" t="inlineStr"/>
      <c r="N115" t="inlineStr">
        <is>
          <t>20260810900424</t>
        </is>
      </c>
      <c r="O115">
        <f>HYPERLINK("https://dart.fss.or.kr/dsaf001/main.do?rcpNo=20260810900424", "공시열람")</f>
        <v/>
      </c>
    </row>
    <row r="116">
      <c r="A116" t="inlineStr">
        <is>
          <t>2026-08-10</t>
        </is>
      </c>
      <c r="B116" t="inlineStr">
        <is>
          <t>잉글우드랩</t>
        </is>
      </c>
      <c r="C116" t="inlineStr">
        <is>
          <t>950140</t>
        </is>
      </c>
      <c r="D116" t="inlineStr">
        <is>
          <t>연결</t>
        </is>
      </c>
      <c r="E116" t="inlineStr">
        <is>
          <t>2026Q2</t>
        </is>
      </c>
      <c r="F116" s="2" t="n">
        <v>51927</v>
      </c>
      <c r="G116" t="n">
        <v>4.4</v>
      </c>
      <c r="H116" t="n">
        <v>-9.699999999999999</v>
      </c>
      <c r="I116" s="2" t="n">
        <v>8739</v>
      </c>
      <c r="J116" t="n">
        <v>56</v>
      </c>
      <c r="K116" t="n">
        <v>-13.2</v>
      </c>
      <c r="L116" s="2" t="n">
        <v>6698</v>
      </c>
      <c r="M116" t="n">
        <v>129.5</v>
      </c>
      <c r="N116" t="inlineStr">
        <is>
          <t>20260810900443</t>
        </is>
      </c>
      <c r="O116">
        <f>HYPERLINK("https://dart.fss.or.kr/dsaf001/main.do?rcpNo=20260810900443", "공시열람")</f>
        <v/>
      </c>
    </row>
    <row r="117">
      <c r="A117" t="inlineStr">
        <is>
          <t>2026-08-10</t>
        </is>
      </c>
      <c r="B117" t="inlineStr">
        <is>
          <t>SK바이오사이언스</t>
        </is>
      </c>
      <c r="C117" t="inlineStr">
        <is>
          <t>302440</t>
        </is>
      </c>
      <c r="D117" t="inlineStr">
        <is>
          <t>연결</t>
        </is>
      </c>
      <c r="E117" t="inlineStr">
        <is>
          <t>2026Q2</t>
        </is>
      </c>
      <c r="F117" s="2" t="n">
        <v>155705</v>
      </c>
      <c r="G117" t="n">
        <v>-7.7</v>
      </c>
      <c r="H117" t="n">
        <v>-3.8</v>
      </c>
      <c r="I117" s="2" t="n">
        <v>-15738</v>
      </c>
      <c r="J117" t="n">
        <v>64.7</v>
      </c>
      <c r="K117" t="n">
        <v>57.9</v>
      </c>
      <c r="L117" s="2" t="n">
        <v>-14086</v>
      </c>
      <c r="M117" t="n">
        <v>16</v>
      </c>
      <c r="N117" t="inlineStr">
        <is>
          <t>20260810800429</t>
        </is>
      </c>
      <c r="O117">
        <f>HYPERLINK("https://dart.fss.or.kr/dsaf001/main.do?rcpNo=20260810800429", "공시열람")</f>
        <v/>
      </c>
    </row>
    <row r="118">
      <c r="A118" t="inlineStr">
        <is>
          <t>2026-08-10</t>
        </is>
      </c>
      <c r="B118" t="inlineStr">
        <is>
          <t>코스메카코리아</t>
        </is>
      </c>
      <c r="C118" t="inlineStr">
        <is>
          <t>241710</t>
        </is>
      </c>
      <c r="D118" t="inlineStr">
        <is>
          <t>연결</t>
        </is>
      </c>
      <c r="E118" t="inlineStr">
        <is>
          <t>2026Q2</t>
        </is>
      </c>
      <c r="F118" s="2" t="n">
        <v>226080</v>
      </c>
      <c r="G118" t="n">
        <v>22.1</v>
      </c>
      <c r="H118" t="n">
        <v>39.8</v>
      </c>
      <c r="I118" s="2" t="n">
        <v>32057</v>
      </c>
      <c r="J118" t="n">
        <v>46.5</v>
      </c>
      <c r="K118" t="n">
        <v>39.3</v>
      </c>
      <c r="L118" s="2" t="n">
        <v>20293</v>
      </c>
      <c r="M118" t="n">
        <v>88</v>
      </c>
      <c r="N118" t="inlineStr">
        <is>
          <t>20260810900426</t>
        </is>
      </c>
      <c r="O118">
        <f>HYPERLINK("https://dart.fss.or.kr/dsaf001/main.do?rcpNo=20260810900426", "공시열람")</f>
        <v/>
      </c>
    </row>
    <row r="119">
      <c r="A119" t="inlineStr">
        <is>
          <t>2026-08-10</t>
        </is>
      </c>
      <c r="B119" t="inlineStr">
        <is>
          <t>웅진씽크빅</t>
        </is>
      </c>
      <c r="C119" t="inlineStr">
        <is>
          <t>095720</t>
        </is>
      </c>
      <c r="D119" t="inlineStr">
        <is>
          <t>연결</t>
        </is>
      </c>
      <c r="E119" t="inlineStr">
        <is>
          <t>2026Q2</t>
        </is>
      </c>
      <c r="F119" s="2" t="n">
        <v>190878</v>
      </c>
      <c r="G119" t="n">
        <v>6.3</v>
      </c>
      <c r="H119" t="n">
        <v>-7.3</v>
      </c>
      <c r="I119" s="2" t="n">
        <v>3808</v>
      </c>
      <c r="J119" t="inlineStr"/>
      <c r="K119" t="n">
        <v>7</v>
      </c>
      <c r="L119" s="2" t="n">
        <v>1117</v>
      </c>
      <c r="M119" t="inlineStr"/>
      <c r="N119" t="inlineStr">
        <is>
          <t>20260810800524</t>
        </is>
      </c>
      <c r="O119">
        <f>HYPERLINK("https://dart.fss.or.kr/dsaf001/main.do?rcpNo=20260810800524", "공시열람")</f>
        <v/>
      </c>
    </row>
    <row r="120">
      <c r="A120" t="inlineStr">
        <is>
          <t>2026-08-10</t>
        </is>
      </c>
      <c r="B120" t="inlineStr">
        <is>
          <t>한국공항</t>
        </is>
      </c>
      <c r="C120" t="inlineStr">
        <is>
          <t>005430</t>
        </is>
      </c>
      <c r="D120" t="inlineStr">
        <is>
          <t>연결</t>
        </is>
      </c>
      <c r="E120" t="inlineStr">
        <is>
          <t>2026Q2</t>
        </is>
      </c>
      <c r="F120" s="2" t="n">
        <v>173873</v>
      </c>
      <c r="G120" t="n">
        <v>-2.31</v>
      </c>
      <c r="H120" t="n">
        <v>8.470000000000001</v>
      </c>
      <c r="I120" s="2" t="n">
        <v>12924</v>
      </c>
      <c r="J120" t="n">
        <v>-34.35</v>
      </c>
      <c r="K120" t="n">
        <v>12.69</v>
      </c>
      <c r="L120" s="2" t="n">
        <v>10333</v>
      </c>
      <c r="M120" t="n">
        <v>9.07</v>
      </c>
      <c r="N120" t="inlineStr">
        <is>
          <t>20260810800631</t>
        </is>
      </c>
      <c r="O120">
        <f>HYPERLINK("https://dart.fss.or.kr/dsaf001/main.do?rcpNo=20260810800631", "공시열람")</f>
        <v/>
      </c>
    </row>
    <row r="121">
      <c r="A121" t="inlineStr">
        <is>
          <t>2026-08-10</t>
        </is>
      </c>
      <c r="B121" t="inlineStr">
        <is>
          <t>아이크래프트</t>
        </is>
      </c>
      <c r="C121" t="inlineStr">
        <is>
          <t>052460</t>
        </is>
      </c>
      <c r="D121" t="inlineStr">
        <is>
          <t>연결</t>
        </is>
      </c>
      <c r="E121" t="inlineStr">
        <is>
          <t>2026Q2</t>
        </is>
      </c>
      <c r="F121" s="2" t="n">
        <v>40030</v>
      </c>
      <c r="G121" t="n">
        <v>144.95</v>
      </c>
      <c r="H121" t="n">
        <v>36.25</v>
      </c>
      <c r="I121" s="2" t="n">
        <v>-291</v>
      </c>
      <c r="J121" t="n">
        <v>88.34</v>
      </c>
      <c r="K121" t="n">
        <v>59.63</v>
      </c>
      <c r="L121" s="2" t="n">
        <v>-1695</v>
      </c>
      <c r="M121" t="inlineStr"/>
      <c r="N121" t="inlineStr">
        <is>
          <t>20260810900580</t>
        </is>
      </c>
      <c r="O121">
        <f>HYPERLINK("https://dart.fss.or.kr/dsaf001/main.do?rcpNo=20260810900580", "공시열람")</f>
        <v/>
      </c>
    </row>
    <row r="122">
      <c r="A122" t="inlineStr">
        <is>
          <t>2026-08-10</t>
        </is>
      </c>
      <c r="B122" t="inlineStr">
        <is>
          <t>하이록코리아</t>
        </is>
      </c>
      <c r="C122" t="inlineStr">
        <is>
          <t>013030</t>
        </is>
      </c>
      <c r="D122" t="inlineStr">
        <is>
          <t>연결</t>
        </is>
      </c>
      <c r="E122" t="inlineStr">
        <is>
          <t>2026Q2</t>
        </is>
      </c>
      <c r="F122" s="2" t="n">
        <v>59251</v>
      </c>
      <c r="G122" t="n">
        <v>9.4</v>
      </c>
      <c r="H122" t="n">
        <v>9.1</v>
      </c>
      <c r="I122" s="2" t="n">
        <v>16991</v>
      </c>
      <c r="J122" t="n">
        <v>8.300000000000001</v>
      </c>
      <c r="K122" t="n">
        <v>3.4</v>
      </c>
      <c r="L122" s="2" t="n">
        <v>14849</v>
      </c>
      <c r="M122" t="n">
        <v>33.1</v>
      </c>
      <c r="N122" t="inlineStr">
        <is>
          <t>20260810900582</t>
        </is>
      </c>
      <c r="O122">
        <f>HYPERLINK("https://dart.fss.or.kr/dsaf001/main.do?rcpNo=20260810900582", "공시열람")</f>
        <v/>
      </c>
    </row>
    <row r="123">
      <c r="A123" t="inlineStr">
        <is>
          <t>2026-08-10</t>
        </is>
      </c>
      <c r="B123" t="inlineStr">
        <is>
          <t>콜마홀딩스</t>
        </is>
      </c>
      <c r="C123" t="inlineStr">
        <is>
          <t>024720</t>
        </is>
      </c>
      <c r="D123" t="inlineStr">
        <is>
          <t>별도</t>
        </is>
      </c>
      <c r="E123" t="inlineStr">
        <is>
          <t>2026Q2</t>
        </is>
      </c>
      <c r="F123" s="2" t="n">
        <v>11467</v>
      </c>
      <c r="G123" t="n">
        <v>-19</v>
      </c>
      <c r="H123" t="n">
        <v>29.2</v>
      </c>
      <c r="I123" s="2" t="n">
        <v>747</v>
      </c>
      <c r="J123" t="n">
        <v>-83</v>
      </c>
      <c r="K123" t="inlineStr"/>
      <c r="L123" s="2" t="n">
        <v>14027</v>
      </c>
      <c r="M123" t="n">
        <v>-44.4</v>
      </c>
      <c r="N123" t="inlineStr">
        <is>
          <t>20260810800782</t>
        </is>
      </c>
      <c r="O123">
        <f>HYPERLINK("https://dart.fss.or.kr/dsaf001/main.do?rcpNo=20260810800782", "공시열람")</f>
        <v/>
      </c>
    </row>
    <row r="124">
      <c r="A124" t="inlineStr">
        <is>
          <t>2026-08-10</t>
        </is>
      </c>
      <c r="B124" t="inlineStr">
        <is>
          <t>콜마홀딩스</t>
        </is>
      </c>
      <c r="C124" t="inlineStr">
        <is>
          <t>024720</t>
        </is>
      </c>
      <c r="D124" t="inlineStr">
        <is>
          <t>연결</t>
        </is>
      </c>
      <c r="E124" t="inlineStr">
        <is>
          <t>2026Q2</t>
        </is>
      </c>
      <c r="F124" s="2" t="n">
        <v>142347</v>
      </c>
      <c r="G124" t="n">
        <v>-6.3</v>
      </c>
      <c r="H124" t="n">
        <v>-19</v>
      </c>
      <c r="I124" s="2" t="n">
        <v>25338</v>
      </c>
      <c r="J124" t="n">
        <v>24.2</v>
      </c>
      <c r="K124" t="n">
        <v>54.7</v>
      </c>
      <c r="L124" s="2" t="n">
        <v>35322</v>
      </c>
      <c r="M124" t="n">
        <v>-10.1</v>
      </c>
      <c r="N124" t="inlineStr">
        <is>
          <t>20260810800802</t>
        </is>
      </c>
      <c r="O124">
        <f>HYPERLINK("https://dart.fss.or.kr/dsaf001/main.do?rcpNo=20260810800802", "공시열람")</f>
        <v/>
      </c>
    </row>
    <row r="125">
      <c r="A125" t="inlineStr">
        <is>
          <t>2026-08-10</t>
        </is>
      </c>
      <c r="B125" t="inlineStr">
        <is>
          <t>LX홀딩스</t>
        </is>
      </c>
      <c r="C125" t="inlineStr">
        <is>
          <t>383800</t>
        </is>
      </c>
      <c r="D125" t="inlineStr">
        <is>
          <t>연결</t>
        </is>
      </c>
      <c r="E125" t="inlineStr">
        <is>
          <t>2026Q2</t>
        </is>
      </c>
      <c r="F125" s="2" t="n">
        <v>17286</v>
      </c>
      <c r="G125" t="n">
        <v>20.2</v>
      </c>
      <c r="H125" t="n">
        <v>70.5</v>
      </c>
      <c r="I125" s="2" t="n">
        <v>60337</v>
      </c>
      <c r="J125" t="n">
        <v>45</v>
      </c>
      <c r="K125" t="n">
        <v>42.1</v>
      </c>
      <c r="L125" s="2" t="n">
        <v>56551</v>
      </c>
      <c r="M125" t="n">
        <v>29.6</v>
      </c>
      <c r="N125" t="inlineStr">
        <is>
          <t>20260810800818</t>
        </is>
      </c>
      <c r="O125">
        <f>HYPERLINK("https://dart.fss.or.kr/dsaf001/main.do?rcpNo=20260810800818", "공시열람")</f>
        <v/>
      </c>
    </row>
    <row r="126">
      <c r="A126" t="inlineStr">
        <is>
          <t>2026-08-10</t>
        </is>
      </c>
      <c r="B126" t="inlineStr">
        <is>
          <t>한샘</t>
        </is>
      </c>
      <c r="C126" t="inlineStr">
        <is>
          <t>009240</t>
        </is>
      </c>
      <c r="D126" t="inlineStr">
        <is>
          <t>연결</t>
        </is>
      </c>
      <c r="E126" t="inlineStr">
        <is>
          <t>2026Q2</t>
        </is>
      </c>
      <c r="F126" s="2" t="n">
        <v>417233</v>
      </c>
      <c r="G126" t="n">
        <v>4.5</v>
      </c>
      <c r="H126" t="n">
        <v>-9.199999999999999</v>
      </c>
      <c r="I126" s="2" t="n">
        <v>11285</v>
      </c>
      <c r="J126" t="n">
        <v>12</v>
      </c>
      <c r="K126" t="n">
        <v>400.2</v>
      </c>
      <c r="L126" s="2" t="n">
        <v>4769</v>
      </c>
      <c r="M126" t="n">
        <v>-85.2</v>
      </c>
      <c r="N126" t="inlineStr">
        <is>
          <t>20260810800834</t>
        </is>
      </c>
      <c r="O126">
        <f>HYPERLINK("https://dart.fss.or.kr/dsaf001/main.do?rcpNo=20260810800834", "공시열람")</f>
        <v/>
      </c>
    </row>
    <row r="127">
      <c r="A127" t="inlineStr">
        <is>
          <t>2026-08-10</t>
        </is>
      </c>
      <c r="B127" t="inlineStr">
        <is>
          <t>대동기어</t>
        </is>
      </c>
      <c r="C127" t="inlineStr">
        <is>
          <t>008830</t>
        </is>
      </c>
      <c r="D127" t="inlineStr">
        <is>
          <t>별도</t>
        </is>
      </c>
      <c r="E127" t="inlineStr">
        <is>
          <t>2026Q2</t>
        </is>
      </c>
      <c r="F127" s="2" t="n">
        <v>67034</v>
      </c>
      <c r="G127" t="n">
        <v>12.99</v>
      </c>
      <c r="H127" t="n">
        <v>13.35</v>
      </c>
      <c r="I127" s="2" t="n">
        <v>1646</v>
      </c>
      <c r="J127" t="inlineStr"/>
      <c r="K127" t="n">
        <v>361.06</v>
      </c>
      <c r="L127" s="2" t="n">
        <v>572</v>
      </c>
      <c r="M127" t="inlineStr"/>
      <c r="N127" t="inlineStr">
        <is>
          <t>20260810900273</t>
        </is>
      </c>
      <c r="O127">
        <f>HYPERLINK("https://dart.fss.or.kr/dsaf001/main.do?rcpNo=20260810900273", "공시열람")</f>
        <v/>
      </c>
    </row>
    <row r="128">
      <c r="A128" t="inlineStr">
        <is>
          <t>2026-08-10</t>
        </is>
      </c>
      <c r="B128" t="inlineStr">
        <is>
          <t>SH에너지화학</t>
        </is>
      </c>
      <c r="C128" t="inlineStr">
        <is>
          <t>002360</t>
        </is>
      </c>
      <c r="D128" t="inlineStr">
        <is>
          <t>연결</t>
        </is>
      </c>
      <c r="E128" t="inlineStr">
        <is>
          <t>2026Q2</t>
        </is>
      </c>
      <c r="F128" s="2" t="n">
        <v>28276</v>
      </c>
      <c r="G128" t="n">
        <v>-8.300000000000001</v>
      </c>
      <c r="H128" t="n">
        <v>11.4</v>
      </c>
      <c r="I128" s="2" t="n">
        <v>94</v>
      </c>
      <c r="J128" t="inlineStr"/>
      <c r="K128" t="inlineStr"/>
      <c r="L128" s="2" t="n">
        <v>622</v>
      </c>
      <c r="M128" t="inlineStr"/>
      <c r="N128" t="inlineStr">
        <is>
          <t>20260810800350</t>
        </is>
      </c>
      <c r="O128">
        <f>HYPERLINK("https://dart.fss.or.kr/dsaf001/main.do?rcpNo=20260810800350", "공시열람")</f>
        <v/>
      </c>
    </row>
    <row r="129">
      <c r="A129" t="inlineStr">
        <is>
          <t>2026-08-10</t>
        </is>
      </c>
      <c r="B129" t="inlineStr">
        <is>
          <t>메디톡스</t>
        </is>
      </c>
      <c r="C129" t="inlineStr">
        <is>
          <t>086900</t>
        </is>
      </c>
      <c r="D129" t="inlineStr">
        <is>
          <t>연결</t>
        </is>
      </c>
      <c r="E129" t="inlineStr">
        <is>
          <t>2026Q2</t>
        </is>
      </c>
      <c r="F129" s="2" t="n">
        <v>68702</v>
      </c>
      <c r="G129" t="n">
        <v>13.2</v>
      </c>
      <c r="H129" t="n">
        <v>11.4</v>
      </c>
      <c r="I129" s="2" t="n">
        <v>4765</v>
      </c>
      <c r="J129" t="n">
        <v>-35.4</v>
      </c>
      <c r="K129" t="n">
        <v>-24.6</v>
      </c>
      <c r="L129" s="2" t="n">
        <v>3128</v>
      </c>
      <c r="M129" t="n">
        <v>-61.7</v>
      </c>
      <c r="N129" t="inlineStr">
        <is>
          <t>20260810900511</t>
        </is>
      </c>
      <c r="O129">
        <f>HYPERLINK("https://dart.fss.or.kr/dsaf001/main.do?rcpNo=20260810900511", "공시열람")</f>
        <v/>
      </c>
    </row>
    <row r="130">
      <c r="A130" t="inlineStr">
        <is>
          <t>2026-08-10</t>
        </is>
      </c>
      <c r="B130" t="inlineStr">
        <is>
          <t>대동</t>
        </is>
      </c>
      <c r="C130" t="inlineStr">
        <is>
          <t>000490</t>
        </is>
      </c>
      <c r="D130" t="inlineStr">
        <is>
          <t>연결</t>
        </is>
      </c>
      <c r="E130" t="inlineStr">
        <is>
          <t>2026Q2</t>
        </is>
      </c>
      <c r="F130" s="2" t="n">
        <v>467081</v>
      </c>
      <c r="G130" t="n">
        <v>23.7</v>
      </c>
      <c r="H130" t="n">
        <v>12.7</v>
      </c>
      <c r="I130" s="2" t="n">
        <v>41233</v>
      </c>
      <c r="J130" t="n">
        <v>584.7</v>
      </c>
      <c r="K130" t="n">
        <v>64.3</v>
      </c>
      <c r="L130" s="2" t="n">
        <v>21419</v>
      </c>
      <c r="M130" t="n">
        <v>213.7</v>
      </c>
      <c r="N130" t="inlineStr">
        <is>
          <t>20260810800261</t>
        </is>
      </c>
      <c r="O130">
        <f>HYPERLINK("https://dart.fss.or.kr/dsaf001/main.do?rcpNo=20260810800261", "공시열람")</f>
        <v/>
      </c>
    </row>
    <row r="131">
      <c r="A131" t="inlineStr">
        <is>
          <t>2026-08-10</t>
        </is>
      </c>
      <c r="B131" t="inlineStr">
        <is>
          <t>비엠티</t>
        </is>
      </c>
      <c r="C131" t="inlineStr">
        <is>
          <t>086670</t>
        </is>
      </c>
      <c r="D131" t="inlineStr">
        <is>
          <t>연결</t>
        </is>
      </c>
      <c r="E131" t="inlineStr">
        <is>
          <t>2026Q2</t>
        </is>
      </c>
      <c r="F131" s="2" t="n">
        <v>48647</v>
      </c>
      <c r="G131" t="n">
        <v>36.8</v>
      </c>
      <c r="H131" t="n">
        <v>23.9</v>
      </c>
      <c r="I131" s="2" t="n">
        <v>6296</v>
      </c>
      <c r="J131" t="n">
        <v>255.3</v>
      </c>
      <c r="K131" t="n">
        <v>84.2</v>
      </c>
      <c r="L131" s="2" t="n">
        <v>4883</v>
      </c>
      <c r="M131" t="n">
        <v>345.9</v>
      </c>
      <c r="N131" t="inlineStr">
        <is>
          <t>20260810900171</t>
        </is>
      </c>
      <c r="O131">
        <f>HYPERLINK("https://dart.fss.or.kr/dsaf001/main.do?rcpNo=20260810900171", "공시열람")</f>
        <v/>
      </c>
    </row>
    <row r="132">
      <c r="A132" t="inlineStr">
        <is>
          <t>2026-08-10</t>
        </is>
      </c>
      <c r="B132" t="inlineStr">
        <is>
          <t>씨티케이</t>
        </is>
      </c>
      <c r="C132" t="inlineStr">
        <is>
          <t>260930</t>
        </is>
      </c>
      <c r="D132" t="inlineStr">
        <is>
          <t>연결</t>
        </is>
      </c>
      <c r="E132" t="inlineStr">
        <is>
          <t>2026Q2</t>
        </is>
      </c>
      <c r="F132" s="2" t="n">
        <v>28963</v>
      </c>
      <c r="G132" t="n">
        <v>18.4</v>
      </c>
      <c r="H132" t="n">
        <v>28.9</v>
      </c>
      <c r="I132" s="2" t="n">
        <v>469</v>
      </c>
      <c r="J132" t="inlineStr"/>
      <c r="K132" t="n">
        <v>103.4</v>
      </c>
      <c r="L132" s="2" t="n">
        <v>-1927</v>
      </c>
      <c r="M132" t="inlineStr"/>
      <c r="N132" t="inlineStr">
        <is>
          <t>20260810900158</t>
        </is>
      </c>
      <c r="O132">
        <f>HYPERLINK("https://dart.fss.or.kr/dsaf001/main.do?rcpNo=20260810900158", "공시열람")</f>
        <v/>
      </c>
    </row>
    <row r="133">
      <c r="A133" t="inlineStr">
        <is>
          <t>2026-08-10</t>
        </is>
      </c>
      <c r="B133" t="inlineStr">
        <is>
          <t>씨앤씨인터내셔널</t>
        </is>
      </c>
      <c r="C133" t="inlineStr">
        <is>
          <t>352480</t>
        </is>
      </c>
      <c r="D133" t="inlineStr">
        <is>
          <t>연결</t>
        </is>
      </c>
      <c r="E133" t="inlineStr">
        <is>
          <t>2026Q2</t>
        </is>
      </c>
      <c r="F133" s="2" t="n">
        <v>73321</v>
      </c>
      <c r="G133" t="n">
        <v>3.5</v>
      </c>
      <c r="H133" t="n">
        <v>-0.8</v>
      </c>
      <c r="I133" s="2" t="n">
        <v>1601</v>
      </c>
      <c r="J133" t="n">
        <v>-46</v>
      </c>
      <c r="K133" t="n">
        <v>-81.59999999999999</v>
      </c>
      <c r="L133" s="2" t="n">
        <v>-6233</v>
      </c>
      <c r="M133" t="inlineStr"/>
      <c r="N133" t="inlineStr">
        <is>
          <t>20260810900119</t>
        </is>
      </c>
      <c r="O133">
        <f>HYPERLINK("https://dart.fss.or.kr/dsaf001/main.do?rcpNo=20260810900119", "공시열람")</f>
        <v/>
      </c>
    </row>
    <row r="134">
      <c r="A134" t="inlineStr">
        <is>
          <t>2026-08-10</t>
        </is>
      </c>
      <c r="B134" t="inlineStr">
        <is>
          <t>GC메디아이</t>
        </is>
      </c>
      <c r="C134" t="inlineStr">
        <is>
          <t>032620</t>
        </is>
      </c>
      <c r="D134" t="inlineStr">
        <is>
          <t>연결</t>
        </is>
      </c>
      <c r="E134" t="inlineStr">
        <is>
          <t>2026Q2</t>
        </is>
      </c>
      <c r="F134" s="2" t="n">
        <v>51525</v>
      </c>
      <c r="G134" t="n">
        <v>3.38</v>
      </c>
      <c r="H134" t="n">
        <v>5.86</v>
      </c>
      <c r="I134" s="2" t="n">
        <v>3960</v>
      </c>
      <c r="J134" t="n">
        <v>76.72</v>
      </c>
      <c r="K134" t="n">
        <v>256.22</v>
      </c>
      <c r="L134" s="2" t="n">
        <v>155</v>
      </c>
      <c r="M134" t="n">
        <v>-99.58</v>
      </c>
      <c r="N134" t="inlineStr">
        <is>
          <t>20260810900109</t>
        </is>
      </c>
      <c r="O134">
        <f>HYPERLINK("https://dart.fss.or.kr/dsaf001/main.do?rcpNo=20260810900109", "공시열람")</f>
        <v/>
      </c>
    </row>
    <row r="135">
      <c r="A135" t="inlineStr">
        <is>
          <t>2026-08-10</t>
        </is>
      </c>
      <c r="B135" t="inlineStr">
        <is>
          <t>성광벤드</t>
        </is>
      </c>
      <c r="C135" t="inlineStr">
        <is>
          <t>014620</t>
        </is>
      </c>
      <c r="D135" t="inlineStr">
        <is>
          <t>연결</t>
        </is>
      </c>
      <c r="E135" t="inlineStr">
        <is>
          <t>2026Q2</t>
        </is>
      </c>
      <c r="F135" s="2" t="n">
        <v>64132</v>
      </c>
      <c r="G135" t="n">
        <v>8.4</v>
      </c>
      <c r="H135" t="n">
        <v>10.4</v>
      </c>
      <c r="I135" s="2" t="n">
        <v>10007</v>
      </c>
      <c r="J135" t="n">
        <v>52.3</v>
      </c>
      <c r="K135" t="n">
        <v>-7.1</v>
      </c>
      <c r="L135" s="2" t="n">
        <v>9578</v>
      </c>
      <c r="M135" t="n">
        <v>48.4</v>
      </c>
      <c r="N135" t="inlineStr">
        <is>
          <t>20260810900095</t>
        </is>
      </c>
      <c r="O135">
        <f>HYPERLINK("https://dart.fss.or.kr/dsaf001/main.do?rcpNo=20260810900095", "공시열람")</f>
        <v/>
      </c>
    </row>
    <row r="136">
      <c r="A136" t="inlineStr">
        <is>
          <t>2026-08-10</t>
        </is>
      </c>
      <c r="B136" t="inlineStr">
        <is>
          <t>포스뱅크</t>
        </is>
      </c>
      <c r="C136" t="inlineStr">
        <is>
          <t>105760</t>
        </is>
      </c>
      <c r="D136" t="inlineStr">
        <is>
          <t>연결</t>
        </is>
      </c>
      <c r="E136" t="inlineStr">
        <is>
          <t>2026Q2</t>
        </is>
      </c>
      <c r="F136" s="2" t="n">
        <v>36611</v>
      </c>
      <c r="G136" t="n">
        <v>38.06</v>
      </c>
      <c r="H136" t="n">
        <v>40.99</v>
      </c>
      <c r="I136" s="2" t="n">
        <v>6320</v>
      </c>
      <c r="J136" t="n">
        <v>216</v>
      </c>
      <c r="K136" t="n">
        <v>285.84</v>
      </c>
      <c r="L136" s="2" t="n">
        <v>7541</v>
      </c>
      <c r="M136" t="n">
        <v>1451.65</v>
      </c>
      <c r="N136" t="inlineStr">
        <is>
          <t>20260810900096</t>
        </is>
      </c>
      <c r="O136">
        <f>HYPERLINK("https://dart.fss.or.kr/dsaf001/main.do?rcpNo=20260810900096", "공시열람")</f>
        <v/>
      </c>
    </row>
    <row r="137">
      <c r="A137" t="inlineStr">
        <is>
          <t>2026-08-10</t>
        </is>
      </c>
      <c r="B137" t="inlineStr">
        <is>
          <t>지역난방공사</t>
        </is>
      </c>
      <c r="C137" t="inlineStr">
        <is>
          <t>071320</t>
        </is>
      </c>
      <c r="D137" t="inlineStr">
        <is>
          <t>연결</t>
        </is>
      </c>
      <c r="E137" t="inlineStr">
        <is>
          <t>2026Q2</t>
        </is>
      </c>
      <c r="F137" s="2" t="n">
        <v>653113</v>
      </c>
      <c r="G137" t="n">
        <v>-54.5</v>
      </c>
      <c r="H137" t="n">
        <v>4.8</v>
      </c>
      <c r="I137" s="2" t="n">
        <v>33094</v>
      </c>
      <c r="J137" t="n">
        <v>-89.7</v>
      </c>
      <c r="K137" t="inlineStr"/>
      <c r="L137" s="2" t="n">
        <v>10408</v>
      </c>
      <c r="M137" t="inlineStr"/>
      <c r="N137" t="inlineStr">
        <is>
          <t>20260810800081</t>
        </is>
      </c>
      <c r="O137">
        <f>HYPERLINK("https://dart.fss.or.kr/dsaf001/main.do?rcpNo=20260810800081", "공시열람")</f>
        <v/>
      </c>
    </row>
    <row r="138">
      <c r="A138" t="inlineStr">
        <is>
          <t>2026-08-10</t>
        </is>
      </c>
      <c r="B138" t="inlineStr">
        <is>
          <t>한전KPS</t>
        </is>
      </c>
      <c r="C138" t="inlineStr">
        <is>
          <t>051600</t>
        </is>
      </c>
      <c r="D138" t="inlineStr">
        <is>
          <t>연결</t>
        </is>
      </c>
      <c r="E138" t="inlineStr">
        <is>
          <t>2026Q2</t>
        </is>
      </c>
      <c r="F138" s="2" t="n">
        <v>437939</v>
      </c>
      <c r="G138" t="n">
        <v>24.28</v>
      </c>
      <c r="H138" t="n">
        <v>-3.53</v>
      </c>
      <c r="I138" s="2" t="n">
        <v>43580</v>
      </c>
      <c r="J138" t="n">
        <v>17.73</v>
      </c>
      <c r="K138" t="n">
        <v>-33.59</v>
      </c>
      <c r="L138" s="2" t="n">
        <v>38274</v>
      </c>
      <c r="M138" t="n">
        <v>-24.77</v>
      </c>
      <c r="N138" t="inlineStr">
        <is>
          <t>20260810800186</t>
        </is>
      </c>
      <c r="O138">
        <f>HYPERLINK("https://dart.fss.or.kr/dsaf001/main.do?rcpNo=20260810800186", "공시열람")</f>
        <v/>
      </c>
    </row>
    <row r="139">
      <c r="A139" t="inlineStr">
        <is>
          <t>2026-08-07</t>
        </is>
      </c>
      <c r="B139" t="inlineStr">
        <is>
          <t>롯데웰푸드</t>
        </is>
      </c>
      <c r="C139" t="inlineStr">
        <is>
          <t>280360</t>
        </is>
      </c>
      <c r="D139" t="inlineStr">
        <is>
          <t>연결</t>
        </is>
      </c>
      <c r="E139" t="inlineStr">
        <is>
          <t>2026Q2</t>
        </is>
      </c>
      <c r="F139" s="2" t="n">
        <v>1155748</v>
      </c>
      <c r="G139" t="n">
        <v>12.5</v>
      </c>
      <c r="H139" t="n">
        <v>8.6</v>
      </c>
      <c r="I139" s="2" t="n">
        <v>64709</v>
      </c>
      <c r="J139" t="n">
        <v>80.8</v>
      </c>
      <c r="K139" t="n">
        <v>88.5</v>
      </c>
      <c r="L139" s="2" t="n">
        <v>36082</v>
      </c>
      <c r="M139" t="n">
        <v>130.1</v>
      </c>
      <c r="N139" t="inlineStr">
        <is>
          <t>20260807800348</t>
        </is>
      </c>
      <c r="O139">
        <f>HYPERLINK("https://dart.fss.or.kr/dsaf001/main.do?rcpNo=20260807800348", "공시열람")</f>
        <v/>
      </c>
    </row>
    <row r="140">
      <c r="A140" t="inlineStr">
        <is>
          <t>2026-08-07</t>
        </is>
      </c>
      <c r="B140" t="inlineStr">
        <is>
          <t>코텍</t>
        </is>
      </c>
      <c r="C140" t="inlineStr">
        <is>
          <t>052330</t>
        </is>
      </c>
      <c r="D140" t="inlineStr">
        <is>
          <t>연결</t>
        </is>
      </c>
      <c r="E140" t="inlineStr">
        <is>
          <t>2026Q2</t>
        </is>
      </c>
      <c r="F140" s="2" t="n">
        <v>129614</v>
      </c>
      <c r="G140" t="n">
        <v>10.9</v>
      </c>
      <c r="H140" t="n">
        <v>37.3</v>
      </c>
      <c r="I140" s="2" t="n">
        <v>16038</v>
      </c>
      <c r="J140" t="n">
        <v>4</v>
      </c>
      <c r="K140" t="n">
        <v>139.9</v>
      </c>
      <c r="L140" s="2" t="n">
        <v>16180</v>
      </c>
      <c r="M140" t="n">
        <v>857.3</v>
      </c>
      <c r="N140" t="inlineStr">
        <is>
          <t>20260807900338</t>
        </is>
      </c>
      <c r="O140">
        <f>HYPERLINK("https://dart.fss.or.kr/dsaf001/main.do?rcpNo=20260807900338", "공시열람")</f>
        <v/>
      </c>
    </row>
    <row r="141">
      <c r="A141" t="inlineStr">
        <is>
          <t>2026-08-07</t>
        </is>
      </c>
      <c r="B141" t="inlineStr">
        <is>
          <t>빅텍</t>
        </is>
      </c>
      <c r="C141" t="inlineStr">
        <is>
          <t>065450</t>
        </is>
      </c>
      <c r="D141" t="inlineStr">
        <is>
          <t>연결</t>
        </is>
      </c>
      <c r="E141" t="inlineStr">
        <is>
          <t>2026Q2</t>
        </is>
      </c>
      <c r="F141" s="2" t="n">
        <v>22574</v>
      </c>
      <c r="G141" t="n">
        <v>7.8</v>
      </c>
      <c r="H141" t="n">
        <v>54</v>
      </c>
      <c r="I141" s="2" t="n">
        <v>624</v>
      </c>
      <c r="J141" t="n">
        <v>220</v>
      </c>
      <c r="K141" t="n">
        <v>-27.5</v>
      </c>
      <c r="L141" s="2" t="n">
        <v>-567</v>
      </c>
      <c r="M141" t="inlineStr"/>
      <c r="N141" t="inlineStr">
        <is>
          <t>20260807900376</t>
        </is>
      </c>
      <c r="O141">
        <f>HYPERLINK("https://dart.fss.or.kr/dsaf001/main.do?rcpNo=20260807900376", "공시열람")</f>
        <v/>
      </c>
    </row>
    <row r="142">
      <c r="A142" t="inlineStr">
        <is>
          <t>2026-08-07</t>
        </is>
      </c>
      <c r="B142" t="inlineStr">
        <is>
          <t>SG세계물산</t>
        </is>
      </c>
      <c r="C142" t="inlineStr">
        <is>
          <t>004060</t>
        </is>
      </c>
      <c r="D142" t="inlineStr">
        <is>
          <t>연결</t>
        </is>
      </c>
      <c r="E142" t="inlineStr">
        <is>
          <t>2026Q2</t>
        </is>
      </c>
      <c r="F142" s="2" t="n">
        <v>27284</v>
      </c>
      <c r="G142" t="n">
        <v>-1.7</v>
      </c>
      <c r="H142" t="n">
        <v>-5.2</v>
      </c>
      <c r="I142" s="2" t="n">
        <v>-464</v>
      </c>
      <c r="J142" t="n">
        <v>75.2</v>
      </c>
      <c r="K142" t="n">
        <v>-8.9</v>
      </c>
      <c r="L142" s="2" t="n">
        <v>1346</v>
      </c>
      <c r="M142" t="n">
        <v>25.2</v>
      </c>
      <c r="N142" t="inlineStr">
        <is>
          <t>20260807800345</t>
        </is>
      </c>
      <c r="O142">
        <f>HYPERLINK("https://dart.fss.or.kr/dsaf001/main.do?rcpNo=20260807800345", "공시열람")</f>
        <v/>
      </c>
    </row>
    <row r="143">
      <c r="A143" t="inlineStr">
        <is>
          <t>2026-08-07</t>
        </is>
      </c>
      <c r="B143" t="inlineStr">
        <is>
          <t>KTcs</t>
        </is>
      </c>
      <c r="C143" t="inlineStr">
        <is>
          <t>058850</t>
        </is>
      </c>
      <c r="D143" t="inlineStr">
        <is>
          <t>별도</t>
        </is>
      </c>
      <c r="E143" t="inlineStr">
        <is>
          <t>2026Q2</t>
        </is>
      </c>
      <c r="F143" s="2" t="n">
        <v>161389</v>
      </c>
      <c r="G143" t="n">
        <v>-1.9</v>
      </c>
      <c r="H143" t="n">
        <v>-0.8</v>
      </c>
      <c r="I143" s="2" t="n">
        <v>7608</v>
      </c>
      <c r="J143" t="n">
        <v>-0.2</v>
      </c>
      <c r="K143" t="n">
        <v>-13.1</v>
      </c>
      <c r="L143" s="2" t="n">
        <v>5794</v>
      </c>
      <c r="M143" t="n">
        <v>-13.1</v>
      </c>
      <c r="N143" t="inlineStr">
        <is>
          <t>20260807800394</t>
        </is>
      </c>
      <c r="O143">
        <f>HYPERLINK("https://dart.fss.or.kr/dsaf001/main.do?rcpNo=20260807800394", "공시열람")</f>
        <v/>
      </c>
    </row>
    <row r="144">
      <c r="A144" t="inlineStr">
        <is>
          <t>2026-08-07</t>
        </is>
      </c>
      <c r="B144" t="inlineStr">
        <is>
          <t>티케이지휴켐스</t>
        </is>
      </c>
      <c r="C144" t="inlineStr">
        <is>
          <t>069260</t>
        </is>
      </c>
      <c r="D144" t="inlineStr">
        <is>
          <t>연결</t>
        </is>
      </c>
      <c r="E144" t="inlineStr">
        <is>
          <t>2026Q2</t>
        </is>
      </c>
      <c r="F144" s="2" t="n">
        <v>397199</v>
      </c>
      <c r="G144" t="n">
        <v>34.7</v>
      </c>
      <c r="H144" t="n">
        <v>36.9</v>
      </c>
      <c r="I144" s="2" t="n">
        <v>32818</v>
      </c>
      <c r="J144" t="n">
        <v>116</v>
      </c>
      <c r="K144" t="n">
        <v>49.2</v>
      </c>
      <c r="L144" s="2" t="n">
        <v>22289</v>
      </c>
      <c r="M144" t="n">
        <v>23.4</v>
      </c>
      <c r="N144" t="inlineStr">
        <is>
          <t>20260807800374</t>
        </is>
      </c>
      <c r="O144">
        <f>HYPERLINK("https://dart.fss.or.kr/dsaf001/main.do?rcpNo=20260807800374", "공시열람")</f>
        <v/>
      </c>
    </row>
    <row r="145">
      <c r="A145" t="inlineStr">
        <is>
          <t>2026-08-07</t>
        </is>
      </c>
      <c r="B145" t="inlineStr">
        <is>
          <t>KTcs</t>
        </is>
      </c>
      <c r="C145" t="inlineStr">
        <is>
          <t>058850</t>
        </is>
      </c>
      <c r="D145" t="inlineStr">
        <is>
          <t>연결</t>
        </is>
      </c>
      <c r="E145" t="inlineStr">
        <is>
          <t>2026Q2</t>
        </is>
      </c>
      <c r="F145" s="2" t="n">
        <v>238408</v>
      </c>
      <c r="G145" t="n">
        <v>1.1</v>
      </c>
      <c r="H145" t="n">
        <v>-3.9</v>
      </c>
      <c r="I145" s="2" t="n">
        <v>9655</v>
      </c>
      <c r="J145" t="n">
        <v>-8</v>
      </c>
      <c r="K145" t="n">
        <v>-24.7</v>
      </c>
      <c r="L145" s="2" t="n">
        <v>7601</v>
      </c>
      <c r="M145" t="n">
        <v>-24.2</v>
      </c>
      <c r="N145" t="inlineStr">
        <is>
          <t>20260807800390</t>
        </is>
      </c>
      <c r="O145">
        <f>HYPERLINK("https://dart.fss.or.kr/dsaf001/main.do?rcpNo=20260807800390", "공시열람")</f>
        <v/>
      </c>
    </row>
    <row r="146">
      <c r="A146" t="inlineStr">
        <is>
          <t>2026-08-07</t>
        </is>
      </c>
      <c r="B146" t="inlineStr">
        <is>
          <t>쎌바이오텍</t>
        </is>
      </c>
      <c r="C146" t="inlineStr">
        <is>
          <t>049960</t>
        </is>
      </c>
      <c r="D146" t="inlineStr">
        <is>
          <t>연결</t>
        </is>
      </c>
      <c r="E146" t="inlineStr">
        <is>
          <t>2026Q2</t>
        </is>
      </c>
      <c r="F146" s="2" t="n">
        <v>15814</v>
      </c>
      <c r="G146" t="n">
        <v>8.300000000000001</v>
      </c>
      <c r="H146" t="n">
        <v>32.8</v>
      </c>
      <c r="I146" s="2" t="n">
        <v>1640</v>
      </c>
      <c r="J146" t="n">
        <v>-48.5</v>
      </c>
      <c r="K146" t="n">
        <v>28</v>
      </c>
      <c r="L146" s="2" t="n">
        <v>3606</v>
      </c>
      <c r="M146" t="n">
        <v>1589.4</v>
      </c>
      <c r="N146" t="inlineStr">
        <is>
          <t>20260807900323</t>
        </is>
      </c>
      <c r="O146">
        <f>HYPERLINK("https://dart.fss.or.kr/dsaf001/main.do?rcpNo=20260807900323", "공시열람")</f>
        <v/>
      </c>
    </row>
    <row r="147">
      <c r="A147" t="inlineStr">
        <is>
          <t>2026-08-07</t>
        </is>
      </c>
      <c r="B147" t="inlineStr">
        <is>
          <t>한국가스공사</t>
        </is>
      </c>
      <c r="C147" t="inlineStr">
        <is>
          <t>036460</t>
        </is>
      </c>
      <c r="D147" t="inlineStr">
        <is>
          <t>연결</t>
        </is>
      </c>
      <c r="E147" t="inlineStr">
        <is>
          <t>2026Q2</t>
        </is>
      </c>
      <c r="F147" s="2" t="n">
        <v>7507962</v>
      </c>
      <c r="G147" t="n">
        <v>-36.4</v>
      </c>
      <c r="H147" t="n">
        <v>-1.6</v>
      </c>
      <c r="I147" s="2" t="n">
        <v>675294</v>
      </c>
      <c r="J147" t="n">
        <v>-25.8</v>
      </c>
      <c r="K147" t="n">
        <v>66.90000000000001</v>
      </c>
      <c r="L147" s="2" t="n">
        <v>338815</v>
      </c>
      <c r="M147" t="n">
        <v>298.1</v>
      </c>
      <c r="N147" t="inlineStr">
        <is>
          <t>20260807800367</t>
        </is>
      </c>
      <c r="O147">
        <f>HYPERLINK("https://dart.fss.or.kr/dsaf001/main.do?rcpNo=20260807800367", "공시열람")</f>
        <v/>
      </c>
    </row>
    <row r="148">
      <c r="A148" t="inlineStr">
        <is>
          <t>2026-08-07</t>
        </is>
      </c>
      <c r="B148" t="inlineStr">
        <is>
          <t>현대지에프홀딩스</t>
        </is>
      </c>
      <c r="C148" t="inlineStr">
        <is>
          <t>005440</t>
        </is>
      </c>
      <c r="D148" t="inlineStr">
        <is>
          <t>연결</t>
        </is>
      </c>
      <c r="E148" t="inlineStr">
        <is>
          <t>2026Q2</t>
        </is>
      </c>
      <c r="F148" s="2" t="n">
        <v>2055700</v>
      </c>
      <c r="G148" t="n">
        <v>-1.3</v>
      </c>
      <c r="H148" t="n">
        <v>2.8</v>
      </c>
      <c r="I148" s="2" t="n">
        <v>85300</v>
      </c>
      <c r="J148" t="n">
        <v>-27.4</v>
      </c>
      <c r="K148" t="n">
        <v>15.6</v>
      </c>
      <c r="L148" s="2" t="n">
        <v>132200</v>
      </c>
      <c r="M148" t="n">
        <v>28.6</v>
      </c>
      <c r="N148" t="inlineStr">
        <is>
          <t>20260807800224</t>
        </is>
      </c>
      <c r="O148">
        <f>HYPERLINK("https://dart.fss.or.kr/dsaf001/main.do?rcpNo=20260807800224", "공시열람")</f>
        <v/>
      </c>
    </row>
    <row r="149">
      <c r="A149" t="inlineStr">
        <is>
          <t>2026-08-07</t>
        </is>
      </c>
      <c r="B149" t="inlineStr">
        <is>
          <t>티씨케이</t>
        </is>
      </c>
      <c r="C149" t="inlineStr">
        <is>
          <t>064760</t>
        </is>
      </c>
      <c r="D149" t="inlineStr">
        <is>
          <t>별도</t>
        </is>
      </c>
      <c r="E149" t="inlineStr">
        <is>
          <t>2026Q2</t>
        </is>
      </c>
      <c r="F149" s="2" t="n">
        <v>94873</v>
      </c>
      <c r="G149" t="n">
        <v>-0.54</v>
      </c>
      <c r="H149" t="n">
        <v>30.55</v>
      </c>
      <c r="I149" s="2" t="n">
        <v>26850</v>
      </c>
      <c r="J149" t="n">
        <v>-5.97</v>
      </c>
      <c r="K149" t="n">
        <v>37.68</v>
      </c>
      <c r="L149" s="2" t="n">
        <v>23651</v>
      </c>
      <c r="M149" t="n">
        <v>47.94</v>
      </c>
      <c r="N149" t="inlineStr">
        <is>
          <t>20260807900311</t>
        </is>
      </c>
      <c r="O149">
        <f>HYPERLINK("https://dart.fss.or.kr/dsaf001/main.do?rcpNo=20260807900311", "공시열람")</f>
        <v/>
      </c>
    </row>
    <row r="150">
      <c r="A150" t="inlineStr">
        <is>
          <t>2026-08-07</t>
        </is>
      </c>
      <c r="B150" t="inlineStr">
        <is>
          <t>금호석유화학</t>
        </is>
      </c>
      <c r="C150" t="inlineStr">
        <is>
          <t>011780</t>
        </is>
      </c>
      <c r="D150" t="inlineStr">
        <is>
          <t>연결</t>
        </is>
      </c>
      <c r="E150" t="inlineStr">
        <is>
          <t>2026Q2</t>
        </is>
      </c>
      <c r="F150" s="2" t="n">
        <v>2268152</v>
      </c>
      <c r="G150" t="n">
        <v>27.43</v>
      </c>
      <c r="H150" t="n">
        <v>27.9</v>
      </c>
      <c r="I150" s="2" t="n">
        <v>338998</v>
      </c>
      <c r="J150" t="n">
        <v>470.67</v>
      </c>
      <c r="K150" t="n">
        <v>419.7</v>
      </c>
      <c r="L150" s="2" t="n">
        <v>300417</v>
      </c>
      <c r="M150" t="n">
        <v>420.36</v>
      </c>
      <c r="N150" t="inlineStr">
        <is>
          <t>20260807800286</t>
        </is>
      </c>
      <c r="O150">
        <f>HYPERLINK("https://dart.fss.or.kr/dsaf001/main.do?rcpNo=20260807800286", "공시열람")</f>
        <v/>
      </c>
    </row>
    <row r="151">
      <c r="A151" t="inlineStr">
        <is>
          <t>2026-08-07</t>
        </is>
      </c>
      <c r="B151" t="inlineStr">
        <is>
          <t>메쎄이상</t>
        </is>
      </c>
      <c r="C151" t="inlineStr">
        <is>
          <t>408920</t>
        </is>
      </c>
      <c r="D151" t="inlineStr">
        <is>
          <t>연결</t>
        </is>
      </c>
      <c r="E151" t="inlineStr">
        <is>
          <t>2026Q2</t>
        </is>
      </c>
      <c r="F151" s="2" t="n">
        <v>19383</v>
      </c>
      <c r="G151" t="n">
        <v>17</v>
      </c>
      <c r="H151" t="n">
        <v>11.16</v>
      </c>
      <c r="I151" s="2" t="n">
        <v>6643</v>
      </c>
      <c r="J151" t="n">
        <v>33.97</v>
      </c>
      <c r="K151" t="n">
        <v>2.7</v>
      </c>
      <c r="L151" s="2" t="n">
        <v>5425</v>
      </c>
      <c r="M151" t="n">
        <v>3.07</v>
      </c>
      <c r="N151" t="inlineStr">
        <is>
          <t>20260807900283</t>
        </is>
      </c>
      <c r="O151">
        <f>HYPERLINK("https://dart.fss.or.kr/dsaf001/main.do?rcpNo=20260807900283", "공시열람")</f>
        <v/>
      </c>
    </row>
    <row r="152">
      <c r="A152" t="inlineStr">
        <is>
          <t>2026-08-07</t>
        </is>
      </c>
      <c r="B152" t="inlineStr">
        <is>
          <t>오리온</t>
        </is>
      </c>
      <c r="C152" t="inlineStr">
        <is>
          <t>271560</t>
        </is>
      </c>
      <c r="D152" t="inlineStr">
        <is>
          <t>연결</t>
        </is>
      </c>
      <c r="E152" t="inlineStr">
        <is>
          <t>2026Q2</t>
        </is>
      </c>
      <c r="F152" s="2" t="inlineStr"/>
      <c r="G152" t="inlineStr"/>
      <c r="H152" t="inlineStr"/>
      <c r="I152" s="2" t="inlineStr"/>
      <c r="J152" t="inlineStr"/>
      <c r="K152" t="inlineStr"/>
      <c r="L152" s="2" t="inlineStr"/>
      <c r="M152" t="inlineStr"/>
      <c r="N152" t="inlineStr">
        <is>
          <t>20260807800421</t>
        </is>
      </c>
      <c r="O152">
        <f>HYPERLINK("https://dart.fss.or.kr/dsaf001/main.do?rcpNo=20260807800421", "공시열람")</f>
        <v/>
      </c>
    </row>
    <row r="153">
      <c r="A153" t="inlineStr">
        <is>
          <t>2026-08-07</t>
        </is>
      </c>
      <c r="B153" t="inlineStr">
        <is>
          <t>신성이엔지</t>
        </is>
      </c>
      <c r="C153" t="inlineStr">
        <is>
          <t>011930</t>
        </is>
      </c>
      <c r="D153" t="inlineStr">
        <is>
          <t>연결</t>
        </is>
      </c>
      <c r="E153" t="inlineStr">
        <is>
          <t>2026Q2</t>
        </is>
      </c>
      <c r="F153" s="2" t="n">
        <v>201806</v>
      </c>
      <c r="G153" t="n">
        <v>31.3</v>
      </c>
      <c r="H153" t="n">
        <v>44.2</v>
      </c>
      <c r="I153" s="2" t="n">
        <v>3064</v>
      </c>
      <c r="J153" t="inlineStr"/>
      <c r="K153" t="n">
        <v>-8.800000000000001</v>
      </c>
      <c r="L153" s="2" t="n">
        <v>-2179</v>
      </c>
      <c r="M153" t="inlineStr"/>
      <c r="N153" t="inlineStr">
        <is>
          <t>20260807800220</t>
        </is>
      </c>
      <c r="O153">
        <f>HYPERLINK("https://dart.fss.or.kr/dsaf001/main.do?rcpNo=20260807800220", "공시열람")</f>
        <v/>
      </c>
    </row>
    <row r="154">
      <c r="A154" t="inlineStr">
        <is>
          <t>2026-08-07</t>
        </is>
      </c>
      <c r="B154" t="inlineStr">
        <is>
          <t>티비에이치글로벌</t>
        </is>
      </c>
      <c r="C154" t="inlineStr">
        <is>
          <t>084870</t>
        </is>
      </c>
      <c r="D154" t="inlineStr">
        <is>
          <t>연결</t>
        </is>
      </c>
      <c r="E154" t="inlineStr">
        <is>
          <t>2026Q2</t>
        </is>
      </c>
      <c r="F154" s="2" t="n">
        <v>53312</v>
      </c>
      <c r="G154" t="n">
        <v>12.7</v>
      </c>
      <c r="H154" t="n">
        <v>11.4</v>
      </c>
      <c r="I154" s="2" t="n">
        <v>3588</v>
      </c>
      <c r="J154" t="inlineStr"/>
      <c r="K154" t="n">
        <v>-4.4</v>
      </c>
      <c r="L154" s="2" t="n">
        <v>2748</v>
      </c>
      <c r="M154" t="n">
        <v>-30</v>
      </c>
      <c r="N154" t="inlineStr">
        <is>
          <t>20260807800209</t>
        </is>
      </c>
      <c r="O154">
        <f>HYPERLINK("https://dart.fss.or.kr/dsaf001/main.do?rcpNo=20260807800209", "공시열람")</f>
        <v/>
      </c>
    </row>
    <row r="155">
      <c r="A155" t="inlineStr">
        <is>
          <t>2026-08-07</t>
        </is>
      </c>
      <c r="B155" t="inlineStr">
        <is>
          <t>헥토이노베이션</t>
        </is>
      </c>
      <c r="C155" t="inlineStr">
        <is>
          <t>214180</t>
        </is>
      </c>
      <c r="D155" t="inlineStr">
        <is>
          <t>연결</t>
        </is>
      </c>
      <c r="E155" t="inlineStr">
        <is>
          <t>2026Q2</t>
        </is>
      </c>
      <c r="F155" s="2" t="n">
        <v>102829</v>
      </c>
      <c r="G155" t="n">
        <v>-8.4</v>
      </c>
      <c r="H155" t="n">
        <v>12</v>
      </c>
      <c r="I155" s="2" t="n">
        <v>12880</v>
      </c>
      <c r="J155" t="n">
        <v>-11.5</v>
      </c>
      <c r="K155" t="n">
        <v>-4</v>
      </c>
      <c r="L155" s="2" t="n">
        <v>8921</v>
      </c>
      <c r="M155" t="n">
        <v>-33</v>
      </c>
      <c r="N155" t="inlineStr">
        <is>
          <t>20260807900201</t>
        </is>
      </c>
      <c r="O155">
        <f>HYPERLINK("https://dart.fss.or.kr/dsaf001/main.do?rcpNo=20260807900201", "공시열람")</f>
        <v/>
      </c>
    </row>
    <row r="156">
      <c r="A156" t="inlineStr">
        <is>
          <t>2026-08-07</t>
        </is>
      </c>
      <c r="B156" t="inlineStr">
        <is>
          <t>산일전기</t>
        </is>
      </c>
      <c r="C156" t="inlineStr">
        <is>
          <t>062040</t>
        </is>
      </c>
      <c r="D156" t="inlineStr">
        <is>
          <t>연결</t>
        </is>
      </c>
      <c r="E156" t="inlineStr">
        <is>
          <t>2026Q2</t>
        </is>
      </c>
      <c r="F156" s="2" t="n">
        <v>164179</v>
      </c>
      <c r="G156" t="n">
        <v>9.199999999999999</v>
      </c>
      <c r="H156" t="n">
        <v>28</v>
      </c>
      <c r="I156" s="2" t="n">
        <v>62035</v>
      </c>
      <c r="J156" t="n">
        <v>11.8</v>
      </c>
      <c r="K156" t="n">
        <v>34.3</v>
      </c>
      <c r="L156" s="2" t="n">
        <v>54584</v>
      </c>
      <c r="M156" t="n">
        <v>44.2</v>
      </c>
      <c r="N156" t="inlineStr">
        <is>
          <t>20260807800200</t>
        </is>
      </c>
      <c r="O156">
        <f>HYPERLINK("https://dart.fss.or.kr/dsaf001/main.do?rcpNo=20260807800200", "공시열람")</f>
        <v/>
      </c>
    </row>
    <row r="157">
      <c r="A157" t="inlineStr">
        <is>
          <t>2026-08-07</t>
        </is>
      </c>
      <c r="B157" t="inlineStr">
        <is>
          <t>산일전기</t>
        </is>
      </c>
      <c r="C157" t="inlineStr">
        <is>
          <t>062040</t>
        </is>
      </c>
      <c r="D157" t="inlineStr">
        <is>
          <t>별도</t>
        </is>
      </c>
      <c r="E157" t="inlineStr">
        <is>
          <t>2026Q2</t>
        </is>
      </c>
      <c r="F157" s="2" t="n">
        <v>164179</v>
      </c>
      <c r="G157" t="n">
        <v>9.199999999999999</v>
      </c>
      <c r="H157" t="n">
        <v>28</v>
      </c>
      <c r="I157" s="2" t="n">
        <v>62215</v>
      </c>
      <c r="J157" t="n">
        <v>11.7</v>
      </c>
      <c r="K157" t="n">
        <v>34.3</v>
      </c>
      <c r="L157" s="2" t="n">
        <v>54329</v>
      </c>
      <c r="M157" t="n">
        <v>43.1</v>
      </c>
      <c r="N157" t="inlineStr">
        <is>
          <t>20260807800198</t>
        </is>
      </c>
      <c r="O157">
        <f>HYPERLINK("https://dart.fss.or.kr/dsaf001/main.do?rcpNo=20260807800198", "공시열람")</f>
        <v/>
      </c>
    </row>
    <row r="158">
      <c r="A158" t="inlineStr">
        <is>
          <t>2026-08-07</t>
        </is>
      </c>
      <c r="B158" t="inlineStr">
        <is>
          <t>원익머트리얼즈</t>
        </is>
      </c>
      <c r="C158" t="inlineStr">
        <is>
          <t>104830</t>
        </is>
      </c>
      <c r="D158" t="inlineStr">
        <is>
          <t>연결</t>
        </is>
      </c>
      <c r="E158" t="inlineStr">
        <is>
          <t>2026Q2</t>
        </is>
      </c>
      <c r="F158" s="2" t="n">
        <v>92297</v>
      </c>
      <c r="G158" t="n">
        <v>4.67</v>
      </c>
      <c r="H158" t="n">
        <v>23.07</v>
      </c>
      <c r="I158" s="2" t="n">
        <v>14583</v>
      </c>
      <c r="J158" t="n">
        <v>-7.12</v>
      </c>
      <c r="K158" t="n">
        <v>28.93</v>
      </c>
      <c r="L158" s="2" t="n">
        <v>13190</v>
      </c>
      <c r="M158" t="n">
        <v>32.66</v>
      </c>
      <c r="N158" t="inlineStr">
        <is>
          <t>20260807900391</t>
        </is>
      </c>
      <c r="O158">
        <f>HYPERLINK("https://dart.fss.or.kr/dsaf001/main.do?rcpNo=20260807900391", "공시열람")</f>
        <v/>
      </c>
    </row>
    <row r="159">
      <c r="A159" t="inlineStr">
        <is>
          <t>2026-08-07</t>
        </is>
      </c>
      <c r="B159" t="inlineStr">
        <is>
          <t>코스맥스엔비티</t>
        </is>
      </c>
      <c r="C159" t="inlineStr">
        <is>
          <t>222040</t>
        </is>
      </c>
      <c r="D159" t="inlineStr">
        <is>
          <t>연결</t>
        </is>
      </c>
      <c r="E159" t="inlineStr">
        <is>
          <t>2026Q2</t>
        </is>
      </c>
      <c r="F159" s="2" t="n">
        <v>102264</v>
      </c>
      <c r="G159" t="n">
        <v>9.699999999999999</v>
      </c>
      <c r="H159" t="n">
        <v>35.2</v>
      </c>
      <c r="I159" s="2" t="n">
        <v>8473</v>
      </c>
      <c r="J159" t="n">
        <v>-17.5</v>
      </c>
      <c r="K159" t="n">
        <v>236.2</v>
      </c>
      <c r="L159" s="2" t="n">
        <v>30311</v>
      </c>
      <c r="M159" t="inlineStr"/>
      <c r="N159" t="inlineStr">
        <is>
          <t>20260807900496</t>
        </is>
      </c>
      <c r="O159">
        <f>HYPERLINK("https://dart.fss.or.kr/dsaf001/main.do?rcpNo=20260807900496", "공시열람")</f>
        <v/>
      </c>
    </row>
    <row r="160">
      <c r="A160" t="inlineStr">
        <is>
          <t>2026-08-07</t>
        </is>
      </c>
      <c r="B160" t="inlineStr">
        <is>
          <t>AP시스템</t>
        </is>
      </c>
      <c r="C160" t="inlineStr">
        <is>
          <t>265520</t>
        </is>
      </c>
      <c r="D160" t="inlineStr">
        <is>
          <t>연결</t>
        </is>
      </c>
      <c r="E160" t="inlineStr">
        <is>
          <t>2026Q2</t>
        </is>
      </c>
      <c r="F160" s="2" t="n">
        <v>162844</v>
      </c>
      <c r="G160" t="n">
        <v>-17</v>
      </c>
      <c r="H160" t="n">
        <v>47.7</v>
      </c>
      <c r="I160" s="2" t="n">
        <v>9595</v>
      </c>
      <c r="J160" t="n">
        <v>-46.7</v>
      </c>
      <c r="K160" t="n">
        <v>254.1</v>
      </c>
      <c r="L160" s="2" t="n">
        <v>9495</v>
      </c>
      <c r="M160" t="inlineStr"/>
      <c r="N160" t="inlineStr">
        <is>
          <t>20260807900442</t>
        </is>
      </c>
      <c r="O160">
        <f>HYPERLINK("https://dart.fss.or.kr/dsaf001/main.do?rcpNo=20260807900442", "공시열람")</f>
        <v/>
      </c>
    </row>
    <row r="161">
      <c r="A161" t="inlineStr">
        <is>
          <t>2026-08-07</t>
        </is>
      </c>
      <c r="B161" t="inlineStr">
        <is>
          <t>코오롱인더</t>
        </is>
      </c>
      <c r="C161" t="inlineStr">
        <is>
          <t>120110</t>
        </is>
      </c>
      <c r="D161" t="inlineStr">
        <is>
          <t>연결</t>
        </is>
      </c>
      <c r="E161" t="inlineStr">
        <is>
          <t>2026Q2</t>
        </is>
      </c>
      <c r="F161" s="2" t="n">
        <v>1356513</v>
      </c>
      <c r="G161" t="n">
        <v>9.619999999999999</v>
      </c>
      <c r="H161" t="n">
        <v>7.79</v>
      </c>
      <c r="I161" s="2" t="n">
        <v>98748</v>
      </c>
      <c r="J161" t="n">
        <v>59.49</v>
      </c>
      <c r="K161" t="n">
        <v>117.96</v>
      </c>
      <c r="L161" s="2" t="n">
        <v>65998</v>
      </c>
      <c r="M161" t="n">
        <v>126.85</v>
      </c>
      <c r="N161" t="inlineStr">
        <is>
          <t>20260807800484</t>
        </is>
      </c>
      <c r="O161">
        <f>HYPERLINK("https://dart.fss.or.kr/dsaf001/main.do?rcpNo=20260807800484", "공시열람")</f>
        <v/>
      </c>
    </row>
    <row r="162">
      <c r="A162" t="inlineStr">
        <is>
          <t>2026-08-07</t>
        </is>
      </c>
      <c r="B162" t="inlineStr">
        <is>
          <t>파라다이스</t>
        </is>
      </c>
      <c r="C162" t="inlineStr">
        <is>
          <t>034230</t>
        </is>
      </c>
      <c r="D162" t="inlineStr">
        <is>
          <t>연결</t>
        </is>
      </c>
      <c r="E162" t="inlineStr">
        <is>
          <t>2026Q2</t>
        </is>
      </c>
      <c r="F162" s="2" t="n">
        <v>318089</v>
      </c>
      <c r="G162" t="n">
        <v>8.199999999999999</v>
      </c>
      <c r="H162" t="n">
        <v>11.8</v>
      </c>
      <c r="I162" s="2" t="n">
        <v>35550</v>
      </c>
      <c r="J162" t="n">
        <v>-4.7</v>
      </c>
      <c r="K162" t="n">
        <v>-17</v>
      </c>
      <c r="L162" s="2" t="n">
        <v>21023</v>
      </c>
      <c r="M162" t="n">
        <v>-35</v>
      </c>
      <c r="N162" t="inlineStr">
        <is>
          <t>20260807800745</t>
        </is>
      </c>
      <c r="O162">
        <f>HYPERLINK("https://dart.fss.or.kr/dsaf001/main.do?rcpNo=20260807800745", "공시열람")</f>
        <v/>
      </c>
    </row>
    <row r="163">
      <c r="A163" t="inlineStr">
        <is>
          <t>2026-08-07</t>
        </is>
      </c>
      <c r="B163" t="inlineStr">
        <is>
          <t>아바코</t>
        </is>
      </c>
      <c r="C163" t="inlineStr">
        <is>
          <t>083930</t>
        </is>
      </c>
      <c r="D163" t="inlineStr">
        <is>
          <t>별도</t>
        </is>
      </c>
      <c r="E163" t="inlineStr">
        <is>
          <t>2026Q2</t>
        </is>
      </c>
      <c r="F163" s="2" t="n">
        <v>11968</v>
      </c>
      <c r="G163" t="n">
        <v>-6.5</v>
      </c>
      <c r="H163" t="n">
        <v>-92.5</v>
      </c>
      <c r="I163" s="2" t="n">
        <v>-12684</v>
      </c>
      <c r="J163" t="n">
        <v>266.9</v>
      </c>
      <c r="K163" t="inlineStr"/>
      <c r="L163" s="2" t="n">
        <v>-8991</v>
      </c>
      <c r="M163" t="inlineStr"/>
      <c r="N163" t="inlineStr">
        <is>
          <t>20260807900653</t>
        </is>
      </c>
      <c r="O163">
        <f>HYPERLINK("https://dart.fss.or.kr/dsaf001/main.do?rcpNo=20260807900653", "공시열람")</f>
        <v/>
      </c>
    </row>
    <row r="164">
      <c r="A164" t="inlineStr">
        <is>
          <t>2026-08-07</t>
        </is>
      </c>
      <c r="B164" t="inlineStr">
        <is>
          <t>배럴</t>
        </is>
      </c>
      <c r="C164" t="inlineStr">
        <is>
          <t>267790</t>
        </is>
      </c>
      <c r="D164" t="inlineStr">
        <is>
          <t>연결</t>
        </is>
      </c>
      <c r="E164" t="inlineStr">
        <is>
          <t>2026Q2</t>
        </is>
      </c>
      <c r="F164" s="2" t="n">
        <v>15120</v>
      </c>
      <c r="G164" t="n">
        <v>49.9</v>
      </c>
      <c r="H164" t="n">
        <v>-2.6</v>
      </c>
      <c r="I164" s="2" t="n">
        <v>1495</v>
      </c>
      <c r="J164" t="n">
        <v>252.6</v>
      </c>
      <c r="K164" t="n">
        <v>6.8</v>
      </c>
      <c r="L164" s="2" t="n">
        <v>4381</v>
      </c>
      <c r="M164" t="n">
        <v>387.3</v>
      </c>
      <c r="N164" t="inlineStr">
        <is>
          <t>20260807900646</t>
        </is>
      </c>
      <c r="O164">
        <f>HYPERLINK("https://dart.fss.or.kr/dsaf001/main.do?rcpNo=20260807900646", "공시열람")</f>
        <v/>
      </c>
    </row>
    <row r="165">
      <c r="A165" t="inlineStr">
        <is>
          <t>2026-08-07</t>
        </is>
      </c>
      <c r="B165" t="inlineStr">
        <is>
          <t>하림</t>
        </is>
      </c>
      <c r="C165" t="inlineStr">
        <is>
          <t>136480</t>
        </is>
      </c>
      <c r="D165" t="inlineStr">
        <is>
          <t>연결</t>
        </is>
      </c>
      <c r="E165" t="inlineStr">
        <is>
          <t>2026Q2</t>
        </is>
      </c>
      <c r="F165" s="2" t="n">
        <v>425793</v>
      </c>
      <c r="G165" t="n">
        <v>29.8</v>
      </c>
      <c r="H165" t="n">
        <v>9.9</v>
      </c>
      <c r="I165" s="2" t="n">
        <v>17305</v>
      </c>
      <c r="J165" t="n">
        <v>48.4</v>
      </c>
      <c r="K165" t="n">
        <v>-12.5</v>
      </c>
      <c r="L165" s="2" t="n">
        <v>8921</v>
      </c>
      <c r="M165" t="n">
        <v>-70.2</v>
      </c>
      <c r="N165" t="inlineStr">
        <is>
          <t>20260807900588</t>
        </is>
      </c>
      <c r="O165">
        <f>HYPERLINK("https://dart.fss.or.kr/dsaf001/main.do?rcpNo=20260807900588", "공시열람")</f>
        <v/>
      </c>
    </row>
    <row r="166">
      <c r="A166" t="inlineStr">
        <is>
          <t>2026-08-07</t>
        </is>
      </c>
      <c r="B166" t="inlineStr">
        <is>
          <t>진에어</t>
        </is>
      </c>
      <c r="C166" t="inlineStr">
        <is>
          <t>272450</t>
        </is>
      </c>
      <c r="D166" t="inlineStr">
        <is>
          <t>별도</t>
        </is>
      </c>
      <c r="E166" t="inlineStr">
        <is>
          <t>2026Q2</t>
        </is>
      </c>
      <c r="F166" s="2" t="n">
        <v>360298</v>
      </c>
      <c r="G166" t="n">
        <v>-14.8</v>
      </c>
      <c r="H166" t="n">
        <v>17.7</v>
      </c>
      <c r="I166" s="2" t="n">
        <v>-73103</v>
      </c>
      <c r="J166" t="inlineStr"/>
      <c r="K166" t="n">
        <v>-72.90000000000001</v>
      </c>
      <c r="L166" s="2" t="n">
        <v>-67544</v>
      </c>
      <c r="M166" t="n">
        <v>-329.7</v>
      </c>
      <c r="N166" t="inlineStr">
        <is>
          <t>20260807800627</t>
        </is>
      </c>
      <c r="O166">
        <f>HYPERLINK("https://dart.fss.or.kr/dsaf001/main.do?rcpNo=20260807800627", "공시열람")</f>
        <v/>
      </c>
    </row>
    <row r="167">
      <c r="A167" t="inlineStr">
        <is>
          <t>2026-08-07</t>
        </is>
      </c>
      <c r="B167" t="inlineStr">
        <is>
          <t>메가스터디교육</t>
        </is>
      </c>
      <c r="C167" t="inlineStr">
        <is>
          <t>215200</t>
        </is>
      </c>
      <c r="D167" t="inlineStr">
        <is>
          <t>연결</t>
        </is>
      </c>
      <c r="E167" t="inlineStr">
        <is>
          <t>2026Q2</t>
        </is>
      </c>
      <c r="F167" s="2" t="n">
        <v>204743</v>
      </c>
      <c r="G167" t="n">
        <v>-13.44</v>
      </c>
      <c r="H167" t="n">
        <v>1.87</v>
      </c>
      <c r="I167" s="2" t="n">
        <v>28412</v>
      </c>
      <c r="J167" t="n">
        <v>9.35</v>
      </c>
      <c r="K167" t="n">
        <v>-13</v>
      </c>
      <c r="L167" s="2" t="n">
        <v>21416</v>
      </c>
      <c r="M167" t="n">
        <v>-16.77</v>
      </c>
      <c r="N167" t="inlineStr">
        <is>
          <t>20260807900626</t>
        </is>
      </c>
      <c r="O167">
        <f>HYPERLINK("https://dart.fss.or.kr/dsaf001/main.do?rcpNo=20260807900626", "공시열람")</f>
        <v/>
      </c>
    </row>
    <row r="168">
      <c r="A168" t="inlineStr">
        <is>
          <t>2026-08-07</t>
        </is>
      </c>
      <c r="B168" t="inlineStr">
        <is>
          <t>네오팜</t>
        </is>
      </c>
      <c r="C168" t="inlineStr">
        <is>
          <t>092730</t>
        </is>
      </c>
      <c r="D168" t="inlineStr">
        <is>
          <t>별도</t>
        </is>
      </c>
      <c r="E168" t="inlineStr">
        <is>
          <t>2026Q1</t>
        </is>
      </c>
      <c r="F168" s="2" t="n">
        <v>43571</v>
      </c>
      <c r="G168" t="n">
        <v>20.3</v>
      </c>
      <c r="H168" t="n">
        <v>36.2</v>
      </c>
      <c r="I168" s="2" t="n">
        <v>9789</v>
      </c>
      <c r="J168" t="n">
        <v>12.5</v>
      </c>
      <c r="K168" t="n">
        <v>39.6</v>
      </c>
      <c r="L168" s="2" t="n">
        <v>8405</v>
      </c>
      <c r="M168" t="n">
        <v>18.9</v>
      </c>
      <c r="N168" t="inlineStr">
        <is>
          <t>20260807900581</t>
        </is>
      </c>
      <c r="O168">
        <f>HYPERLINK("https://dart.fss.or.kr/dsaf001/main.do?rcpNo=20260807900581", "공시열람")</f>
        <v/>
      </c>
    </row>
    <row r="169">
      <c r="A169" t="inlineStr">
        <is>
          <t>2026-08-07</t>
        </is>
      </c>
      <c r="B169" t="inlineStr">
        <is>
          <t>헥토이노베이션</t>
        </is>
      </c>
      <c r="C169" t="inlineStr">
        <is>
          <t>214180</t>
        </is>
      </c>
      <c r="D169" t="inlineStr">
        <is>
          <t>연결</t>
        </is>
      </c>
      <c r="E169" t="inlineStr">
        <is>
          <t>2026Q2</t>
        </is>
      </c>
      <c r="F169" s="2" t="n">
        <v>102829</v>
      </c>
      <c r="G169" t="n">
        <v>-8.4</v>
      </c>
      <c r="H169" t="n">
        <v>12</v>
      </c>
      <c r="I169" s="2" t="n">
        <v>12880</v>
      </c>
      <c r="J169" t="n">
        <v>-11.5</v>
      </c>
      <c r="K169" t="n">
        <v>-4</v>
      </c>
      <c r="L169" s="2" t="n">
        <v>8921</v>
      </c>
      <c r="M169" t="n">
        <v>-33</v>
      </c>
      <c r="N169" t="inlineStr">
        <is>
          <t>20260807900187</t>
        </is>
      </c>
      <c r="O169">
        <f>HYPERLINK("https://dart.fss.or.kr/dsaf001/main.do?rcpNo=20260807900187", "공시열람")</f>
        <v/>
      </c>
    </row>
    <row r="170">
      <c r="A170" t="inlineStr">
        <is>
          <t>2026-08-07</t>
        </is>
      </c>
      <c r="B170" t="inlineStr">
        <is>
          <t>심텍홀딩스</t>
        </is>
      </c>
      <c r="C170" t="inlineStr">
        <is>
          <t>036710</t>
        </is>
      </c>
      <c r="D170" t="inlineStr">
        <is>
          <t>연결</t>
        </is>
      </c>
      <c r="E170" t="inlineStr">
        <is>
          <t>2026Q2</t>
        </is>
      </c>
      <c r="F170" s="2" t="n">
        <v>558207</v>
      </c>
      <c r="G170" t="n">
        <v>26</v>
      </c>
      <c r="H170" t="n">
        <v>51.6</v>
      </c>
      <c r="I170" s="2" t="n">
        <v>57559</v>
      </c>
      <c r="J170" t="n">
        <v>5866.7</v>
      </c>
      <c r="K170" t="inlineStr"/>
      <c r="L170" s="2" t="n">
        <v>30128</v>
      </c>
      <c r="M170" t="inlineStr"/>
      <c r="N170" t="inlineStr">
        <is>
          <t>20260807900555</t>
        </is>
      </c>
      <c r="O170">
        <f>HYPERLINK("https://dart.fss.or.kr/dsaf001/main.do?rcpNo=20260807900555", "공시열람")</f>
        <v/>
      </c>
    </row>
    <row r="171">
      <c r="A171" t="inlineStr">
        <is>
          <t>2026-08-07</t>
        </is>
      </c>
      <c r="B171" t="inlineStr">
        <is>
          <t>신세계I&amp;C</t>
        </is>
      </c>
      <c r="C171" t="inlineStr">
        <is>
          <t>035510</t>
        </is>
      </c>
      <c r="D171" t="inlineStr">
        <is>
          <t>연결</t>
        </is>
      </c>
      <c r="E171" t="inlineStr">
        <is>
          <t>2026Q2</t>
        </is>
      </c>
      <c r="F171" s="2" t="n">
        <v>174955</v>
      </c>
      <c r="G171" t="n">
        <v>-2.05</v>
      </c>
      <c r="H171" t="n">
        <v>-3.57</v>
      </c>
      <c r="I171" s="2" t="n">
        <v>15237</v>
      </c>
      <c r="J171" t="n">
        <v>22.43</v>
      </c>
      <c r="K171" t="n">
        <v>13.25</v>
      </c>
      <c r="L171" s="2" t="n">
        <v>12842</v>
      </c>
      <c r="M171" t="n">
        <v>9.32</v>
      </c>
      <c r="N171" t="inlineStr">
        <is>
          <t>20260807800574</t>
        </is>
      </c>
      <c r="O171">
        <f>HYPERLINK("https://dart.fss.or.kr/dsaf001/main.do?rcpNo=20260807800574", "공시열람")</f>
        <v/>
      </c>
    </row>
    <row r="172">
      <c r="A172" t="inlineStr">
        <is>
          <t>2026-08-07</t>
        </is>
      </c>
      <c r="B172" t="inlineStr">
        <is>
          <t>엠씨넥스</t>
        </is>
      </c>
      <c r="C172" t="inlineStr">
        <is>
          <t>097520</t>
        </is>
      </c>
      <c r="D172" t="inlineStr">
        <is>
          <t>연결</t>
        </is>
      </c>
      <c r="E172" t="inlineStr">
        <is>
          <t>2026Q2</t>
        </is>
      </c>
      <c r="F172" s="2" t="n">
        <v>294668</v>
      </c>
      <c r="G172" t="n">
        <v>-2.91</v>
      </c>
      <c r="H172" t="n">
        <v>-9.73</v>
      </c>
      <c r="I172" s="2" t="n">
        <v>2188</v>
      </c>
      <c r="J172" t="n">
        <v>-80.83</v>
      </c>
      <c r="K172" t="n">
        <v>-86.47</v>
      </c>
      <c r="L172" s="2" t="n">
        <v>793</v>
      </c>
      <c r="M172" t="n">
        <v>-93.92</v>
      </c>
      <c r="N172" t="inlineStr">
        <is>
          <t>20260807800554</t>
        </is>
      </c>
      <c r="O172">
        <f>HYPERLINK("https://dart.fss.or.kr/dsaf001/main.do?rcpNo=20260807800554", "공시열람")</f>
        <v/>
      </c>
    </row>
    <row r="173">
      <c r="A173" t="inlineStr">
        <is>
          <t>2026-08-07</t>
        </is>
      </c>
      <c r="B173" t="inlineStr">
        <is>
          <t>코웨이</t>
        </is>
      </c>
      <c r="C173" t="inlineStr">
        <is>
          <t>021240</t>
        </is>
      </c>
      <c r="D173" t="inlineStr">
        <is>
          <t>연결</t>
        </is>
      </c>
      <c r="E173" t="inlineStr">
        <is>
          <t>2026Q2</t>
        </is>
      </c>
      <c r="F173" s="2" t="n">
        <v>1442207</v>
      </c>
      <c r="G173" t="n">
        <v>8.5</v>
      </c>
      <c r="H173" t="n">
        <v>14.6</v>
      </c>
      <c r="I173" s="2" t="n">
        <v>253206</v>
      </c>
      <c r="J173" t="n">
        <v>0.9</v>
      </c>
      <c r="K173" t="n">
        <v>4.3</v>
      </c>
      <c r="L173" s="2" t="n">
        <v>178271</v>
      </c>
      <c r="M173" t="n">
        <v>14.6</v>
      </c>
      <c r="N173" t="inlineStr">
        <is>
          <t>20260807800529</t>
        </is>
      </c>
      <c r="O173">
        <f>HYPERLINK("https://dart.fss.or.kr/dsaf001/main.do?rcpNo=20260807800529", "공시열람")</f>
        <v/>
      </c>
    </row>
    <row r="174">
      <c r="A174" t="inlineStr">
        <is>
          <t>2026-08-07</t>
        </is>
      </c>
      <c r="B174" t="inlineStr">
        <is>
          <t>CJ CGV</t>
        </is>
      </c>
      <c r="C174" t="inlineStr">
        <is>
          <t>079160</t>
        </is>
      </c>
      <c r="D174" t="inlineStr">
        <is>
          <t>연결</t>
        </is>
      </c>
      <c r="E174" t="inlineStr">
        <is>
          <t>2026Q2</t>
        </is>
      </c>
      <c r="F174" s="2" t="n">
        <v>593958</v>
      </c>
      <c r="G174" t="n">
        <v>3.6</v>
      </c>
      <c r="H174" t="n">
        <v>20.8</v>
      </c>
      <c r="I174" s="2" t="n">
        <v>11470</v>
      </c>
      <c r="J174" t="n">
        <v>31.6</v>
      </c>
      <c r="K174" t="n">
        <v>568</v>
      </c>
      <c r="L174" s="2" t="n">
        <v>22609</v>
      </c>
      <c r="M174" t="inlineStr"/>
      <c r="N174" t="inlineStr">
        <is>
          <t>20260807800534</t>
        </is>
      </c>
      <c r="O174">
        <f>HYPERLINK("https://dart.fss.or.kr/dsaf001/main.do?rcpNo=20260807800534", "공시열람")</f>
        <v/>
      </c>
    </row>
    <row r="175">
      <c r="A175" t="inlineStr">
        <is>
          <t>2026-08-07</t>
        </is>
      </c>
      <c r="B175" t="inlineStr">
        <is>
          <t>한전기술</t>
        </is>
      </c>
      <c r="C175" t="inlineStr">
        <is>
          <t>052690</t>
        </is>
      </c>
      <c r="D175" t="inlineStr">
        <is>
          <t>연결</t>
        </is>
      </c>
      <c r="E175" t="inlineStr">
        <is>
          <t>2026Q1</t>
        </is>
      </c>
      <c r="F175" s="2" t="n">
        <v>103284</v>
      </c>
      <c r="G175" t="n">
        <v>-8.9</v>
      </c>
      <c r="H175" t="n">
        <v>-2.7</v>
      </c>
      <c r="I175" s="2" t="n">
        <v>2993</v>
      </c>
      <c r="J175" t="n">
        <v>-78.7</v>
      </c>
      <c r="K175" t="n">
        <v>685.7</v>
      </c>
      <c r="L175" s="2" t="n">
        <v>2727</v>
      </c>
      <c r="M175" t="n">
        <v>736.5</v>
      </c>
      <c r="N175" t="inlineStr">
        <is>
          <t>20260807800535</t>
        </is>
      </c>
      <c r="O175">
        <f>HYPERLINK("https://dart.fss.or.kr/dsaf001/main.do?rcpNo=20260807800535", "공시열람")</f>
        <v/>
      </c>
    </row>
    <row r="176">
      <c r="A176" t="inlineStr">
        <is>
          <t>2026-08-07</t>
        </is>
      </c>
      <c r="B176" t="inlineStr">
        <is>
          <t>롯데케미칼</t>
        </is>
      </c>
      <c r="C176" t="inlineStr">
        <is>
          <t>011170</t>
        </is>
      </c>
      <c r="D176" t="inlineStr">
        <is>
          <t>연결</t>
        </is>
      </c>
      <c r="E176" t="inlineStr">
        <is>
          <t>2026Q2</t>
        </is>
      </c>
      <c r="F176" s="2" t="n">
        <v>5686370</v>
      </c>
      <c r="G176" t="n">
        <v>13.9</v>
      </c>
      <c r="H176" t="n">
        <v>39.2</v>
      </c>
      <c r="I176" s="2" t="n">
        <v>110139</v>
      </c>
      <c r="J176" t="n">
        <v>49.9</v>
      </c>
      <c r="K176" t="inlineStr"/>
      <c r="L176" s="2" t="n">
        <v>194491</v>
      </c>
      <c r="M176" t="inlineStr"/>
      <c r="N176" t="inlineStr">
        <is>
          <t>20260807800503</t>
        </is>
      </c>
      <c r="O176">
        <f>HYPERLINK("https://dart.fss.or.kr/dsaf001/main.do?rcpNo=20260807800503", "공시열람")</f>
        <v/>
      </c>
    </row>
    <row r="177">
      <c r="A177" t="inlineStr">
        <is>
          <t>2026-08-07</t>
        </is>
      </c>
      <c r="B177" t="inlineStr">
        <is>
          <t>교촌에프앤비</t>
        </is>
      </c>
      <c r="C177" t="inlineStr">
        <is>
          <t>339770</t>
        </is>
      </c>
      <c r="D177" t="inlineStr">
        <is>
          <t>연결</t>
        </is>
      </c>
      <c r="E177" t="inlineStr">
        <is>
          <t>2026Q2</t>
        </is>
      </c>
      <c r="F177" s="2" t="n">
        <v>132273</v>
      </c>
      <c r="G177" t="n">
        <v>7.2</v>
      </c>
      <c r="H177" t="n">
        <v>4.9</v>
      </c>
      <c r="I177" s="2" t="n">
        <v>7848</v>
      </c>
      <c r="J177" t="n">
        <v>48.3</v>
      </c>
      <c r="K177" t="n">
        <v>-15.7</v>
      </c>
      <c r="L177" s="2" t="n">
        <v>5193</v>
      </c>
      <c r="M177" t="n">
        <v>13.3</v>
      </c>
      <c r="N177" t="inlineStr">
        <is>
          <t>20260807800505</t>
        </is>
      </c>
      <c r="O177">
        <f>HYPERLINK("https://dart.fss.or.kr/dsaf001/main.do?rcpNo=20260807800505", "공시열람")</f>
        <v/>
      </c>
    </row>
    <row r="178">
      <c r="A178" t="inlineStr">
        <is>
          <t>2026-08-07</t>
        </is>
      </c>
      <c r="B178" t="inlineStr">
        <is>
          <t>씨젠</t>
        </is>
      </c>
      <c r="C178" t="inlineStr">
        <is>
          <t>096530</t>
        </is>
      </c>
      <c r="D178" t="inlineStr">
        <is>
          <t>연결</t>
        </is>
      </c>
      <c r="E178" t="inlineStr">
        <is>
          <t>2025Q2</t>
        </is>
      </c>
      <c r="F178" s="2" t="n">
        <v>135959</v>
      </c>
      <c r="G178" t="n">
        <v>5.3</v>
      </c>
      <c r="H178" t="n">
        <v>19.2</v>
      </c>
      <c r="I178" s="2" t="n">
        <v>21585</v>
      </c>
      <c r="J178" t="n">
        <v>-8.300000000000001</v>
      </c>
      <c r="K178" t="n">
        <v>586.4</v>
      </c>
      <c r="L178" s="2" t="n">
        <v>25955</v>
      </c>
      <c r="M178" t="inlineStr"/>
      <c r="N178" t="inlineStr">
        <is>
          <t>20260807900495</t>
        </is>
      </c>
      <c r="O178">
        <f>HYPERLINK("https://dart.fss.or.kr/dsaf001/main.do?rcpNo=20260807900495", "공시열람")</f>
        <v/>
      </c>
    </row>
    <row r="179">
      <c r="A179" t="inlineStr">
        <is>
          <t>2026-08-07</t>
        </is>
      </c>
      <c r="B179" t="inlineStr">
        <is>
          <t>파마리서치</t>
        </is>
      </c>
      <c r="C179" t="inlineStr">
        <is>
          <t>214450</t>
        </is>
      </c>
      <c r="D179" t="inlineStr">
        <is>
          <t>연결</t>
        </is>
      </c>
      <c r="E179" t="inlineStr">
        <is>
          <t>2026Q2</t>
        </is>
      </c>
      <c r="F179" s="2" t="n">
        <v>178705</v>
      </c>
      <c r="G179" t="n">
        <v>22.3</v>
      </c>
      <c r="H179" t="n">
        <v>27.1</v>
      </c>
      <c r="I179" s="2" t="n">
        <v>66470</v>
      </c>
      <c r="J179" t="n">
        <v>16</v>
      </c>
      <c r="K179" t="n">
        <v>19</v>
      </c>
      <c r="L179" s="2" t="n">
        <v>56229</v>
      </c>
      <c r="M179" t="n">
        <v>33.7</v>
      </c>
      <c r="N179" t="inlineStr">
        <is>
          <t>20260807900190</t>
        </is>
      </c>
      <c r="O179">
        <f>HYPERLINK("https://dart.fss.or.kr/dsaf001/main.do?rcpNo=20260807900190", "공시열람")</f>
        <v/>
      </c>
    </row>
    <row r="180">
      <c r="A180" t="inlineStr">
        <is>
          <t>2026-08-07</t>
        </is>
      </c>
      <c r="B180" t="inlineStr">
        <is>
          <t>DB</t>
        </is>
      </c>
      <c r="C180" t="inlineStr">
        <is>
          <t>012030</t>
        </is>
      </c>
      <c r="D180" t="inlineStr">
        <is>
          <t>연결</t>
        </is>
      </c>
      <c r="E180" t="inlineStr">
        <is>
          <t>2026Q2</t>
        </is>
      </c>
      <c r="F180" s="2" t="n">
        <v>229964</v>
      </c>
      <c r="G180" t="n">
        <v>37.9</v>
      </c>
      <c r="H180" t="n">
        <v>53.2</v>
      </c>
      <c r="I180" s="2" t="n">
        <v>12909</v>
      </c>
      <c r="J180" t="n">
        <v>-31.1</v>
      </c>
      <c r="K180" t="n">
        <v>45.4</v>
      </c>
      <c r="L180" s="2" t="n">
        <v>25156</v>
      </c>
      <c r="M180" t="n">
        <v>69.09999999999999</v>
      </c>
      <c r="N180" t="inlineStr">
        <is>
          <t>20260807800722</t>
        </is>
      </c>
      <c r="O180">
        <f>HYPERLINK("https://dart.fss.or.kr/dsaf001/main.do?rcpNo=20260807800722", "공시열람")</f>
        <v/>
      </c>
    </row>
    <row r="181">
      <c r="A181" t="inlineStr">
        <is>
          <t>2026-08-07</t>
        </is>
      </c>
      <c r="B181" t="inlineStr">
        <is>
          <t>알테오젠</t>
        </is>
      </c>
      <c r="C181" t="inlineStr">
        <is>
          <t>196170</t>
        </is>
      </c>
      <c r="D181" t="inlineStr">
        <is>
          <t>연결</t>
        </is>
      </c>
      <c r="E181" t="inlineStr">
        <is>
          <t>2026Q2</t>
        </is>
      </c>
      <c r="F181" s="2" t="n">
        <v>68894</v>
      </c>
      <c r="G181" t="n">
        <v>-3.8</v>
      </c>
      <c r="H181" t="n">
        <v>269.5</v>
      </c>
      <c r="I181" s="2" t="n">
        <v>34180</v>
      </c>
      <c r="J181" t="n">
        <v>-13</v>
      </c>
      <c r="K181" t="inlineStr"/>
      <c r="L181" s="2" t="n">
        <v>29989</v>
      </c>
      <c r="M181" t="inlineStr"/>
      <c r="N181" t="inlineStr">
        <is>
          <t>20260807900145</t>
        </is>
      </c>
      <c r="O181">
        <f>HYPERLINK("https://dart.fss.or.kr/dsaf001/main.do?rcpNo=20260807900145", "공시열람")</f>
        <v/>
      </c>
    </row>
    <row r="182">
      <c r="A182" t="inlineStr">
        <is>
          <t>2026-08-07</t>
        </is>
      </c>
      <c r="B182" t="inlineStr">
        <is>
          <t>더즌</t>
        </is>
      </c>
      <c r="C182" t="inlineStr">
        <is>
          <t>462860</t>
        </is>
      </c>
      <c r="D182" t="inlineStr">
        <is>
          <t>별도</t>
        </is>
      </c>
      <c r="E182" t="inlineStr">
        <is>
          <t>2026Q2</t>
        </is>
      </c>
      <c r="F182" s="2" t="n">
        <v>15007</v>
      </c>
      <c r="G182" t="n">
        <v>-4.3</v>
      </c>
      <c r="H182" t="n">
        <v>2.7</v>
      </c>
      <c r="I182" s="2" t="n">
        <v>4181</v>
      </c>
      <c r="J182" t="n">
        <v>-1.4</v>
      </c>
      <c r="K182" t="n">
        <v>27.2</v>
      </c>
      <c r="L182" s="2" t="n">
        <v>3795</v>
      </c>
      <c r="M182" t="n">
        <v>26.9</v>
      </c>
      <c r="N182" t="inlineStr">
        <is>
          <t>20260807900060</t>
        </is>
      </c>
      <c r="O182">
        <f>HYPERLINK("https://dart.fss.or.kr/dsaf001/main.do?rcpNo=20260807900060", "공시열람")</f>
        <v/>
      </c>
    </row>
    <row r="183">
      <c r="A183" t="inlineStr">
        <is>
          <t>2026-08-07</t>
        </is>
      </c>
      <c r="B183" t="inlineStr">
        <is>
          <t>GS리테일</t>
        </is>
      </c>
      <c r="C183" t="inlineStr">
        <is>
          <t>007070</t>
        </is>
      </c>
      <c r="D183" t="inlineStr">
        <is>
          <t>연결</t>
        </is>
      </c>
      <c r="E183" t="inlineStr">
        <is>
          <t>2026Q2</t>
        </is>
      </c>
      <c r="F183" s="2" t="n">
        <v>3175143</v>
      </c>
      <c r="G183" t="n">
        <v>11.2</v>
      </c>
      <c r="H183" t="n">
        <v>6.7</v>
      </c>
      <c r="I183" s="2" t="n">
        <v>109407</v>
      </c>
      <c r="J183" t="n">
        <v>87.7</v>
      </c>
      <c r="K183" t="n">
        <v>27.5</v>
      </c>
      <c r="L183" s="2" t="n">
        <v>64649</v>
      </c>
      <c r="M183" t="n">
        <v>354.5</v>
      </c>
      <c r="N183" t="inlineStr">
        <is>
          <t>20260807800098</t>
        </is>
      </c>
      <c r="O183">
        <f>HYPERLINK("https://dart.fss.or.kr/dsaf001/main.do?rcpNo=20260807800098", "공시열람")</f>
        <v/>
      </c>
    </row>
    <row r="184">
      <c r="A184" t="inlineStr">
        <is>
          <t>2026-08-07</t>
        </is>
      </c>
      <c r="B184" t="inlineStr">
        <is>
          <t>인크로스</t>
        </is>
      </c>
      <c r="C184" t="inlineStr">
        <is>
          <t>216050</t>
        </is>
      </c>
      <c r="D184" t="inlineStr">
        <is>
          <t>별도</t>
        </is>
      </c>
      <c r="E184" t="inlineStr">
        <is>
          <t>2026Q2</t>
        </is>
      </c>
      <c r="F184" s="2" t="n">
        <v>9969</v>
      </c>
      <c r="G184" t="n">
        <v>16.5</v>
      </c>
      <c r="H184" t="n">
        <v>10.2</v>
      </c>
      <c r="I184" s="2" t="n">
        <v>2630</v>
      </c>
      <c r="J184" t="n">
        <v>98.5</v>
      </c>
      <c r="K184" t="n">
        <v>14.2</v>
      </c>
      <c r="L184" s="2" t="n">
        <v>2431</v>
      </c>
      <c r="M184" t="n">
        <v>1.6</v>
      </c>
      <c r="N184" t="inlineStr">
        <is>
          <t>20260807900112</t>
        </is>
      </c>
      <c r="O184">
        <f>HYPERLINK("https://dart.fss.or.kr/dsaf001/main.do?rcpNo=20260807900112", "공시열람")</f>
        <v/>
      </c>
    </row>
    <row r="185">
      <c r="A185" t="inlineStr">
        <is>
          <t>2026-08-07</t>
        </is>
      </c>
      <c r="B185" t="inlineStr">
        <is>
          <t>인크로스</t>
        </is>
      </c>
      <c r="C185" t="inlineStr">
        <is>
          <t>216050</t>
        </is>
      </c>
      <c r="D185" t="inlineStr">
        <is>
          <t>연결</t>
        </is>
      </c>
      <c r="E185" t="inlineStr">
        <is>
          <t>2026Q2</t>
        </is>
      </c>
      <c r="F185" s="2" t="n">
        <v>11712</v>
      </c>
      <c r="G185" t="n">
        <v>12</v>
      </c>
      <c r="H185" t="n">
        <v>13.1</v>
      </c>
      <c r="I185" s="2" t="n">
        <v>2825</v>
      </c>
      <c r="J185" t="n">
        <v>83.7</v>
      </c>
      <c r="K185" t="n">
        <v>26.1</v>
      </c>
      <c r="L185" s="2" t="n">
        <v>2648</v>
      </c>
      <c r="M185" t="n">
        <v>11.6</v>
      </c>
      <c r="N185" t="inlineStr">
        <is>
          <t>20260807900113</t>
        </is>
      </c>
      <c r="O185">
        <f>HYPERLINK("https://dart.fss.or.kr/dsaf001/main.do?rcpNo=20260807900113", "공시열람")</f>
        <v/>
      </c>
    </row>
    <row r="186">
      <c r="A186" t="inlineStr">
        <is>
          <t>2026-08-07</t>
        </is>
      </c>
      <c r="B186" t="inlineStr">
        <is>
          <t>나노신소재</t>
        </is>
      </c>
      <c r="C186" t="inlineStr">
        <is>
          <t>121600</t>
        </is>
      </c>
      <c r="D186" t="inlineStr">
        <is>
          <t>연결</t>
        </is>
      </c>
      <c r="E186" t="inlineStr">
        <is>
          <t>2026Q2</t>
        </is>
      </c>
      <c r="F186" s="2" t="n">
        <v>36548</v>
      </c>
      <c r="G186" t="n">
        <v>11.7</v>
      </c>
      <c r="H186" t="n">
        <v>24.5</v>
      </c>
      <c r="I186" s="2" t="n">
        <v>5340</v>
      </c>
      <c r="J186" t="n">
        <v>93.8</v>
      </c>
      <c r="K186" t="n">
        <v>189.3</v>
      </c>
      <c r="L186" s="2" t="n">
        <v>6049</v>
      </c>
      <c r="M186" t="inlineStr"/>
      <c r="N186" t="inlineStr">
        <is>
          <t>20260807900134</t>
        </is>
      </c>
      <c r="O186">
        <f>HYPERLINK("https://dart.fss.or.kr/dsaf001/main.do?rcpNo=20260807900134", "공시열람")</f>
        <v/>
      </c>
    </row>
    <row r="187">
      <c r="A187" t="inlineStr">
        <is>
          <t>2026-08-07</t>
        </is>
      </c>
      <c r="B187" t="inlineStr">
        <is>
          <t>롯데쇼핑</t>
        </is>
      </c>
      <c r="C187" t="inlineStr">
        <is>
          <t>023530</t>
        </is>
      </c>
      <c r="D187" t="inlineStr">
        <is>
          <t>연결</t>
        </is>
      </c>
      <c r="E187" t="inlineStr">
        <is>
          <t>2026Q2</t>
        </is>
      </c>
      <c r="F187" s="2" t="n">
        <v>3485028</v>
      </c>
      <c r="G187" t="n">
        <v>-2.7</v>
      </c>
      <c r="H187" t="n">
        <v>4</v>
      </c>
      <c r="I187" s="2" t="n">
        <v>89909</v>
      </c>
      <c r="J187" t="n">
        <v>-64.40000000000001</v>
      </c>
      <c r="K187" t="n">
        <v>121.2</v>
      </c>
      <c r="L187" s="2" t="n">
        <v>14617</v>
      </c>
      <c r="M187" t="inlineStr"/>
      <c r="N187" t="inlineStr">
        <is>
          <t>20260807800048</t>
        </is>
      </c>
      <c r="O187">
        <f>HYPERLINK("https://dart.fss.or.kr/dsaf001/main.do?rcpNo=20260807800048", "공시열람")</f>
        <v/>
      </c>
    </row>
    <row r="188">
      <c r="A188" t="inlineStr">
        <is>
          <t>2026-08-07</t>
        </is>
      </c>
      <c r="B188" t="inlineStr">
        <is>
          <t>인터로조</t>
        </is>
      </c>
      <c r="C188" t="inlineStr">
        <is>
          <t>119610</t>
        </is>
      </c>
      <c r="D188" t="inlineStr">
        <is>
          <t>연결</t>
        </is>
      </c>
      <c r="E188" t="inlineStr">
        <is>
          <t>2026Q2</t>
        </is>
      </c>
      <c r="F188" s="2" t="n">
        <v>29448</v>
      </c>
      <c r="G188" t="n">
        <v>-4.1</v>
      </c>
      <c r="H188" t="n">
        <v>-6</v>
      </c>
      <c r="I188" s="2" t="n">
        <v>5984</v>
      </c>
      <c r="J188" t="n">
        <v>-3.9</v>
      </c>
      <c r="K188" t="n">
        <v>-5.7</v>
      </c>
      <c r="L188" s="2" t="n">
        <v>4777</v>
      </c>
      <c r="M188" t="n">
        <v>37.5</v>
      </c>
      <c r="N188" t="inlineStr">
        <is>
          <t>20260807900142</t>
        </is>
      </c>
      <c r="O188">
        <f>HYPERLINK("https://dart.fss.or.kr/dsaf001/main.do?rcpNo=20260807900142", "공시열람")</f>
        <v/>
      </c>
    </row>
    <row r="189">
      <c r="A189" t="inlineStr">
        <is>
          <t>2026-08-07</t>
        </is>
      </c>
      <c r="B189" t="inlineStr">
        <is>
          <t>씨에스윈드</t>
        </is>
      </c>
      <c r="C189" t="inlineStr">
        <is>
          <t>112610</t>
        </is>
      </c>
      <c r="D189" t="inlineStr">
        <is>
          <t>연결</t>
        </is>
      </c>
      <c r="E189" t="inlineStr">
        <is>
          <t>2026Q2</t>
        </is>
      </c>
      <c r="F189" s="2" t="n">
        <v>686396</v>
      </c>
      <c r="G189" t="n">
        <v>-3.5</v>
      </c>
      <c r="H189" t="n">
        <v>5.6</v>
      </c>
      <c r="I189" s="2" t="n">
        <v>86031</v>
      </c>
      <c r="J189" t="n">
        <v>15.8</v>
      </c>
      <c r="K189" t="n">
        <v>45.2</v>
      </c>
      <c r="L189" s="2" t="n">
        <v>61062</v>
      </c>
      <c r="M189" t="n">
        <v>56.9</v>
      </c>
      <c r="N189" t="inlineStr">
        <is>
          <t>20260807800159</t>
        </is>
      </c>
      <c r="O189">
        <f>HYPERLINK("https://dart.fss.or.kr/dsaf001/main.do?rcpNo=20260807800159", "공시열람")</f>
        <v/>
      </c>
    </row>
    <row r="190">
      <c r="A190" t="inlineStr">
        <is>
          <t>2026-08-07</t>
        </is>
      </c>
      <c r="B190" t="inlineStr">
        <is>
          <t>더블유씨피</t>
        </is>
      </c>
      <c r="C190" t="inlineStr">
        <is>
          <t>393890</t>
        </is>
      </c>
      <c r="D190" t="inlineStr">
        <is>
          <t>연결</t>
        </is>
      </c>
      <c r="E190" t="inlineStr">
        <is>
          <t>2026Q2</t>
        </is>
      </c>
      <c r="F190" s="2" t="n">
        <v>36236</v>
      </c>
      <c r="G190" t="n">
        <v>-15.5</v>
      </c>
      <c r="H190" t="n">
        <v>-5.1</v>
      </c>
      <c r="I190" s="2" t="n">
        <v>-15498</v>
      </c>
      <c r="J190" t="n">
        <v>24.4</v>
      </c>
      <c r="K190" t="n">
        <v>40.4</v>
      </c>
      <c r="L190" s="2" t="n">
        <v>924</v>
      </c>
      <c r="M190" t="inlineStr"/>
      <c r="N190" t="inlineStr">
        <is>
          <t>20260807900163</t>
        </is>
      </c>
      <c r="O190">
        <f>HYPERLINK("https://dart.fss.or.kr/dsaf001/main.do?rcpNo=20260807900163", "공시열람")</f>
        <v/>
      </c>
    </row>
    <row r="191">
      <c r="A191" t="inlineStr">
        <is>
          <t>2026-08-07</t>
        </is>
      </c>
      <c r="B191" t="inlineStr">
        <is>
          <t>데브시스터즈</t>
        </is>
      </c>
      <c r="C191" t="inlineStr">
        <is>
          <t>194480</t>
        </is>
      </c>
      <c r="D191" t="inlineStr">
        <is>
          <t>연결</t>
        </is>
      </c>
      <c r="E191" t="inlineStr">
        <is>
          <t>2026Q2</t>
        </is>
      </c>
      <c r="F191" s="2" t="n">
        <v>52668</v>
      </c>
      <c r="G191" t="n">
        <v>-9.92</v>
      </c>
      <c r="H191" t="n">
        <v>-42.74</v>
      </c>
      <c r="I191" s="2" t="n">
        <v>-15975</v>
      </c>
      <c r="J191" t="n">
        <v>8.050000000000001</v>
      </c>
      <c r="K191" t="inlineStr"/>
      <c r="L191" s="2" t="n">
        <v>-14959</v>
      </c>
      <c r="M191" t="inlineStr"/>
      <c r="N191" t="inlineStr">
        <is>
          <t>20260807900170</t>
        </is>
      </c>
      <c r="O191">
        <f>HYPERLINK("https://dart.fss.or.kr/dsaf001/main.do?rcpNo=20260807900170", "공시열람")</f>
        <v/>
      </c>
    </row>
    <row r="192">
      <c r="A192" t="inlineStr">
        <is>
          <t>2026-08-07</t>
        </is>
      </c>
      <c r="B192" t="inlineStr">
        <is>
          <t>흥국에프엔비</t>
        </is>
      </c>
      <c r="C192" t="inlineStr">
        <is>
          <t>189980</t>
        </is>
      </c>
      <c r="D192" t="inlineStr">
        <is>
          <t>연결</t>
        </is>
      </c>
      <c r="E192" t="inlineStr">
        <is>
          <t>2026Q2</t>
        </is>
      </c>
      <c r="F192" s="2" t="n">
        <v>26092</v>
      </c>
      <c r="G192" t="n">
        <v>25.4</v>
      </c>
      <c r="H192" t="n">
        <v>2.9</v>
      </c>
      <c r="I192" s="2" t="n">
        <v>1428</v>
      </c>
      <c r="J192" t="n">
        <v>41.6</v>
      </c>
      <c r="K192" t="n">
        <v>-49.2</v>
      </c>
      <c r="L192" s="2" t="n">
        <v>492</v>
      </c>
      <c r="M192" t="n">
        <v>-81.5</v>
      </c>
      <c r="N192" t="inlineStr">
        <is>
          <t>20260807900166</t>
        </is>
      </c>
      <c r="O192">
        <f>HYPERLINK("https://dart.fss.or.kr/dsaf001/main.do?rcpNo=20260807900166", "공시열람")</f>
        <v/>
      </c>
    </row>
    <row r="193">
      <c r="A193" t="inlineStr">
        <is>
          <t>2026-08-07</t>
        </is>
      </c>
      <c r="B193" t="inlineStr">
        <is>
          <t>와이지엔터테인먼트</t>
        </is>
      </c>
      <c r="C193" t="inlineStr">
        <is>
          <t>122870</t>
        </is>
      </c>
      <c r="D193" t="inlineStr">
        <is>
          <t>연결</t>
        </is>
      </c>
      <c r="E193" t="inlineStr">
        <is>
          <t>2026Q2</t>
        </is>
      </c>
      <c r="F193" s="2" t="n">
        <v>127760</v>
      </c>
      <c r="G193" t="n">
        <v>-13.2</v>
      </c>
      <c r="H193" t="n">
        <v>27.2</v>
      </c>
      <c r="I193" s="2" t="n">
        <v>10968</v>
      </c>
      <c r="J193" t="n">
        <v>-43.5</v>
      </c>
      <c r="K193" t="n">
        <v>31.2</v>
      </c>
      <c r="L193" s="2" t="n">
        <v>7545</v>
      </c>
      <c r="M193" t="n">
        <v>-32.8</v>
      </c>
      <c r="N193" t="inlineStr">
        <is>
          <t>20260807900186</t>
        </is>
      </c>
      <c r="O193">
        <f>HYPERLINK("https://dart.fss.or.kr/dsaf001/main.do?rcpNo=20260807900186", "공시열람")</f>
        <v/>
      </c>
    </row>
    <row r="194">
      <c r="A194" t="inlineStr">
        <is>
          <t>2026-08-07</t>
        </is>
      </c>
      <c r="B194" t="inlineStr">
        <is>
          <t>NAVER</t>
        </is>
      </c>
      <c r="C194" t="inlineStr">
        <is>
          <t>035420</t>
        </is>
      </c>
      <c r="D194" t="inlineStr">
        <is>
          <t>별도</t>
        </is>
      </c>
      <c r="E194" t="inlineStr">
        <is>
          <t>2026Q2</t>
        </is>
      </c>
      <c r="F194" s="2" t="n">
        <v>1929200</v>
      </c>
      <c r="G194" t="n">
        <v>3.3</v>
      </c>
      <c r="H194" t="n">
        <v>13.1</v>
      </c>
      <c r="I194" s="2" t="n">
        <v>439000</v>
      </c>
      <c r="J194" t="n">
        <v>0</v>
      </c>
      <c r="K194" t="n">
        <v>-10.5</v>
      </c>
      <c r="L194" s="2" t="n">
        <v>503500</v>
      </c>
      <c r="M194" t="n">
        <v>10.9</v>
      </c>
      <c r="N194" t="inlineStr">
        <is>
          <t>20260807800028</t>
        </is>
      </c>
      <c r="O194">
        <f>HYPERLINK("https://dart.fss.or.kr/dsaf001/main.do?rcpNo=20260807800028", "공시열람")</f>
        <v/>
      </c>
    </row>
    <row r="195">
      <c r="A195" t="inlineStr">
        <is>
          <t>2026-08-07</t>
        </is>
      </c>
      <c r="B195" t="inlineStr">
        <is>
          <t>NAVER</t>
        </is>
      </c>
      <c r="C195" t="inlineStr">
        <is>
          <t>035420</t>
        </is>
      </c>
      <c r="D195" t="inlineStr">
        <is>
          <t>연결</t>
        </is>
      </c>
      <c r="E195" t="inlineStr">
        <is>
          <t>2026Q2</t>
        </is>
      </c>
      <c r="F195" s="2" t="n">
        <v>3388800</v>
      </c>
      <c r="G195" t="n">
        <v>4.6</v>
      </c>
      <c r="H195" t="n">
        <v>16.2</v>
      </c>
      <c r="I195" s="2" t="n">
        <v>520300</v>
      </c>
      <c r="J195" t="n">
        <v>-4</v>
      </c>
      <c r="K195" t="n">
        <v>-0.2</v>
      </c>
      <c r="L195" s="2" t="n">
        <v>704300</v>
      </c>
      <c r="M195" t="n">
        <v>41.6</v>
      </c>
      <c r="N195" t="inlineStr">
        <is>
          <t>20260807800026</t>
        </is>
      </c>
      <c r="O195">
        <f>HYPERLINK("https://dart.fss.or.kr/dsaf001/main.do?rcpNo=20260807800026", "공시열람")</f>
        <v/>
      </c>
    </row>
    <row r="196">
      <c r="A196" t="inlineStr">
        <is>
          <t>2026-08-07</t>
        </is>
      </c>
      <c r="B196" t="inlineStr">
        <is>
          <t>더즌</t>
        </is>
      </c>
      <c r="C196" t="inlineStr">
        <is>
          <t>462860</t>
        </is>
      </c>
      <c r="D196" t="inlineStr">
        <is>
          <t>연결</t>
        </is>
      </c>
      <c r="E196" t="inlineStr">
        <is>
          <t>2026Q2</t>
        </is>
      </c>
      <c r="F196" s="2" t="n">
        <v>15007</v>
      </c>
      <c r="G196" t="n">
        <v>-4.3</v>
      </c>
      <c r="H196" t="n">
        <v>2.7</v>
      </c>
      <c r="I196" s="2" t="n">
        <v>3640</v>
      </c>
      <c r="J196" t="n">
        <v>-6.6</v>
      </c>
      <c r="K196" t="n">
        <v>17.1</v>
      </c>
      <c r="L196" s="2" t="n">
        <v>2731</v>
      </c>
      <c r="M196" t="n">
        <v>-2</v>
      </c>
      <c r="N196" t="inlineStr">
        <is>
          <t>20260807900061</t>
        </is>
      </c>
      <c r="O196">
        <f>HYPERLINK("https://dart.fss.or.kr/dsaf001/main.do?rcpNo=20260807900061", "공시열람")</f>
        <v/>
      </c>
    </row>
    <row r="197">
      <c r="A197" t="inlineStr">
        <is>
          <t>2026-08-06</t>
        </is>
      </c>
      <c r="B197" t="inlineStr">
        <is>
          <t>BGF리테일</t>
        </is>
      </c>
      <c r="C197" t="inlineStr">
        <is>
          <t>282330</t>
        </is>
      </c>
      <c r="D197" t="inlineStr">
        <is>
          <t>연결</t>
        </is>
      </c>
      <c r="E197" t="inlineStr">
        <is>
          <t>2026Q2</t>
        </is>
      </c>
      <c r="F197" s="2" t="n">
        <v>2426800</v>
      </c>
      <c r="G197" t="n">
        <v>14.5</v>
      </c>
      <c r="H197" t="n">
        <v>6</v>
      </c>
      <c r="I197" s="2" t="n">
        <v>84900</v>
      </c>
      <c r="J197" t="n">
        <v>122.8</v>
      </c>
      <c r="K197" t="n">
        <v>22.3</v>
      </c>
      <c r="L197" s="2" t="n">
        <v>56800</v>
      </c>
      <c r="M197" t="n">
        <v>7.6</v>
      </c>
      <c r="N197" t="inlineStr">
        <is>
          <t>20260806800234</t>
        </is>
      </c>
      <c r="O197">
        <f>HYPERLINK("https://dart.fss.or.kr/dsaf001/main.do?rcpNo=20260806800234", "공시열람")</f>
        <v/>
      </c>
    </row>
    <row r="198">
      <c r="A198" t="inlineStr">
        <is>
          <t>2026-08-06</t>
        </is>
      </c>
      <c r="B198" t="inlineStr">
        <is>
          <t>CJ프레시웨이</t>
        </is>
      </c>
      <c r="C198" t="inlineStr">
        <is>
          <t>051500</t>
        </is>
      </c>
      <c r="D198" t="inlineStr">
        <is>
          <t>연결</t>
        </is>
      </c>
      <c r="E198" t="inlineStr">
        <is>
          <t>2026Q2</t>
        </is>
      </c>
      <c r="F198" s="2" t="n">
        <v>923162</v>
      </c>
      <c r="G198" t="n">
        <v>10.7</v>
      </c>
      <c r="H198" t="n">
        <v>4.5</v>
      </c>
      <c r="I198" s="2" t="n">
        <v>23533</v>
      </c>
      <c r="J198" t="n">
        <v>113.3</v>
      </c>
      <c r="K198" t="n">
        <v>-14.2</v>
      </c>
      <c r="L198" s="2" t="n">
        <v>10139</v>
      </c>
      <c r="M198" t="n">
        <v>-32.3</v>
      </c>
      <c r="N198" t="inlineStr">
        <is>
          <t>20260806900230</t>
        </is>
      </c>
      <c r="O198">
        <f>HYPERLINK("https://dart.fss.or.kr/dsaf001/main.do?rcpNo=20260806900230", "공시열람")</f>
        <v/>
      </c>
    </row>
    <row r="199">
      <c r="A199" t="inlineStr">
        <is>
          <t>2026-08-06</t>
        </is>
      </c>
      <c r="B199" t="inlineStr">
        <is>
          <t>덕산하이메탈</t>
        </is>
      </c>
      <c r="C199" t="inlineStr">
        <is>
          <t>077360</t>
        </is>
      </c>
      <c r="D199" t="inlineStr">
        <is>
          <t>연결</t>
        </is>
      </c>
      <c r="E199" t="inlineStr">
        <is>
          <t>2026Q2</t>
        </is>
      </c>
      <c r="F199" s="2" t="n">
        <v>90753</v>
      </c>
      <c r="G199" t="n">
        <v>32.1</v>
      </c>
      <c r="H199" t="n">
        <v>58.1</v>
      </c>
      <c r="I199" s="2" t="n">
        <v>10078</v>
      </c>
      <c r="J199" t="inlineStr"/>
      <c r="K199" t="n">
        <v>290.6</v>
      </c>
      <c r="L199" s="2" t="n">
        <v>12439</v>
      </c>
      <c r="M199" t="n">
        <v>960.4</v>
      </c>
      <c r="N199" t="inlineStr">
        <is>
          <t>20260806900227</t>
        </is>
      </c>
      <c r="O199">
        <f>HYPERLINK("https://dart.fss.or.kr/dsaf001/main.do?rcpNo=20260806900227", "공시열람")</f>
        <v/>
      </c>
    </row>
    <row r="200">
      <c r="A200" t="inlineStr">
        <is>
          <t>2026-08-06</t>
        </is>
      </c>
      <c r="B200" t="inlineStr">
        <is>
          <t>BGF에코머티리얼즈</t>
        </is>
      </c>
      <c r="C200" t="inlineStr">
        <is>
          <t>126600</t>
        </is>
      </c>
      <c r="D200" t="inlineStr">
        <is>
          <t>연결</t>
        </is>
      </c>
      <c r="E200" t="inlineStr">
        <is>
          <t>2026Q2</t>
        </is>
      </c>
      <c r="F200" s="2" t="n">
        <v>102653</v>
      </c>
      <c r="G200" t="n">
        <v>10.6</v>
      </c>
      <c r="H200" t="n">
        <v>-1.1</v>
      </c>
      <c r="I200" s="2" t="n">
        <v>1202</v>
      </c>
      <c r="J200" t="n">
        <v>-62.8</v>
      </c>
      <c r="K200" t="n">
        <v>-80.40000000000001</v>
      </c>
      <c r="L200" s="2" t="n">
        <v>928</v>
      </c>
      <c r="M200" t="n">
        <v>-50.2</v>
      </c>
      <c r="N200" t="inlineStr">
        <is>
          <t>20260806900218</t>
        </is>
      </c>
      <c r="O200">
        <f>HYPERLINK("https://dart.fss.or.kr/dsaf001/main.do?rcpNo=20260806900218", "공시열람")</f>
        <v/>
      </c>
    </row>
    <row r="201">
      <c r="A201" t="inlineStr">
        <is>
          <t>2026-08-06</t>
        </is>
      </c>
      <c r="B201" t="inlineStr">
        <is>
          <t>LIG디펜스앤에어로스페이스</t>
        </is>
      </c>
      <c r="C201" t="inlineStr">
        <is>
          <t>079550</t>
        </is>
      </c>
      <c r="D201" t="inlineStr">
        <is>
          <t>연결</t>
        </is>
      </c>
      <c r="E201" t="inlineStr">
        <is>
          <t>2026Q2</t>
        </is>
      </c>
      <c r="F201" s="2" t="n">
        <v>1110100</v>
      </c>
      <c r="G201" t="n">
        <v>-4.9</v>
      </c>
      <c r="H201" t="n">
        <v>17.4</v>
      </c>
      <c r="I201" s="2" t="n">
        <v>105700</v>
      </c>
      <c r="J201" t="n">
        <v>-38.2</v>
      </c>
      <c r="K201" t="n">
        <v>29.5</v>
      </c>
      <c r="L201" s="2" t="n">
        <v>78200</v>
      </c>
      <c r="M201" t="n">
        <v>-24.5</v>
      </c>
      <c r="N201" t="inlineStr">
        <is>
          <t>20260806800228</t>
        </is>
      </c>
      <c r="O201">
        <f>HYPERLINK("https://dart.fss.or.kr/dsaf001/main.do?rcpNo=20260806800228", "공시열람")</f>
        <v/>
      </c>
    </row>
    <row r="202">
      <c r="A202" t="inlineStr">
        <is>
          <t>2026-08-06</t>
        </is>
      </c>
      <c r="B202" t="inlineStr">
        <is>
          <t>KZ정밀</t>
        </is>
      </c>
      <c r="C202" t="inlineStr">
        <is>
          <t>036560</t>
        </is>
      </c>
      <c r="D202" t="inlineStr">
        <is>
          <t>별도</t>
        </is>
      </c>
      <c r="E202" t="inlineStr">
        <is>
          <t>2026Q2</t>
        </is>
      </c>
      <c r="F202" s="2" t="n">
        <v>34270</v>
      </c>
      <c r="G202" t="n">
        <v>49.2</v>
      </c>
      <c r="H202" t="n">
        <v>6.7</v>
      </c>
      <c r="I202" s="2" t="n">
        <v>6979</v>
      </c>
      <c r="J202" t="n">
        <v>282.4</v>
      </c>
      <c r="K202" t="n">
        <v>74.2</v>
      </c>
      <c r="L202" s="2" t="n">
        <v>6856</v>
      </c>
      <c r="M202" t="n">
        <v>68.3</v>
      </c>
      <c r="N202" t="inlineStr">
        <is>
          <t>20260806900198</t>
        </is>
      </c>
      <c r="O202">
        <f>HYPERLINK("https://dart.fss.or.kr/dsaf001/main.do?rcpNo=20260806900198", "공시열람")</f>
        <v/>
      </c>
    </row>
    <row r="203">
      <c r="A203" t="inlineStr">
        <is>
          <t>2026-08-06</t>
        </is>
      </c>
      <c r="B203" t="inlineStr">
        <is>
          <t>휴젤</t>
        </is>
      </c>
      <c r="C203" t="inlineStr">
        <is>
          <t>145020</t>
        </is>
      </c>
      <c r="D203" t="inlineStr">
        <is>
          <t>연결</t>
        </is>
      </c>
      <c r="E203" t="inlineStr">
        <is>
          <t>2026Q2</t>
        </is>
      </c>
      <c r="F203" s="2" t="n">
        <v>137903</v>
      </c>
      <c r="G203" t="n">
        <v>18.2</v>
      </c>
      <c r="H203" t="n">
        <v>25.1</v>
      </c>
      <c r="I203" s="2" t="n">
        <v>56030</v>
      </c>
      <c r="J203" t="n">
        <v>17.6</v>
      </c>
      <c r="K203" t="n">
        <v>-1.1</v>
      </c>
      <c r="L203" s="2" t="n">
        <v>44739</v>
      </c>
      <c r="M203" t="n">
        <v>17.1</v>
      </c>
      <c r="N203" t="inlineStr">
        <is>
          <t>20260806900161</t>
        </is>
      </c>
      <c r="O203">
        <f>HYPERLINK("https://dart.fss.or.kr/dsaf001/main.do?rcpNo=20260806900161", "공시열람")</f>
        <v/>
      </c>
    </row>
    <row r="204">
      <c r="A204" t="inlineStr">
        <is>
          <t>2026-08-06</t>
        </is>
      </c>
      <c r="B204" t="inlineStr">
        <is>
          <t>제이씨케미칼</t>
        </is>
      </c>
      <c r="C204" t="inlineStr">
        <is>
          <t>137950</t>
        </is>
      </c>
      <c r="D204" t="inlineStr">
        <is>
          <t>연결</t>
        </is>
      </c>
      <c r="E204" t="inlineStr">
        <is>
          <t>2026Q2</t>
        </is>
      </c>
      <c r="F204" s="2" t="n">
        <v>142806</v>
      </c>
      <c r="G204" t="n">
        <v>17.9</v>
      </c>
      <c r="H204" t="n">
        <v>54.9</v>
      </c>
      <c r="I204" s="2" t="n">
        <v>11454</v>
      </c>
      <c r="J204" t="n">
        <v>621.7</v>
      </c>
      <c r="K204" t="n">
        <v>189</v>
      </c>
      <c r="L204" s="2" t="n">
        <v>8755</v>
      </c>
      <c r="M204" t="n">
        <v>317.9</v>
      </c>
      <c r="N204" t="inlineStr">
        <is>
          <t>20260806900185</t>
        </is>
      </c>
      <c r="O204">
        <f>HYPERLINK("https://dart.fss.or.kr/dsaf001/main.do?rcpNo=20260806900185", "공시열람")</f>
        <v/>
      </c>
    </row>
    <row r="205">
      <c r="A205" t="inlineStr">
        <is>
          <t>2026-08-06</t>
        </is>
      </c>
      <c r="B205" t="inlineStr">
        <is>
          <t>CJ ENM</t>
        </is>
      </c>
      <c r="C205" t="inlineStr">
        <is>
          <t>035760</t>
        </is>
      </c>
      <c r="D205" t="inlineStr">
        <is>
          <t>연결</t>
        </is>
      </c>
      <c r="E205" t="inlineStr">
        <is>
          <t>2026Q2</t>
        </is>
      </c>
      <c r="F205" s="2" t="n">
        <v>1203275</v>
      </c>
      <c r="G205" t="n">
        <v>-9.5</v>
      </c>
      <c r="H205" t="n">
        <v>-8.300000000000001</v>
      </c>
      <c r="I205" s="2" t="n">
        <v>33447</v>
      </c>
      <c r="J205" t="n">
        <v>2190.9</v>
      </c>
      <c r="K205" t="n">
        <v>16.9</v>
      </c>
      <c r="L205" s="2" t="n">
        <v>22248</v>
      </c>
      <c r="M205" t="n">
        <v>-80.59999999999999</v>
      </c>
      <c r="N205" t="inlineStr">
        <is>
          <t>20260806900165</t>
        </is>
      </c>
      <c r="O205">
        <f>HYPERLINK("https://dart.fss.or.kr/dsaf001/main.do?rcpNo=20260806900165", "공시열람")</f>
        <v/>
      </c>
    </row>
    <row r="206">
      <c r="A206" t="inlineStr">
        <is>
          <t>2026-08-06</t>
        </is>
      </c>
      <c r="B206" t="inlineStr">
        <is>
          <t>동진쎄미켐</t>
        </is>
      </c>
      <c r="C206" t="inlineStr">
        <is>
          <t>005290</t>
        </is>
      </c>
      <c r="D206" t="inlineStr">
        <is>
          <t>연결</t>
        </is>
      </c>
      <c r="E206" t="inlineStr">
        <is>
          <t>2026Q2</t>
        </is>
      </c>
      <c r="F206" s="2" t="n">
        <v>346873</v>
      </c>
      <c r="G206" t="n">
        <v>5.7</v>
      </c>
      <c r="H206" t="n">
        <v>17.5</v>
      </c>
      <c r="I206" s="2" t="n">
        <v>59290</v>
      </c>
      <c r="J206" t="n">
        <v>-11</v>
      </c>
      <c r="K206" t="n">
        <v>38.9</v>
      </c>
      <c r="L206" s="2" t="n">
        <v>84971</v>
      </c>
      <c r="M206" t="n">
        <v>1450.6</v>
      </c>
      <c r="N206" t="inlineStr">
        <is>
          <t>20260806900173</t>
        </is>
      </c>
      <c r="O206">
        <f>HYPERLINK("https://dart.fss.or.kr/dsaf001/main.do?rcpNo=20260806900173", "공시열람")</f>
        <v/>
      </c>
    </row>
    <row r="207">
      <c r="A207" t="inlineStr">
        <is>
          <t>2026-08-06</t>
        </is>
      </c>
      <c r="B207" t="inlineStr">
        <is>
          <t>스튜디오드래곤</t>
        </is>
      </c>
      <c r="C207" t="inlineStr">
        <is>
          <t>253450</t>
        </is>
      </c>
      <c r="D207" t="inlineStr">
        <is>
          <t>연결</t>
        </is>
      </c>
      <c r="E207" t="inlineStr">
        <is>
          <t>2026Q2</t>
        </is>
      </c>
      <c r="F207" s="2" t="n">
        <v>145292</v>
      </c>
      <c r="G207" t="n">
        <v>-6.4</v>
      </c>
      <c r="H207" t="n">
        <v>26.9</v>
      </c>
      <c r="I207" s="2" t="n">
        <v>15446</v>
      </c>
      <c r="J207" t="n">
        <v>140.8</v>
      </c>
      <c r="K207" t="inlineStr"/>
      <c r="L207" s="2" t="n">
        <v>13017</v>
      </c>
      <c r="M207" t="inlineStr"/>
      <c r="N207" t="inlineStr">
        <is>
          <t>20260806900155</t>
        </is>
      </c>
      <c r="O207">
        <f>HYPERLINK("https://dart.fss.or.kr/dsaf001/main.do?rcpNo=20260806900155", "공시열람")</f>
        <v/>
      </c>
    </row>
    <row r="208">
      <c r="A208" t="inlineStr">
        <is>
          <t>2026-08-06</t>
        </is>
      </c>
      <c r="B208" t="inlineStr">
        <is>
          <t>바이오노트</t>
        </is>
      </c>
      <c r="C208" t="inlineStr">
        <is>
          <t>377740</t>
        </is>
      </c>
      <c r="D208" t="inlineStr">
        <is>
          <t>연결</t>
        </is>
      </c>
      <c r="E208" t="inlineStr">
        <is>
          <t>2026Q2</t>
        </is>
      </c>
      <c r="F208" s="2" t="n">
        <v>36368</v>
      </c>
      <c r="G208" t="n">
        <v>11.67</v>
      </c>
      <c r="H208" t="n">
        <v>12.23</v>
      </c>
      <c r="I208" s="2" t="n">
        <v>8457</v>
      </c>
      <c r="J208" t="n">
        <v>33.28</v>
      </c>
      <c r="K208" t="n">
        <v>33.21</v>
      </c>
      <c r="L208" s="2" t="n">
        <v>9072</v>
      </c>
      <c r="M208" t="n">
        <v>-89.27</v>
      </c>
      <c r="N208" t="inlineStr">
        <is>
          <t>20260806800153</t>
        </is>
      </c>
      <c r="O208">
        <f>HYPERLINK("https://dart.fss.or.kr/dsaf001/main.do?rcpNo=20260806800153", "공시열람")</f>
        <v/>
      </c>
    </row>
    <row r="209">
      <c r="A209" t="inlineStr">
        <is>
          <t>2026-08-06</t>
        </is>
      </c>
      <c r="B209" t="inlineStr">
        <is>
          <t>케이피에프</t>
        </is>
      </c>
      <c r="C209" t="inlineStr">
        <is>
          <t>024880</t>
        </is>
      </c>
      <c r="D209" t="inlineStr">
        <is>
          <t>연결</t>
        </is>
      </c>
      <c r="E209" t="inlineStr">
        <is>
          <t>2026Q2</t>
        </is>
      </c>
      <c r="F209" s="2" t="n">
        <v>213567</v>
      </c>
      <c r="G209" t="n">
        <v>9.9</v>
      </c>
      <c r="H209" t="n">
        <v>11.7</v>
      </c>
      <c r="I209" s="2" t="n">
        <v>8918</v>
      </c>
      <c r="J209" t="n">
        <v>14</v>
      </c>
      <c r="K209" t="n">
        <v>-11.3</v>
      </c>
      <c r="L209" s="2" t="n">
        <v>5323</v>
      </c>
      <c r="M209" t="n">
        <v>30.3</v>
      </c>
      <c r="N209" t="inlineStr">
        <is>
          <t>20260806900143</t>
        </is>
      </c>
      <c r="O209">
        <f>HYPERLINK("https://dart.fss.or.kr/dsaf001/main.do?rcpNo=20260806900143", "공시열람")</f>
        <v/>
      </c>
    </row>
    <row r="210">
      <c r="A210" t="inlineStr">
        <is>
          <t>2026-08-06</t>
        </is>
      </c>
      <c r="B210" t="inlineStr">
        <is>
          <t>케이엔더블유</t>
        </is>
      </c>
      <c r="C210" t="inlineStr">
        <is>
          <t>105330</t>
        </is>
      </c>
      <c r="D210" t="inlineStr">
        <is>
          <t>연결</t>
        </is>
      </c>
      <c r="E210" t="inlineStr">
        <is>
          <t>2026Q2</t>
        </is>
      </c>
      <c r="F210" s="2" t="n">
        <v>18413</v>
      </c>
      <c r="G210" t="n">
        <v>10.73</v>
      </c>
      <c r="H210" t="n">
        <v>-8.75</v>
      </c>
      <c r="I210" s="2" t="n">
        <v>-1837</v>
      </c>
      <c r="J210" t="n">
        <v>-63.66</v>
      </c>
      <c r="K210" t="n">
        <v>-244.17</v>
      </c>
      <c r="L210" s="2" t="n">
        <v>-7587</v>
      </c>
      <c r="M210" t="n">
        <v>-274.71</v>
      </c>
      <c r="N210" t="inlineStr">
        <is>
          <t>20260806900126</t>
        </is>
      </c>
      <c r="O210">
        <f>HYPERLINK("https://dart.fss.or.kr/dsaf001/main.do?rcpNo=20260806900126", "공시열람")</f>
        <v/>
      </c>
    </row>
    <row r="211">
      <c r="A211" t="inlineStr">
        <is>
          <t>2026-08-06</t>
        </is>
      </c>
      <c r="B211" t="inlineStr">
        <is>
          <t>모델솔루션</t>
        </is>
      </c>
      <c r="C211" t="inlineStr">
        <is>
          <t>417970</t>
        </is>
      </c>
      <c r="D211" t="inlineStr">
        <is>
          <t>별도</t>
        </is>
      </c>
      <c r="E211" t="inlineStr">
        <is>
          <t>2026Q2</t>
        </is>
      </c>
      <c r="F211" s="2" t="n">
        <v>20043</v>
      </c>
      <c r="G211" t="n">
        <v>7.13</v>
      </c>
      <c r="H211" t="n">
        <v>8.82</v>
      </c>
      <c r="I211" s="2" t="n">
        <v>1786</v>
      </c>
      <c r="J211" t="n">
        <v>138.71</v>
      </c>
      <c r="K211" t="n">
        <v>9.35</v>
      </c>
      <c r="L211" s="2" t="n">
        <v>1730</v>
      </c>
      <c r="M211" t="n">
        <v>64.15000000000001</v>
      </c>
      <c r="N211" t="inlineStr">
        <is>
          <t>20260806900237</t>
        </is>
      </c>
      <c r="O211">
        <f>HYPERLINK("https://dart.fss.or.kr/dsaf001/main.do?rcpNo=20260806900237", "공시열람")</f>
        <v/>
      </c>
    </row>
    <row r="212">
      <c r="A212" t="inlineStr">
        <is>
          <t>2026-08-06</t>
        </is>
      </c>
      <c r="B212" t="inlineStr">
        <is>
          <t>텔레칩스</t>
        </is>
      </c>
      <c r="C212" t="inlineStr">
        <is>
          <t>054450</t>
        </is>
      </c>
      <c r="D212" t="inlineStr">
        <is>
          <t>연결</t>
        </is>
      </c>
      <c r="E212" t="inlineStr">
        <is>
          <t>2026Q2</t>
        </is>
      </c>
      <c r="F212" s="2" t="n">
        <v>59174</v>
      </c>
      <c r="G212" t="n">
        <v>-10.5</v>
      </c>
      <c r="H212" t="n">
        <v>33.6</v>
      </c>
      <c r="I212" s="2" t="n">
        <v>3180</v>
      </c>
      <c r="J212" t="n">
        <v>-48.1</v>
      </c>
      <c r="K212" t="inlineStr"/>
      <c r="L212" s="2" t="n">
        <v>-4097</v>
      </c>
      <c r="M212" t="n">
        <v>-27.3</v>
      </c>
      <c r="N212" t="inlineStr">
        <is>
          <t>20260806900373</t>
        </is>
      </c>
      <c r="O212">
        <f>HYPERLINK("https://dart.fss.or.kr/dsaf001/main.do?rcpNo=20260806900373", "공시열람")</f>
        <v/>
      </c>
    </row>
    <row r="213">
      <c r="A213" t="inlineStr">
        <is>
          <t>2026-08-06</t>
        </is>
      </c>
      <c r="B213" t="inlineStr">
        <is>
          <t>덕산네오룩스</t>
        </is>
      </c>
      <c r="C213" t="inlineStr">
        <is>
          <t>213420</t>
        </is>
      </c>
      <c r="D213" t="inlineStr">
        <is>
          <t>연결</t>
        </is>
      </c>
      <c r="E213" t="inlineStr">
        <is>
          <t>2026Q2</t>
        </is>
      </c>
      <c r="F213" s="2" t="n">
        <v>94585</v>
      </c>
      <c r="G213" t="n">
        <v>29.8</v>
      </c>
      <c r="H213" t="n">
        <v>16.9</v>
      </c>
      <c r="I213" s="2" t="n">
        <v>18500</v>
      </c>
      <c r="J213" t="n">
        <v>8.300000000000001</v>
      </c>
      <c r="K213" t="n">
        <v>80</v>
      </c>
      <c r="L213" s="2" t="n">
        <v>19941</v>
      </c>
      <c r="M213" t="n">
        <v>122.4</v>
      </c>
      <c r="N213" t="inlineStr">
        <is>
          <t>20260806900096</t>
        </is>
      </c>
      <c r="O213">
        <f>HYPERLINK("https://dart.fss.or.kr/dsaf001/main.do?rcpNo=20260806900096", "공시열람")</f>
        <v/>
      </c>
    </row>
    <row r="214">
      <c r="A214" t="inlineStr">
        <is>
          <t>2026-08-06</t>
        </is>
      </c>
      <c r="B214" t="inlineStr">
        <is>
          <t>엑셀세라퓨틱스</t>
        </is>
      </c>
      <c r="C214" t="inlineStr">
        <is>
          <t>373110</t>
        </is>
      </c>
      <c r="D214" t="inlineStr">
        <is>
          <t>연결</t>
        </is>
      </c>
      <c r="E214" t="inlineStr">
        <is>
          <t>2026Q2</t>
        </is>
      </c>
      <c r="F214" s="2" t="n">
        <v>1943</v>
      </c>
      <c r="G214" t="n">
        <v>90.2</v>
      </c>
      <c r="H214" t="n">
        <v>778</v>
      </c>
      <c r="I214" s="2" t="n">
        <v>-2682</v>
      </c>
      <c r="J214" t="n">
        <v>8</v>
      </c>
      <c r="K214" t="n">
        <v>-0.7</v>
      </c>
      <c r="L214" s="2" t="n">
        <v>-2809</v>
      </c>
      <c r="M214" t="n">
        <v>-3.9</v>
      </c>
      <c r="N214" t="inlineStr">
        <is>
          <t>20260806900303</t>
        </is>
      </c>
      <c r="O214">
        <f>HYPERLINK("https://dart.fss.or.kr/dsaf001/main.do?rcpNo=20260806900303", "공시열람")</f>
        <v/>
      </c>
    </row>
    <row r="215">
      <c r="A215" t="inlineStr">
        <is>
          <t>2026-08-06</t>
        </is>
      </c>
      <c r="B215" t="inlineStr">
        <is>
          <t>케이씨</t>
        </is>
      </c>
      <c r="C215" t="inlineStr">
        <is>
          <t>029460</t>
        </is>
      </c>
      <c r="D215" t="inlineStr">
        <is>
          <t>연결</t>
        </is>
      </c>
      <c r="E215" t="inlineStr">
        <is>
          <t>2026Q2</t>
        </is>
      </c>
      <c r="F215" s="2" t="n">
        <v>250416</v>
      </c>
      <c r="G215" t="n">
        <v>17.8</v>
      </c>
      <c r="H215" t="n">
        <v>19.5</v>
      </c>
      <c r="I215" s="2" t="n">
        <v>22174</v>
      </c>
      <c r="J215" t="n">
        <v>58.7</v>
      </c>
      <c r="K215" t="n">
        <v>51.5</v>
      </c>
      <c r="L215" s="2" t="n">
        <v>25460</v>
      </c>
      <c r="M215" t="n">
        <v>89.59999999999999</v>
      </c>
      <c r="N215" t="inlineStr">
        <is>
          <t>20260806800646</t>
        </is>
      </c>
      <c r="O215">
        <f>HYPERLINK("https://dart.fss.or.kr/dsaf001/main.do?rcpNo=20260806800646", "공시열람")</f>
        <v/>
      </c>
    </row>
    <row r="216">
      <c r="A216" t="inlineStr">
        <is>
          <t>2026-08-06</t>
        </is>
      </c>
      <c r="B216" t="inlineStr">
        <is>
          <t>아이마켓코리아</t>
        </is>
      </c>
      <c r="C216" t="inlineStr">
        <is>
          <t>122900</t>
        </is>
      </c>
      <c r="D216" t="inlineStr">
        <is>
          <t>연결</t>
        </is>
      </c>
      <c r="E216" t="inlineStr">
        <is>
          <t>2026Q2</t>
        </is>
      </c>
      <c r="F216" s="2" t="n">
        <v>1007698</v>
      </c>
      <c r="G216" t="n">
        <v>19.6</v>
      </c>
      <c r="H216" t="n">
        <v>37</v>
      </c>
      <c r="I216" s="2" t="n">
        <v>17725</v>
      </c>
      <c r="J216" t="n">
        <v>7</v>
      </c>
      <c r="K216" t="n">
        <v>171</v>
      </c>
      <c r="L216" s="2" t="n">
        <v>19078</v>
      </c>
      <c r="M216" t="n">
        <v>15.8</v>
      </c>
      <c r="N216" t="inlineStr">
        <is>
          <t>20260806800615</t>
        </is>
      </c>
      <c r="O216">
        <f>HYPERLINK("https://dart.fss.or.kr/dsaf001/main.do?rcpNo=20260806800615", "공시열람")</f>
        <v/>
      </c>
    </row>
    <row r="217">
      <c r="A217" t="inlineStr">
        <is>
          <t>2026-08-06</t>
        </is>
      </c>
      <c r="B217" t="inlineStr">
        <is>
          <t>쇼박스</t>
        </is>
      </c>
      <c r="C217" t="inlineStr">
        <is>
          <t>086980</t>
        </is>
      </c>
      <c r="D217" t="inlineStr">
        <is>
          <t>연결</t>
        </is>
      </c>
      <c r="E217" t="inlineStr">
        <is>
          <t>2026Q2</t>
        </is>
      </c>
      <c r="F217" s="2" t="n">
        <v>67583</v>
      </c>
      <c r="G217" t="n">
        <v>-14.3</v>
      </c>
      <c r="H217" t="n">
        <v>257.6</v>
      </c>
      <c r="I217" s="2" t="n">
        <v>12497</v>
      </c>
      <c r="J217" t="n">
        <v>-42.3</v>
      </c>
      <c r="K217" t="inlineStr"/>
      <c r="L217" s="2" t="inlineStr"/>
      <c r="M217" t="inlineStr"/>
      <c r="N217" t="inlineStr">
        <is>
          <t>20260806900517</t>
        </is>
      </c>
      <c r="O217">
        <f>HYPERLINK("https://dart.fss.or.kr/dsaf001/main.do?rcpNo=20260806900517", "공시열람")</f>
        <v/>
      </c>
    </row>
    <row r="218">
      <c r="A218" t="inlineStr">
        <is>
          <t>2026-08-06</t>
        </is>
      </c>
      <c r="B218" t="inlineStr">
        <is>
          <t>보령</t>
        </is>
      </c>
      <c r="C218" t="inlineStr">
        <is>
          <t>003850</t>
        </is>
      </c>
      <c r="D218" t="inlineStr">
        <is>
          <t>연결</t>
        </is>
      </c>
      <c r="E218" t="inlineStr">
        <is>
          <t>2026Q2</t>
        </is>
      </c>
      <c r="F218" s="2" t="n">
        <v>279623</v>
      </c>
      <c r="G218" t="n">
        <v>9.5</v>
      </c>
      <c r="H218" t="n">
        <v>11.2</v>
      </c>
      <c r="I218" s="2" t="n">
        <v>23799</v>
      </c>
      <c r="J218" t="n">
        <v>18.1</v>
      </c>
      <c r="K218" t="n">
        <v>-6.2</v>
      </c>
      <c r="L218" s="2" t="n">
        <v>24055</v>
      </c>
      <c r="M218" t="n">
        <v>171.4</v>
      </c>
      <c r="N218" t="inlineStr">
        <is>
          <t>20260806800511</t>
        </is>
      </c>
      <c r="O218">
        <f>HYPERLINK("https://dart.fss.or.kr/dsaf001/main.do?rcpNo=20260806800511", "공시열람")</f>
        <v/>
      </c>
    </row>
    <row r="219">
      <c r="A219" t="inlineStr">
        <is>
          <t>2026-08-06</t>
        </is>
      </c>
      <c r="B219" t="inlineStr">
        <is>
          <t>카페24</t>
        </is>
      </c>
      <c r="C219" t="inlineStr">
        <is>
          <t>042000</t>
        </is>
      </c>
      <c r="D219" t="inlineStr">
        <is>
          <t>연결</t>
        </is>
      </c>
      <c r="E219" t="inlineStr">
        <is>
          <t>2026Q2</t>
        </is>
      </c>
      <c r="F219" s="2" t="n">
        <v>83427</v>
      </c>
      <c r="G219" t="n">
        <v>10.5</v>
      </c>
      <c r="H219" t="n">
        <v>5</v>
      </c>
      <c r="I219" s="2" t="n">
        <v>8233</v>
      </c>
      <c r="J219" t="n">
        <v>32</v>
      </c>
      <c r="K219" t="n">
        <v>-26.7</v>
      </c>
      <c r="L219" s="2" t="n">
        <v>8833</v>
      </c>
      <c r="M219" t="n">
        <v>-32.6</v>
      </c>
      <c r="N219" t="inlineStr">
        <is>
          <t>20260806900360</t>
        </is>
      </c>
      <c r="O219">
        <f>HYPERLINK("https://dart.fss.or.kr/dsaf001/main.do?rcpNo=20260806900360", "공시열람")</f>
        <v/>
      </c>
    </row>
    <row r="220">
      <c r="A220" t="inlineStr">
        <is>
          <t>2026-08-06</t>
        </is>
      </c>
      <c r="B220" t="inlineStr">
        <is>
          <t>KT나스미디어</t>
        </is>
      </c>
      <c r="C220" t="inlineStr">
        <is>
          <t>089600</t>
        </is>
      </c>
      <c r="D220" t="inlineStr">
        <is>
          <t>별도</t>
        </is>
      </c>
      <c r="E220" t="inlineStr">
        <is>
          <t>2026Q2</t>
        </is>
      </c>
      <c r="F220" s="2" t="n">
        <v>32264</v>
      </c>
      <c r="G220" t="n">
        <v>22</v>
      </c>
      <c r="H220" t="n">
        <v>22.8</v>
      </c>
      <c r="I220" s="2" t="n">
        <v>7820</v>
      </c>
      <c r="J220" t="n">
        <v>135.3</v>
      </c>
      <c r="K220" t="n">
        <v>200.8</v>
      </c>
      <c r="L220" s="2" t="n">
        <v>6818</v>
      </c>
      <c r="M220" t="inlineStr"/>
      <c r="N220" t="inlineStr">
        <is>
          <t>20260806900413</t>
        </is>
      </c>
      <c r="O220">
        <f>HYPERLINK("https://dart.fss.or.kr/dsaf001/main.do?rcpNo=20260806900413", "공시열람")</f>
        <v/>
      </c>
    </row>
    <row r="221">
      <c r="A221" t="inlineStr">
        <is>
          <t>2026-08-06</t>
        </is>
      </c>
      <c r="B221" t="inlineStr">
        <is>
          <t>큐리옥스바이오시스템즈</t>
        </is>
      </c>
      <c r="C221" t="inlineStr">
        <is>
          <t>445680</t>
        </is>
      </c>
      <c r="D221" t="inlineStr">
        <is>
          <t>연결</t>
        </is>
      </c>
      <c r="E221" t="inlineStr">
        <is>
          <t>2026Q2</t>
        </is>
      </c>
      <c r="F221" s="2" t="n">
        <v>1176</v>
      </c>
      <c r="G221" t="n">
        <v>-11.25</v>
      </c>
      <c r="H221" t="n">
        <v>18.07</v>
      </c>
      <c r="I221" s="2" t="n">
        <v>-4457</v>
      </c>
      <c r="J221" t="n">
        <v>-37.05</v>
      </c>
      <c r="K221" t="n">
        <v>-12.61</v>
      </c>
      <c r="L221" s="2" t="n">
        <v>-4841</v>
      </c>
      <c r="M221" t="n">
        <v>73.48999999999999</v>
      </c>
      <c r="N221" t="inlineStr">
        <is>
          <t>20260806900405</t>
        </is>
      </c>
      <c r="O221">
        <f>HYPERLINK("https://dart.fss.or.kr/dsaf001/main.do?rcpNo=20260806900405", "공시열람")</f>
        <v/>
      </c>
    </row>
    <row r="222">
      <c r="A222" t="inlineStr">
        <is>
          <t>2026-08-06</t>
        </is>
      </c>
      <c r="B222" t="inlineStr">
        <is>
          <t>레드캡투어</t>
        </is>
      </c>
      <c r="C222" t="inlineStr">
        <is>
          <t>038390</t>
        </is>
      </c>
      <c r="D222" t="inlineStr">
        <is>
          <t>연결</t>
        </is>
      </c>
      <c r="E222" t="inlineStr">
        <is>
          <t>2026Q2</t>
        </is>
      </c>
      <c r="F222" s="2" t="n">
        <v>98227</v>
      </c>
      <c r="G222" t="n">
        <v>6.4</v>
      </c>
      <c r="H222" t="n">
        <v>3.6</v>
      </c>
      <c r="I222" s="2" t="n">
        <v>15737</v>
      </c>
      <c r="J222" t="n">
        <v>-12.2</v>
      </c>
      <c r="K222" t="n">
        <v>16.3</v>
      </c>
      <c r="L222" s="2" t="n">
        <v>9129</v>
      </c>
      <c r="M222" t="n">
        <v>22.2</v>
      </c>
      <c r="N222" t="inlineStr">
        <is>
          <t>20260806900341</t>
        </is>
      </c>
      <c r="O222">
        <f>HYPERLINK("https://dart.fss.or.kr/dsaf001/main.do?rcpNo=20260806900341", "공시열람")</f>
        <v/>
      </c>
    </row>
    <row r="223">
      <c r="A223" t="inlineStr">
        <is>
          <t>2026-08-06</t>
        </is>
      </c>
      <c r="B223" t="inlineStr">
        <is>
          <t>BGF</t>
        </is>
      </c>
      <c r="C223" t="inlineStr">
        <is>
          <t>027410</t>
        </is>
      </c>
      <c r="D223" t="inlineStr">
        <is>
          <t>연결</t>
        </is>
      </c>
      <c r="E223" t="inlineStr">
        <is>
          <t>2026Q2</t>
        </is>
      </c>
      <c r="F223" s="2" t="n">
        <v>123600</v>
      </c>
      <c r="G223" t="n">
        <v>17.8</v>
      </c>
      <c r="H223" t="n">
        <v>0.4</v>
      </c>
      <c r="I223" s="2" t="n">
        <v>13600</v>
      </c>
      <c r="J223" t="n">
        <v>60</v>
      </c>
      <c r="K223" t="n">
        <v>-21.4</v>
      </c>
      <c r="L223" s="2" t="n">
        <v>14400</v>
      </c>
      <c r="M223" t="n">
        <v>1.4</v>
      </c>
      <c r="N223" t="inlineStr">
        <is>
          <t>20260806800240</t>
        </is>
      </c>
      <c r="O223">
        <f>HYPERLINK("https://dart.fss.or.kr/dsaf001/main.do?rcpNo=20260806800240", "공시열람")</f>
        <v/>
      </c>
    </row>
    <row r="224">
      <c r="A224" t="inlineStr">
        <is>
          <t>2026-08-06</t>
        </is>
      </c>
      <c r="B224" t="inlineStr">
        <is>
          <t>원익IPS</t>
        </is>
      </c>
      <c r="C224" t="inlineStr">
        <is>
          <t>240810</t>
        </is>
      </c>
      <c r="D224" t="inlineStr">
        <is>
          <t>연결</t>
        </is>
      </c>
      <c r="E224" t="inlineStr">
        <is>
          <t>2026Q2</t>
        </is>
      </c>
      <c r="F224" s="2" t="n">
        <v>216472</v>
      </c>
      <c r="G224" t="n">
        <v>31.27</v>
      </c>
      <c r="H224" t="n">
        <v>-10.61</v>
      </c>
      <c r="I224" s="2" t="n">
        <v>18383</v>
      </c>
      <c r="J224" t="n">
        <v>71.26000000000001</v>
      </c>
      <c r="K224" t="n">
        <v>-49.57</v>
      </c>
      <c r="L224" s="2" t="n">
        <v>89935</v>
      </c>
      <c r="M224" t="n">
        <v>225.21</v>
      </c>
      <c r="N224" t="inlineStr">
        <is>
          <t>20260806900323</t>
        </is>
      </c>
      <c r="O224">
        <f>HYPERLINK("https://dart.fss.or.kr/dsaf001/main.do?rcpNo=20260806900323", "공시열람")</f>
        <v/>
      </c>
    </row>
    <row r="225">
      <c r="A225" t="inlineStr">
        <is>
          <t>2026-08-06</t>
        </is>
      </c>
      <c r="B225" t="inlineStr">
        <is>
          <t>케이티앤지</t>
        </is>
      </c>
      <c r="C225" t="inlineStr">
        <is>
          <t>033780</t>
        </is>
      </c>
      <c r="D225" t="inlineStr">
        <is>
          <t>연결</t>
        </is>
      </c>
      <c r="E225" t="inlineStr">
        <is>
          <t>2026Q2</t>
        </is>
      </c>
      <c r="F225" s="2" t="n">
        <v>1701557</v>
      </c>
      <c r="G225" t="n">
        <v>-0.1</v>
      </c>
      <c r="H225" t="n">
        <v>9.9</v>
      </c>
      <c r="I225" s="2" t="n">
        <v>414452</v>
      </c>
      <c r="J225" t="n">
        <v>13.7</v>
      </c>
      <c r="K225" t="n">
        <v>18.5</v>
      </c>
      <c r="L225" s="2" t="n">
        <v>362086</v>
      </c>
      <c r="M225" t="n">
        <v>152.3</v>
      </c>
      <c r="N225" t="inlineStr">
        <is>
          <t>20260806800305</t>
        </is>
      </c>
      <c r="O225">
        <f>HYPERLINK("https://dart.fss.or.kr/dsaf001/main.do?rcpNo=20260806800305", "공시열람")</f>
        <v/>
      </c>
    </row>
    <row r="226">
      <c r="A226" t="inlineStr">
        <is>
          <t>2026-08-06</t>
        </is>
      </c>
      <c r="B226" t="inlineStr">
        <is>
          <t>엘앤에프</t>
        </is>
      </c>
      <c r="C226" t="inlineStr">
        <is>
          <t>066970</t>
        </is>
      </c>
      <c r="D226" t="inlineStr">
        <is>
          <t>연결</t>
        </is>
      </c>
      <c r="E226" t="inlineStr">
        <is>
          <t>2026Q2</t>
        </is>
      </c>
      <c r="F226" s="2" t="n">
        <v>885044</v>
      </c>
      <c r="G226" t="n">
        <v>19.7</v>
      </c>
      <c r="H226" t="n">
        <v>70.2</v>
      </c>
      <c r="I226" s="2" t="n">
        <v>20829</v>
      </c>
      <c r="J226" t="n">
        <v>-82.2</v>
      </c>
      <c r="K226" t="inlineStr"/>
      <c r="L226" s="2" t="n">
        <v>52924</v>
      </c>
      <c r="M226" t="inlineStr"/>
      <c r="N226" t="inlineStr">
        <is>
          <t>20260806800304</t>
        </is>
      </c>
      <c r="O226">
        <f>HYPERLINK("https://dart.fss.or.kr/dsaf001/main.do?rcpNo=20260806800304", "공시열람")</f>
        <v/>
      </c>
    </row>
    <row r="227">
      <c r="A227" t="inlineStr">
        <is>
          <t>2026-08-06</t>
        </is>
      </c>
      <c r="B227" t="inlineStr">
        <is>
          <t>웹젠</t>
        </is>
      </c>
      <c r="C227" t="inlineStr">
        <is>
          <t>069080</t>
        </is>
      </c>
      <c r="D227" t="inlineStr">
        <is>
          <t>연결</t>
        </is>
      </c>
      <c r="E227" t="inlineStr">
        <is>
          <t>2026Q2</t>
        </is>
      </c>
      <c r="F227" s="2" t="n">
        <v>38009</v>
      </c>
      <c r="G227" t="n">
        <v>-3.5</v>
      </c>
      <c r="H227" t="n">
        <v>-2.8</v>
      </c>
      <c r="I227" s="2" t="n">
        <v>5657</v>
      </c>
      <c r="J227" t="n">
        <v>5.2</v>
      </c>
      <c r="K227" t="n">
        <v>-8.4</v>
      </c>
      <c r="L227" s="2" t="n">
        <v>6308</v>
      </c>
      <c r="M227" t="n">
        <v>-6.4</v>
      </c>
      <c r="N227" t="inlineStr">
        <is>
          <t>20260806900270</t>
        </is>
      </c>
      <c r="O227">
        <f>HYPERLINK("https://dart.fss.or.kr/dsaf001/main.do?rcpNo=20260806900270", "공시열람")</f>
        <v/>
      </c>
    </row>
    <row r="228">
      <c r="A228" t="inlineStr">
        <is>
          <t>2026-08-06</t>
        </is>
      </c>
      <c r="B228" t="inlineStr">
        <is>
          <t>이수앱지스</t>
        </is>
      </c>
      <c r="C228" t="inlineStr">
        <is>
          <t>086890</t>
        </is>
      </c>
      <c r="D228" t="inlineStr">
        <is>
          <t>별도</t>
        </is>
      </c>
      <c r="E228" t="inlineStr">
        <is>
          <t>2026Q2</t>
        </is>
      </c>
      <c r="F228" s="2" t="n">
        <v>14929</v>
      </c>
      <c r="G228" t="n">
        <v>57.9</v>
      </c>
      <c r="H228" t="n">
        <v>-34.6</v>
      </c>
      <c r="I228" s="2" t="n">
        <v>479</v>
      </c>
      <c r="J228" t="inlineStr"/>
      <c r="K228" t="n">
        <v>-94.90000000000001</v>
      </c>
      <c r="L228" s="2" t="n">
        <v>3170</v>
      </c>
      <c r="M228" t="n">
        <v>-65.7</v>
      </c>
      <c r="N228" t="inlineStr">
        <is>
          <t>20260806900236</t>
        </is>
      </c>
      <c r="O228">
        <f>HYPERLINK("https://dart.fss.or.kr/dsaf001/main.do?rcpNo=20260806900236", "공시열람")</f>
        <v/>
      </c>
    </row>
    <row r="229">
      <c r="A229" t="inlineStr">
        <is>
          <t>2026-08-06</t>
        </is>
      </c>
      <c r="B229" t="inlineStr">
        <is>
          <t>한국금융지주</t>
        </is>
      </c>
      <c r="C229" t="inlineStr">
        <is>
          <t>071050</t>
        </is>
      </c>
      <c r="D229" t="inlineStr">
        <is>
          <t>연결</t>
        </is>
      </c>
      <c r="E229" t="inlineStr">
        <is>
          <t>2026Q2</t>
        </is>
      </c>
      <c r="F229" s="2" t="n">
        <v>13553786</v>
      </c>
      <c r="G229" t="n">
        <v>12.98</v>
      </c>
      <c r="H229" t="n">
        <v>92.7</v>
      </c>
      <c r="I229" s="2" t="n">
        <v>1344173</v>
      </c>
      <c r="J229" t="n">
        <v>21.5</v>
      </c>
      <c r="K229" t="n">
        <v>129.56</v>
      </c>
      <c r="L229" s="2" t="n">
        <v>998385</v>
      </c>
      <c r="M229" t="n">
        <v>84.78</v>
      </c>
      <c r="N229" t="inlineStr">
        <is>
          <t>20260806800245</t>
        </is>
      </c>
      <c r="O229">
        <f>HYPERLINK("https://dart.fss.or.kr/dsaf001/main.do?rcpNo=20260806800245", "공시열람")</f>
        <v/>
      </c>
    </row>
    <row r="230">
      <c r="A230" t="inlineStr">
        <is>
          <t>2026-08-06</t>
        </is>
      </c>
      <c r="B230" t="inlineStr">
        <is>
          <t>한국금융지주</t>
        </is>
      </c>
      <c r="C230" t="inlineStr">
        <is>
          <t>071050</t>
        </is>
      </c>
      <c r="D230" t="inlineStr">
        <is>
          <t>연결</t>
        </is>
      </c>
      <c r="E230" t="inlineStr">
        <is>
          <t>2026Q2</t>
        </is>
      </c>
      <c r="F230" s="2" t="n">
        <v>12895631</v>
      </c>
      <c r="G230" t="n">
        <v>12.6</v>
      </c>
      <c r="H230" t="n">
        <v>94.66</v>
      </c>
      <c r="I230" s="2" t="n">
        <v>1210239</v>
      </c>
      <c r="J230" t="n">
        <v>26.08</v>
      </c>
      <c r="K230" t="n">
        <v>92.38</v>
      </c>
      <c r="L230" s="2" t="n">
        <v>946413</v>
      </c>
      <c r="M230" t="n">
        <v>64.02</v>
      </c>
      <c r="N230" t="inlineStr">
        <is>
          <t>20260806800244</t>
        </is>
      </c>
      <c r="O230">
        <f>HYPERLINK("https://dart.fss.or.kr/dsaf001/main.do?rcpNo=20260806800244", "공시열람")</f>
        <v/>
      </c>
    </row>
    <row r="231">
      <c r="A231" t="inlineStr">
        <is>
          <t>2026-08-06</t>
        </is>
      </c>
      <c r="B231" t="inlineStr">
        <is>
          <t>인바디</t>
        </is>
      </c>
      <c r="C231" t="inlineStr">
        <is>
          <t>041830</t>
        </is>
      </c>
      <c r="D231" t="inlineStr">
        <is>
          <t>연결</t>
        </is>
      </c>
      <c r="E231" t="inlineStr">
        <is>
          <t>2026Q2</t>
        </is>
      </c>
      <c r="F231" s="2" t="n">
        <v>73254</v>
      </c>
      <c r="G231" t="n">
        <v>7</v>
      </c>
      <c r="H231" t="n">
        <v>30.4</v>
      </c>
      <c r="I231" s="2" t="n">
        <v>17743</v>
      </c>
      <c r="J231" t="n">
        <v>36.2</v>
      </c>
      <c r="K231" t="n">
        <v>70.7</v>
      </c>
      <c r="L231" s="2" t="n">
        <v>14530</v>
      </c>
      <c r="M231" t="n">
        <v>96.40000000000001</v>
      </c>
      <c r="N231" t="inlineStr">
        <is>
          <t>20260806900125</t>
        </is>
      </c>
      <c r="O231">
        <f>HYPERLINK("https://dart.fss.or.kr/dsaf001/main.do?rcpNo=20260806900125", "공시열람")</f>
        <v/>
      </c>
    </row>
    <row r="232">
      <c r="A232" t="inlineStr">
        <is>
          <t>2026-08-06</t>
        </is>
      </c>
      <c r="B232" t="inlineStr">
        <is>
          <t>TYM</t>
        </is>
      </c>
      <c r="C232" t="inlineStr">
        <is>
          <t>002900</t>
        </is>
      </c>
      <c r="D232" t="inlineStr">
        <is>
          <t>연결</t>
        </is>
      </c>
      <c r="E232" t="inlineStr">
        <is>
          <t>2026Q2</t>
        </is>
      </c>
      <c r="F232" s="2" t="n">
        <v>262526</v>
      </c>
      <c r="G232" t="n">
        <v>-9.4</v>
      </c>
      <c r="H232" t="n">
        <v>0</v>
      </c>
      <c r="I232" s="2" t="n">
        <v>27599</v>
      </c>
      <c r="J232" t="n">
        <v>-21.2</v>
      </c>
      <c r="K232" t="n">
        <v>13.9</v>
      </c>
      <c r="L232" s="2" t="n">
        <v>26476</v>
      </c>
      <c r="M232" t="n">
        <v>110.8</v>
      </c>
      <c r="N232" t="inlineStr">
        <is>
          <t>20260806800037</t>
        </is>
      </c>
      <c r="O232">
        <f>HYPERLINK("https://dart.fss.or.kr/dsaf001/main.do?rcpNo=20260806800037", "공시열람")</f>
        <v/>
      </c>
    </row>
    <row r="233">
      <c r="A233" t="inlineStr">
        <is>
          <t>2026-08-06</t>
        </is>
      </c>
      <c r="B233" t="inlineStr">
        <is>
          <t>LG헬로비전</t>
        </is>
      </c>
      <c r="C233" t="inlineStr">
        <is>
          <t>037560</t>
        </is>
      </c>
      <c r="D233" t="inlineStr">
        <is>
          <t>연결</t>
        </is>
      </c>
      <c r="E233" t="inlineStr">
        <is>
          <t>2026Q2</t>
        </is>
      </c>
      <c r="F233" s="2" t="n">
        <v>243276</v>
      </c>
      <c r="G233" t="n">
        <v>-4.7</v>
      </c>
      <c r="H233" t="n">
        <v>-31.3</v>
      </c>
      <c r="I233" s="2" t="n">
        <v>2968</v>
      </c>
      <c r="J233" t="n">
        <v>-41.8</v>
      </c>
      <c r="K233" t="n">
        <v>-71.7</v>
      </c>
      <c r="L233" s="2" t="n">
        <v>1144</v>
      </c>
      <c r="M233" t="n">
        <v>-84.09999999999999</v>
      </c>
      <c r="N233" t="inlineStr">
        <is>
          <t>20260806800075</t>
        </is>
      </c>
      <c r="O233">
        <f>HYPERLINK("https://dart.fss.or.kr/dsaf001/main.do?rcpNo=20260806800075", "공시열람")</f>
        <v/>
      </c>
    </row>
    <row r="234">
      <c r="A234" t="inlineStr">
        <is>
          <t>2026-08-06</t>
        </is>
      </c>
      <c r="B234" t="inlineStr">
        <is>
          <t>LG유플러스</t>
        </is>
      </c>
      <c r="C234" t="inlineStr">
        <is>
          <t>032640</t>
        </is>
      </c>
      <c r="D234" t="inlineStr">
        <is>
          <t>연결</t>
        </is>
      </c>
      <c r="E234" t="inlineStr">
        <is>
          <t>2026Q2</t>
        </is>
      </c>
      <c r="F234" s="2" t="n">
        <v>3694900</v>
      </c>
      <c r="G234" t="n">
        <v>-2.9</v>
      </c>
      <c r="H234" t="n">
        <v>-3.9</v>
      </c>
      <c r="I234" s="2" t="n">
        <v>344500</v>
      </c>
      <c r="J234" t="n">
        <v>26.5</v>
      </c>
      <c r="K234" t="n">
        <v>13.1</v>
      </c>
      <c r="L234" s="2" t="n">
        <v>217700</v>
      </c>
      <c r="M234" t="n">
        <v>0.3</v>
      </c>
      <c r="N234" t="inlineStr">
        <is>
          <t>20260806800073</t>
        </is>
      </c>
      <c r="O234">
        <f>HYPERLINK("https://dart.fss.or.kr/dsaf001/main.do?rcpNo=20260806800073", "공시열람")</f>
        <v/>
      </c>
    </row>
    <row r="235">
      <c r="A235" t="inlineStr">
        <is>
          <t>2026-08-06</t>
        </is>
      </c>
      <c r="B235" t="inlineStr">
        <is>
          <t>LG유플러스</t>
        </is>
      </c>
      <c r="C235" t="inlineStr">
        <is>
          <t>032640</t>
        </is>
      </c>
      <c r="D235" t="inlineStr">
        <is>
          <t>별도</t>
        </is>
      </c>
      <c r="E235" t="inlineStr">
        <is>
          <t>2026Q2</t>
        </is>
      </c>
      <c r="F235" s="2" t="n">
        <v>3452300</v>
      </c>
      <c r="G235" t="n">
        <v>-2.7</v>
      </c>
      <c r="H235" t="n">
        <v>-1.3</v>
      </c>
      <c r="I235" s="2" t="n">
        <v>347000</v>
      </c>
      <c r="J235" t="n">
        <v>27.8</v>
      </c>
      <c r="K235" t="n">
        <v>11.7</v>
      </c>
      <c r="L235" s="2" t="n">
        <v>216400</v>
      </c>
      <c r="M235" t="n">
        <v>-3</v>
      </c>
      <c r="N235" t="inlineStr">
        <is>
          <t>20260806800069</t>
        </is>
      </c>
      <c r="O235">
        <f>HYPERLINK("https://dart.fss.or.kr/dsaf001/main.do?rcpNo=20260806800069", "공시열람")</f>
        <v/>
      </c>
    </row>
    <row r="236">
      <c r="A236" t="inlineStr">
        <is>
          <t>2026-08-06</t>
        </is>
      </c>
      <c r="B236" t="inlineStr">
        <is>
          <t>롯데에너지머티리얼즈</t>
        </is>
      </c>
      <c r="C236" t="inlineStr">
        <is>
          <t>020150</t>
        </is>
      </c>
      <c r="D236" t="inlineStr">
        <is>
          <t>연결</t>
        </is>
      </c>
      <c r="E236" t="inlineStr">
        <is>
          <t>2026Q2</t>
        </is>
      </c>
      <c r="F236" s="2" t="n">
        <v>194200</v>
      </c>
      <c r="G236" t="n">
        <v>21.5</v>
      </c>
      <c r="H236" t="n">
        <v>-5.2</v>
      </c>
      <c r="I236" s="2" t="n">
        <v>-16900</v>
      </c>
      <c r="J236" t="n">
        <v>-239.3</v>
      </c>
      <c r="K236" t="n">
        <v>45.7</v>
      </c>
      <c r="L236" s="2" t="n">
        <v>-18800</v>
      </c>
      <c r="M236" t="n">
        <v>63.4</v>
      </c>
      <c r="N236" t="inlineStr">
        <is>
          <t>20260806800043</t>
        </is>
      </c>
      <c r="O236">
        <f>HYPERLINK("https://dart.fss.or.kr/dsaf001/main.do?rcpNo=20260806800043", "공시열람")</f>
        <v/>
      </c>
    </row>
    <row r="237">
      <c r="A237" t="inlineStr">
        <is>
          <t>2026-08-06</t>
        </is>
      </c>
      <c r="B237" t="inlineStr">
        <is>
          <t>카카오</t>
        </is>
      </c>
      <c r="C237" t="inlineStr">
        <is>
          <t>035720</t>
        </is>
      </c>
      <c r="D237" t="inlineStr">
        <is>
          <t>연결</t>
        </is>
      </c>
      <c r="E237" t="inlineStr">
        <is>
          <t>2026Q2</t>
        </is>
      </c>
      <c r="F237" s="2" t="n">
        <v>2098456</v>
      </c>
      <c r="G237" t="n">
        <v>8.1</v>
      </c>
      <c r="H237" t="n">
        <v>3.5</v>
      </c>
      <c r="I237" s="2" t="n">
        <v>277016</v>
      </c>
      <c r="J237" t="n">
        <v>31</v>
      </c>
      <c r="K237" t="n">
        <v>49</v>
      </c>
      <c r="L237" s="2" t="n">
        <v>17980</v>
      </c>
      <c r="M237" t="n">
        <v>-89.5</v>
      </c>
      <c r="N237" t="inlineStr">
        <is>
          <t>20260806800010</t>
        </is>
      </c>
      <c r="O237">
        <f>HYPERLINK("https://dart.fss.or.kr/dsaf001/main.do?rcpNo=20260806800010", "공시열람")</f>
        <v/>
      </c>
    </row>
    <row r="238">
      <c r="A238" t="inlineStr">
        <is>
          <t>2026-08-06</t>
        </is>
      </c>
      <c r="B238" t="inlineStr">
        <is>
          <t>카카오</t>
        </is>
      </c>
      <c r="C238" t="inlineStr">
        <is>
          <t>035720</t>
        </is>
      </c>
      <c r="D238" t="inlineStr">
        <is>
          <t>별도</t>
        </is>
      </c>
      <c r="E238" t="inlineStr">
        <is>
          <t>2026Q2</t>
        </is>
      </c>
      <c r="F238" s="2" t="n">
        <v>713948</v>
      </c>
      <c r="G238" t="n">
        <v>1.9</v>
      </c>
      <c r="H238" t="n">
        <v>9.1</v>
      </c>
      <c r="I238" s="2" t="n">
        <v>126197</v>
      </c>
      <c r="J238" t="n">
        <v>5.8</v>
      </c>
      <c r="K238" t="n">
        <v>17</v>
      </c>
      <c r="L238" s="2" t="n">
        <v>318429</v>
      </c>
      <c r="M238" t="n">
        <v>1757.1</v>
      </c>
      <c r="N238" t="inlineStr">
        <is>
          <t>20260806800011</t>
        </is>
      </c>
      <c r="O238">
        <f>HYPERLINK("https://dart.fss.or.kr/dsaf001/main.do?rcpNo=20260806800011", "공시열람")</f>
        <v/>
      </c>
    </row>
    <row r="239">
      <c r="A239" t="inlineStr">
        <is>
          <t>2026-08-06</t>
        </is>
      </c>
      <c r="B239" t="inlineStr">
        <is>
          <t>헥토파이낸셜</t>
        </is>
      </c>
      <c r="C239" t="inlineStr">
        <is>
          <t>234340</t>
        </is>
      </c>
      <c r="D239" t="inlineStr">
        <is>
          <t>연결</t>
        </is>
      </c>
      <c r="E239" t="inlineStr">
        <is>
          <t>2026Q2</t>
        </is>
      </c>
      <c r="F239" s="2" t="n">
        <v>50137</v>
      </c>
      <c r="G239" t="n">
        <v>-12.8</v>
      </c>
      <c r="H239" t="n">
        <v>12.6</v>
      </c>
      <c r="I239" s="2" t="n">
        <v>4609</v>
      </c>
      <c r="J239" t="n">
        <v>-49.6</v>
      </c>
      <c r="K239" t="n">
        <v>20.2</v>
      </c>
      <c r="L239" s="2" t="n">
        <v>4220</v>
      </c>
      <c r="M239" t="n">
        <v>53.5</v>
      </c>
      <c r="N239" t="inlineStr">
        <is>
          <t>20260806900072</t>
        </is>
      </c>
      <c r="O239">
        <f>HYPERLINK("https://dart.fss.or.kr/dsaf001/main.do?rcpNo=20260806900072", "공시열람")</f>
        <v/>
      </c>
    </row>
    <row r="240">
      <c r="A240" t="inlineStr">
        <is>
          <t>2026-08-05</t>
        </is>
      </c>
      <c r="B240" t="inlineStr">
        <is>
          <t>LS마린솔루션</t>
        </is>
      </c>
      <c r="C240" t="inlineStr">
        <is>
          <t>060370</t>
        </is>
      </c>
      <c r="D240" t="inlineStr">
        <is>
          <t>연결</t>
        </is>
      </c>
      <c r="E240" t="inlineStr">
        <is>
          <t>2026Q2</t>
        </is>
      </c>
      <c r="F240" s="2" t="n">
        <v>95440</v>
      </c>
      <c r="G240" t="n">
        <v>80.8</v>
      </c>
      <c r="H240" t="n">
        <v>42.5</v>
      </c>
      <c r="I240" s="2" t="n">
        <v>6122</v>
      </c>
      <c r="J240" t="n">
        <v>45.2</v>
      </c>
      <c r="K240" t="n">
        <v>79.2</v>
      </c>
      <c r="L240" s="2" t="n">
        <v>6976</v>
      </c>
      <c r="M240" t="n">
        <v>382.2</v>
      </c>
      <c r="N240" t="inlineStr">
        <is>
          <t>20260805900111</t>
        </is>
      </c>
      <c r="O240">
        <f>HYPERLINK("https://dart.fss.or.kr/dsaf001/main.do?rcpNo=20260805900111", "공시열람")</f>
        <v/>
      </c>
    </row>
    <row r="241">
      <c r="A241" t="inlineStr">
        <is>
          <t>2026-08-05</t>
        </is>
      </c>
      <c r="B241" t="inlineStr">
        <is>
          <t>와이엠씨</t>
        </is>
      </c>
      <c r="C241" t="inlineStr">
        <is>
          <t>155650</t>
        </is>
      </c>
      <c r="D241" t="inlineStr">
        <is>
          <t>연결</t>
        </is>
      </c>
      <c r="E241" t="inlineStr">
        <is>
          <t>2026Q2</t>
        </is>
      </c>
      <c r="F241" s="2" t="n">
        <v>53408</v>
      </c>
      <c r="G241" t="n">
        <v>13.4</v>
      </c>
      <c r="H241" t="n">
        <v>23.5</v>
      </c>
      <c r="I241" s="2" t="n">
        <v>2788</v>
      </c>
      <c r="J241" t="n">
        <v>153.4</v>
      </c>
      <c r="K241" t="n">
        <v>12.3</v>
      </c>
      <c r="L241" s="2" t="n">
        <v>2325</v>
      </c>
      <c r="M241" t="n">
        <v>356.9</v>
      </c>
      <c r="N241" t="inlineStr">
        <is>
          <t>20260805900146</t>
        </is>
      </c>
      <c r="O241">
        <f>HYPERLINK("https://dart.fss.or.kr/dsaf001/main.do?rcpNo=20260805900146", "공시열람")</f>
        <v/>
      </c>
    </row>
    <row r="242">
      <c r="A242" t="inlineStr">
        <is>
          <t>2026-08-05</t>
        </is>
      </c>
      <c r="B242" t="inlineStr">
        <is>
          <t>샘씨엔에스</t>
        </is>
      </c>
      <c r="C242" t="inlineStr">
        <is>
          <t>252990</t>
        </is>
      </c>
      <c r="D242" t="inlineStr">
        <is>
          <t>별도</t>
        </is>
      </c>
      <c r="E242" t="inlineStr">
        <is>
          <t>2026Q2</t>
        </is>
      </c>
      <c r="F242" s="2" t="n">
        <v>31265</v>
      </c>
      <c r="G242" t="n">
        <v>15.1</v>
      </c>
      <c r="H242" t="n">
        <v>67.09999999999999</v>
      </c>
      <c r="I242" s="2" t="n">
        <v>9529</v>
      </c>
      <c r="J242" t="n">
        <v>24.1</v>
      </c>
      <c r="K242" t="n">
        <v>175.9</v>
      </c>
      <c r="L242" s="2" t="n">
        <v>11265</v>
      </c>
      <c r="M242" t="n">
        <v>250.4</v>
      </c>
      <c r="N242" t="inlineStr">
        <is>
          <t>20260805900145</t>
        </is>
      </c>
      <c r="O242">
        <f>HYPERLINK("https://dart.fss.or.kr/dsaf001/main.do?rcpNo=20260805900145", "공시열람")</f>
        <v/>
      </c>
    </row>
    <row r="243">
      <c r="A243" t="inlineStr">
        <is>
          <t>2026-08-05</t>
        </is>
      </c>
      <c r="B243" t="inlineStr">
        <is>
          <t>에스케이바이오팜</t>
        </is>
      </c>
      <c r="C243" t="inlineStr">
        <is>
          <t>326030</t>
        </is>
      </c>
      <c r="D243" t="inlineStr">
        <is>
          <t>연결</t>
        </is>
      </c>
      <c r="E243" t="inlineStr">
        <is>
          <t>2026Q2</t>
        </is>
      </c>
      <c r="F243" s="2" t="n">
        <v>247367</v>
      </c>
      <c r="G243" t="n">
        <v>8.5</v>
      </c>
      <c r="H243" t="n">
        <v>40.3</v>
      </c>
      <c r="I243" s="2" t="n">
        <v>97064</v>
      </c>
      <c r="J243" t="n">
        <v>8.1</v>
      </c>
      <c r="K243" t="n">
        <v>56.9</v>
      </c>
      <c r="L243" s="2" t="n">
        <v>85065</v>
      </c>
      <c r="M243" t="n">
        <v>188.1</v>
      </c>
      <c r="N243" t="inlineStr">
        <is>
          <t>20260805800117</t>
        </is>
      </c>
      <c r="O243">
        <f>HYPERLINK("https://dart.fss.or.kr/dsaf001/main.do?rcpNo=20260805800117", "공시열람")</f>
        <v/>
      </c>
    </row>
    <row r="244">
      <c r="A244" t="inlineStr">
        <is>
          <t>2026-08-05</t>
        </is>
      </c>
      <c r="B244" t="inlineStr">
        <is>
          <t>KG파이낸셜</t>
        </is>
      </c>
      <c r="C244" t="inlineStr">
        <is>
          <t>046440</t>
        </is>
      </c>
      <c r="D244" t="inlineStr">
        <is>
          <t>연결</t>
        </is>
      </c>
      <c r="E244" t="inlineStr">
        <is>
          <t>2026Q2</t>
        </is>
      </c>
      <c r="F244" s="2" t="n">
        <v>62245</v>
      </c>
      <c r="G244" t="n">
        <v>-0.49</v>
      </c>
      <c r="H244" t="n">
        <v>10.8</v>
      </c>
      <c r="I244" s="2" t="n">
        <v>8814</v>
      </c>
      <c r="J244" t="n">
        <v>25.7</v>
      </c>
      <c r="K244" t="n">
        <v>17.76</v>
      </c>
      <c r="L244" s="2" t="n">
        <v>6718</v>
      </c>
      <c r="M244" t="n">
        <v>48.17</v>
      </c>
      <c r="N244" t="inlineStr">
        <is>
          <t>20260805900114</t>
        </is>
      </c>
      <c r="O244">
        <f>HYPERLINK("https://dart.fss.or.kr/dsaf001/main.do?rcpNo=20260805900114", "공시열람")</f>
        <v/>
      </c>
    </row>
    <row r="245">
      <c r="A245" t="inlineStr">
        <is>
          <t>2026-08-05</t>
        </is>
      </c>
      <c r="B245" t="inlineStr">
        <is>
          <t>넷마블</t>
        </is>
      </c>
      <c r="C245" t="inlineStr">
        <is>
          <t>251270</t>
        </is>
      </c>
      <c r="D245" t="inlineStr">
        <is>
          <t>연결</t>
        </is>
      </c>
      <c r="E245" t="inlineStr">
        <is>
          <t>2026Q2</t>
        </is>
      </c>
      <c r="F245" s="2" t="n">
        <v>749200</v>
      </c>
      <c r="G245" t="n">
        <v>15</v>
      </c>
      <c r="H245" t="n">
        <v>4.4</v>
      </c>
      <c r="I245" s="2" t="n">
        <v>80100</v>
      </c>
      <c r="J245" t="n">
        <v>50.8</v>
      </c>
      <c r="K245" t="n">
        <v>-20.8</v>
      </c>
      <c r="L245" s="2" t="n">
        <v>203900</v>
      </c>
      <c r="M245" t="n">
        <v>27.3</v>
      </c>
      <c r="N245" t="inlineStr">
        <is>
          <t>20260805800477</t>
        </is>
      </c>
      <c r="O245">
        <f>HYPERLINK("https://dart.fss.or.kr/dsaf001/main.do?rcpNo=20260805800477", "공시열람")</f>
        <v/>
      </c>
    </row>
    <row r="246">
      <c r="A246" t="inlineStr">
        <is>
          <t>2026-08-05</t>
        </is>
      </c>
      <c r="B246" t="inlineStr">
        <is>
          <t>SK텔레콤</t>
        </is>
      </c>
      <c r="C246" t="inlineStr">
        <is>
          <t>017670</t>
        </is>
      </c>
      <c r="D246" t="inlineStr">
        <is>
          <t>별도</t>
        </is>
      </c>
      <c r="E246" t="inlineStr">
        <is>
          <t>2026Q2</t>
        </is>
      </c>
      <c r="F246" s="2" t="n">
        <v>3117000</v>
      </c>
      <c r="G246" t="n">
        <v>0.36</v>
      </c>
      <c r="H246" t="n">
        <v>-0.58</v>
      </c>
      <c r="I246" s="2" t="n">
        <v>427700</v>
      </c>
      <c r="J246" t="n">
        <v>4.45</v>
      </c>
      <c r="K246" t="n">
        <v>70.48</v>
      </c>
      <c r="L246" s="2" t="n">
        <v>310600</v>
      </c>
      <c r="M246" t="n">
        <v>742.1900000000001</v>
      </c>
      <c r="N246" t="inlineStr">
        <is>
          <t>20260805800075</t>
        </is>
      </c>
      <c r="O246">
        <f>HYPERLINK("https://dart.fss.or.kr/dsaf001/main.do?rcpNo=20260805800075", "공시열람")</f>
        <v/>
      </c>
    </row>
    <row r="247">
      <c r="A247" t="inlineStr">
        <is>
          <t>2026-08-05</t>
        </is>
      </c>
      <c r="B247" t="inlineStr">
        <is>
          <t>골드앤에스</t>
        </is>
      </c>
      <c r="C247" t="inlineStr">
        <is>
          <t>035290</t>
        </is>
      </c>
      <c r="D247" t="inlineStr">
        <is>
          <t>별도</t>
        </is>
      </c>
      <c r="E247" t="inlineStr">
        <is>
          <t>2026Q2</t>
        </is>
      </c>
      <c r="F247" s="2" t="n">
        <v>5766</v>
      </c>
      <c r="G247" t="n">
        <v>-24.7</v>
      </c>
      <c r="H247" t="n">
        <v>173.6</v>
      </c>
      <c r="I247" s="2" t="n">
        <v>249</v>
      </c>
      <c r="J247" t="n">
        <v>-61.9</v>
      </c>
      <c r="K247" t="inlineStr"/>
      <c r="L247" s="2" t="n">
        <v>1280</v>
      </c>
      <c r="M247" t="inlineStr"/>
      <c r="N247" t="inlineStr">
        <is>
          <t>20260805900106</t>
        </is>
      </c>
      <c r="O247">
        <f>HYPERLINK("https://dart.fss.or.kr/dsaf001/main.do?rcpNo=20260805900106", "공시열람")</f>
        <v/>
      </c>
    </row>
    <row r="248">
      <c r="A248" t="inlineStr">
        <is>
          <t>2026-08-05</t>
        </is>
      </c>
      <c r="B248" t="inlineStr">
        <is>
          <t>에이피알</t>
        </is>
      </c>
      <c r="C248" t="inlineStr">
        <is>
          <t>278470</t>
        </is>
      </c>
      <c r="D248" t="inlineStr">
        <is>
          <t>연결</t>
        </is>
      </c>
      <c r="E248" t="inlineStr">
        <is>
          <t>2026Q2</t>
        </is>
      </c>
      <c r="F248" s="2" t="n">
        <v>767533</v>
      </c>
      <c r="G248" t="n">
        <v>29.4</v>
      </c>
      <c r="H248" t="n">
        <v>134.2</v>
      </c>
      <c r="I248" s="2" t="n">
        <v>190553</v>
      </c>
      <c r="J248" t="n">
        <v>25.1</v>
      </c>
      <c r="K248" t="n">
        <v>134.5</v>
      </c>
      <c r="L248" s="2" t="n">
        <v>141530</v>
      </c>
      <c r="M248" t="n">
        <v>113.4</v>
      </c>
      <c r="N248" t="inlineStr">
        <is>
          <t>20260805800100</t>
        </is>
      </c>
      <c r="O248">
        <f>HYPERLINK("https://dart.fss.or.kr/dsaf001/main.do?rcpNo=20260805800100", "공시열람")</f>
        <v/>
      </c>
    </row>
    <row r="249">
      <c r="A249" t="inlineStr">
        <is>
          <t>2026-08-05</t>
        </is>
      </c>
      <c r="B249" t="inlineStr">
        <is>
          <t>LS에코에너지</t>
        </is>
      </c>
      <c r="C249" t="inlineStr">
        <is>
          <t>229640</t>
        </is>
      </c>
      <c r="D249" t="inlineStr">
        <is>
          <t>연결</t>
        </is>
      </c>
      <c r="E249" t="inlineStr">
        <is>
          <t>2026Q2</t>
        </is>
      </c>
      <c r="F249" s="2" t="n">
        <v>350271</v>
      </c>
      <c r="G249" t="n">
        <v>22.7</v>
      </c>
      <c r="H249" t="n">
        <v>40</v>
      </c>
      <c r="I249" s="2" t="n">
        <v>25256</v>
      </c>
      <c r="J249" t="n">
        <v>25.6</v>
      </c>
      <c r="K249" t="n">
        <v>7</v>
      </c>
      <c r="L249" s="2" t="n">
        <v>19138</v>
      </c>
      <c r="M249" t="n">
        <v>5.3</v>
      </c>
      <c r="N249" t="inlineStr">
        <is>
          <t>20260805800223</t>
        </is>
      </c>
      <c r="O249">
        <f>HYPERLINK("https://dart.fss.or.kr/dsaf001/main.do?rcpNo=20260805800223", "공시열람")</f>
        <v/>
      </c>
    </row>
    <row r="250">
      <c r="A250" t="inlineStr">
        <is>
          <t>2026-08-05</t>
        </is>
      </c>
      <c r="B250" t="inlineStr">
        <is>
          <t>심텍</t>
        </is>
      </c>
      <c r="C250" t="inlineStr">
        <is>
          <t>222800</t>
        </is>
      </c>
      <c r="D250" t="inlineStr">
        <is>
          <t>연결</t>
        </is>
      </c>
      <c r="E250" t="inlineStr">
        <is>
          <t>2026Q2</t>
        </is>
      </c>
      <c r="F250" s="2" t="n">
        <v>514565</v>
      </c>
      <c r="G250" t="n">
        <v>21.8</v>
      </c>
      <c r="H250" t="n">
        <v>51</v>
      </c>
      <c r="I250" s="2" t="n">
        <v>62890</v>
      </c>
      <c r="J250" t="n">
        <v>358.7</v>
      </c>
      <c r="K250" t="n">
        <v>1034.4</v>
      </c>
      <c r="L250" s="2" t="n">
        <v>44945</v>
      </c>
      <c r="M250" t="inlineStr"/>
      <c r="N250" t="inlineStr">
        <is>
          <t>20260805900457</t>
        </is>
      </c>
      <c r="O250">
        <f>HYPERLINK("https://dart.fss.or.kr/dsaf001/main.do?rcpNo=20260805900457", "공시열람")</f>
        <v/>
      </c>
    </row>
    <row r="251">
      <c r="A251" t="inlineStr">
        <is>
          <t>2026-08-05</t>
        </is>
      </c>
      <c r="B251" t="inlineStr">
        <is>
          <t>고려아연</t>
        </is>
      </c>
      <c r="C251" t="inlineStr">
        <is>
          <t>010130</t>
        </is>
      </c>
      <c r="D251" t="inlineStr">
        <is>
          <t>별도</t>
        </is>
      </c>
      <c r="E251" t="inlineStr">
        <is>
          <t>2026Q2</t>
        </is>
      </c>
      <c r="F251" s="2" t="n">
        <v>4045876</v>
      </c>
      <c r="G251" t="n">
        <v>-5.8</v>
      </c>
      <c r="H251" t="n">
        <v>64.40000000000001</v>
      </c>
      <c r="I251" s="2" t="n">
        <v>589013</v>
      </c>
      <c r="J251" t="n">
        <v>-15</v>
      </c>
      <c r="K251" t="n">
        <v>121</v>
      </c>
      <c r="L251" s="2" t="n">
        <v>427385</v>
      </c>
      <c r="M251" t="n">
        <v>30.3</v>
      </c>
      <c r="N251" t="inlineStr">
        <is>
          <t>20260805800512</t>
        </is>
      </c>
      <c r="O251">
        <f>HYPERLINK("https://dart.fss.or.kr/dsaf001/main.do?rcpNo=20260805800512", "공시열람")</f>
        <v/>
      </c>
    </row>
    <row r="252">
      <c r="A252" t="inlineStr">
        <is>
          <t>2026-08-05</t>
        </is>
      </c>
      <c r="B252" t="inlineStr">
        <is>
          <t>고려아연</t>
        </is>
      </c>
      <c r="C252" t="inlineStr">
        <is>
          <t>010130</t>
        </is>
      </c>
      <c r="D252" t="inlineStr">
        <is>
          <t>연결</t>
        </is>
      </c>
      <c r="E252" t="inlineStr">
        <is>
          <t>2026Q2</t>
        </is>
      </c>
      <c r="F252" s="2" t="n">
        <v>6372601</v>
      </c>
      <c r="G252" t="n">
        <v>5</v>
      </c>
      <c r="H252" t="n">
        <v>66.59999999999999</v>
      </c>
      <c r="I252" s="2" t="n">
        <v>587113</v>
      </c>
      <c r="J252" t="n">
        <v>-21.3</v>
      </c>
      <c r="K252" t="n">
        <v>126.8</v>
      </c>
      <c r="L252" s="2" t="n">
        <v>351539</v>
      </c>
      <c r="M252" t="n">
        <v>6.6</v>
      </c>
      <c r="N252" t="inlineStr">
        <is>
          <t>20260805800529</t>
        </is>
      </c>
      <c r="O252">
        <f>HYPERLINK("https://dart.fss.or.kr/dsaf001/main.do?rcpNo=20260805800529", "공시열람")</f>
        <v/>
      </c>
    </row>
    <row r="253">
      <c r="A253" t="inlineStr">
        <is>
          <t>2026-08-05</t>
        </is>
      </c>
      <c r="B253" t="inlineStr">
        <is>
          <t>케이씨씨글라스</t>
        </is>
      </c>
      <c r="C253" t="inlineStr">
        <is>
          <t>344820</t>
        </is>
      </c>
      <c r="D253" t="inlineStr">
        <is>
          <t>연결</t>
        </is>
      </c>
      <c r="E253" t="inlineStr">
        <is>
          <t>2026Q2</t>
        </is>
      </c>
      <c r="F253" s="2" t="n">
        <v>577146</v>
      </c>
      <c r="G253" t="n">
        <v>23.7</v>
      </c>
      <c r="H253" t="n">
        <v>12.5</v>
      </c>
      <c r="I253" s="2" t="n">
        <v>4811</v>
      </c>
      <c r="J253" t="inlineStr"/>
      <c r="K253" t="inlineStr"/>
      <c r="L253" s="2" t="n">
        <v>-11815</v>
      </c>
      <c r="M253" t="n">
        <v>66.59999999999999</v>
      </c>
      <c r="N253" t="inlineStr">
        <is>
          <t>20260805800544</t>
        </is>
      </c>
      <c r="O253">
        <f>HYPERLINK("https://dart.fss.or.kr/dsaf001/main.do?rcpNo=20260805800544", "공시열람")</f>
        <v/>
      </c>
    </row>
    <row r="254">
      <c r="A254" t="inlineStr">
        <is>
          <t>2026-08-05</t>
        </is>
      </c>
      <c r="B254" t="inlineStr">
        <is>
          <t>동원수산</t>
        </is>
      </c>
      <c r="C254" t="inlineStr">
        <is>
          <t>030720</t>
        </is>
      </c>
      <c r="D254" t="inlineStr">
        <is>
          <t>연결</t>
        </is>
      </c>
      <c r="E254" t="inlineStr">
        <is>
          <t>2026Q2</t>
        </is>
      </c>
      <c r="F254" s="2" t="n">
        <v>50044</v>
      </c>
      <c r="G254" t="n">
        <v>25.7</v>
      </c>
      <c r="H254" t="n">
        <v>-4.3</v>
      </c>
      <c r="I254" s="2" t="n">
        <v>4500</v>
      </c>
      <c r="J254" t="n">
        <v>23.8</v>
      </c>
      <c r="K254" t="n">
        <v>15.2</v>
      </c>
      <c r="L254" s="2" t="n">
        <v>4261</v>
      </c>
      <c r="M254" t="n">
        <v>52.7</v>
      </c>
      <c r="N254" t="inlineStr">
        <is>
          <t>20260805800148</t>
        </is>
      </c>
      <c r="O254">
        <f>HYPERLINK("https://dart.fss.or.kr/dsaf001/main.do?rcpNo=20260805800148", "공시열람")</f>
        <v/>
      </c>
    </row>
    <row r="255">
      <c r="A255" t="inlineStr">
        <is>
          <t>2026-08-05</t>
        </is>
      </c>
      <c r="B255" t="inlineStr">
        <is>
          <t>티플랙스</t>
        </is>
      </c>
      <c r="C255" t="inlineStr">
        <is>
          <t>081150</t>
        </is>
      </c>
      <c r="D255" t="inlineStr">
        <is>
          <t>별도</t>
        </is>
      </c>
      <c r="E255" t="inlineStr">
        <is>
          <t>2026Q2</t>
        </is>
      </c>
      <c r="F255" s="2" t="n">
        <v>71479</v>
      </c>
      <c r="G255" t="n">
        <v>11.78</v>
      </c>
      <c r="H255" t="n">
        <v>33.18</v>
      </c>
      <c r="I255" s="2" t="n">
        <v>2155</v>
      </c>
      <c r="J255" t="n">
        <v>-8.73</v>
      </c>
      <c r="K255" t="n">
        <v>36.13</v>
      </c>
      <c r="L255" s="2" t="n">
        <v>682</v>
      </c>
      <c r="M255" t="n">
        <v>-41.45</v>
      </c>
      <c r="N255" t="inlineStr">
        <is>
          <t>20260805900248</t>
        </is>
      </c>
      <c r="O255">
        <f>HYPERLINK("https://dart.fss.or.kr/dsaf001/main.do?rcpNo=20260805900248", "공시열람")</f>
        <v/>
      </c>
    </row>
    <row r="256">
      <c r="A256" t="inlineStr">
        <is>
          <t>2026-08-05</t>
        </is>
      </c>
      <c r="B256" t="inlineStr">
        <is>
          <t>토박스코리아</t>
        </is>
      </c>
      <c r="C256" t="inlineStr">
        <is>
          <t>215480</t>
        </is>
      </c>
      <c r="D256" t="inlineStr">
        <is>
          <t>연결</t>
        </is>
      </c>
      <c r="E256" t="inlineStr">
        <is>
          <t>2026Q2</t>
        </is>
      </c>
      <c r="F256" s="2" t="n">
        <v>13220</v>
      </c>
      <c r="G256" t="n">
        <v>33.5</v>
      </c>
      <c r="H256" t="n">
        <v>5.6</v>
      </c>
      <c r="I256" s="2" t="n">
        <v>1168</v>
      </c>
      <c r="J256" t="n">
        <v>40</v>
      </c>
      <c r="K256" t="n">
        <v>13.5</v>
      </c>
      <c r="L256" s="2" t="n">
        <v>962</v>
      </c>
      <c r="M256" t="n">
        <v>30</v>
      </c>
      <c r="N256" t="inlineStr">
        <is>
          <t>20260805900216</t>
        </is>
      </c>
      <c r="O256">
        <f>HYPERLINK("https://dart.fss.or.kr/dsaf001/main.do?rcpNo=20260805900216", "공시열람")</f>
        <v/>
      </c>
    </row>
    <row r="257">
      <c r="A257" t="inlineStr">
        <is>
          <t>2026-08-05</t>
        </is>
      </c>
      <c r="B257" t="inlineStr">
        <is>
          <t>KG이니시스</t>
        </is>
      </c>
      <c r="C257" t="inlineStr">
        <is>
          <t>035600</t>
        </is>
      </c>
      <c r="D257" t="inlineStr">
        <is>
          <t>연결</t>
        </is>
      </c>
      <c r="E257" t="inlineStr">
        <is>
          <t>2026Q2</t>
        </is>
      </c>
      <c r="F257" s="2" t="n">
        <v>371847</v>
      </c>
      <c r="G257" t="n">
        <v>-2.6</v>
      </c>
      <c r="H257" t="n">
        <v>15</v>
      </c>
      <c r="I257" s="2" t="n">
        <v>28611</v>
      </c>
      <c r="J257" t="n">
        <v>12.4</v>
      </c>
      <c r="K257" t="n">
        <v>15.1</v>
      </c>
      <c r="L257" s="2" t="n">
        <v>19682</v>
      </c>
      <c r="M257" t="n">
        <v>18.9</v>
      </c>
      <c r="N257" t="inlineStr">
        <is>
          <t>20260805900240</t>
        </is>
      </c>
      <c r="O257">
        <f>HYPERLINK("https://dart.fss.or.kr/dsaf001/main.do?rcpNo=20260805900240", "공시열람")</f>
        <v/>
      </c>
    </row>
    <row r="258">
      <c r="A258" t="inlineStr">
        <is>
          <t>2026-08-05</t>
        </is>
      </c>
      <c r="B258" t="inlineStr">
        <is>
          <t>남성</t>
        </is>
      </c>
      <c r="C258" t="inlineStr">
        <is>
          <t>004270</t>
        </is>
      </c>
      <c r="D258" t="inlineStr">
        <is>
          <t>연결</t>
        </is>
      </c>
      <c r="E258" t="inlineStr">
        <is>
          <t>2026Q2</t>
        </is>
      </c>
      <c r="F258" s="2" t="n">
        <v>21617</v>
      </c>
      <c r="G258" t="n">
        <v>16.9</v>
      </c>
      <c r="H258" t="n">
        <v>15.5</v>
      </c>
      <c r="I258" s="2" t="n">
        <v>3290</v>
      </c>
      <c r="J258" t="n">
        <v>186.6</v>
      </c>
      <c r="K258" t="n">
        <v>720.4</v>
      </c>
      <c r="L258" s="2" t="n">
        <v>3084</v>
      </c>
      <c r="M258" t="inlineStr"/>
      <c r="N258" t="inlineStr">
        <is>
          <t>20260805800253</t>
        </is>
      </c>
      <c r="O258">
        <f>HYPERLINK("https://dart.fss.or.kr/dsaf001/main.do?rcpNo=20260805800253", "공시열람")</f>
        <v/>
      </c>
    </row>
    <row r="259">
      <c r="A259" t="inlineStr">
        <is>
          <t>2026-08-05</t>
        </is>
      </c>
      <c r="B259" t="inlineStr">
        <is>
          <t>아로마티카</t>
        </is>
      </c>
      <c r="C259" t="inlineStr">
        <is>
          <t>0015N0</t>
        </is>
      </c>
      <c r="D259" t="inlineStr">
        <is>
          <t>연결</t>
        </is>
      </c>
      <c r="E259" t="inlineStr">
        <is>
          <t>2026Q1</t>
        </is>
      </c>
      <c r="F259" s="2" t="n">
        <v>17743</v>
      </c>
      <c r="G259" t="n">
        <v>26.7</v>
      </c>
      <c r="H259" t="n">
        <v>38.8</v>
      </c>
      <c r="I259" s="2" t="n">
        <v>2246</v>
      </c>
      <c r="J259" t="n">
        <v>68.2</v>
      </c>
      <c r="K259" t="n">
        <v>102.7</v>
      </c>
      <c r="L259" s="2" t="n">
        <v>1755</v>
      </c>
      <c r="M259" t="n">
        <v>103.4</v>
      </c>
      <c r="N259" t="inlineStr">
        <is>
          <t>20260805900251</t>
        </is>
      </c>
      <c r="O259">
        <f>HYPERLINK("https://dart.fss.or.kr/dsaf001/main.do?rcpNo=20260805900251", "공시열람")</f>
        <v/>
      </c>
    </row>
    <row r="260">
      <c r="A260" t="inlineStr">
        <is>
          <t>2026-08-05</t>
        </is>
      </c>
      <c r="B260" t="inlineStr">
        <is>
          <t>중앙백신</t>
        </is>
      </c>
      <c r="C260" t="inlineStr">
        <is>
          <t>072020</t>
        </is>
      </c>
      <c r="D260" t="inlineStr">
        <is>
          <t>별도</t>
        </is>
      </c>
      <c r="E260" t="inlineStr">
        <is>
          <t>2026Q2</t>
        </is>
      </c>
      <c r="F260" s="2" t="n">
        <v>11901</v>
      </c>
      <c r="G260" t="n">
        <v>-5.5</v>
      </c>
      <c r="H260" t="n">
        <v>-1.2</v>
      </c>
      <c r="I260" s="2" t="n">
        <v>1143</v>
      </c>
      <c r="J260" t="n">
        <v>-61.8</v>
      </c>
      <c r="K260" t="n">
        <v>-23.8</v>
      </c>
      <c r="L260" s="2" t="n">
        <v>1289</v>
      </c>
      <c r="M260" t="n">
        <v>90.40000000000001</v>
      </c>
      <c r="N260" t="inlineStr">
        <is>
          <t>20260805900274</t>
        </is>
      </c>
      <c r="O260">
        <f>HYPERLINK("https://dart.fss.or.kr/dsaf001/main.do?rcpNo=20260805900274", "공시열람")</f>
        <v/>
      </c>
    </row>
    <row r="261">
      <c r="A261" t="inlineStr">
        <is>
          <t>2026-08-05</t>
        </is>
      </c>
      <c r="B261" t="inlineStr">
        <is>
          <t>케이씨씨</t>
        </is>
      </c>
      <c r="C261" t="inlineStr">
        <is>
          <t>002380</t>
        </is>
      </c>
      <c r="D261" t="inlineStr">
        <is>
          <t>연결</t>
        </is>
      </c>
      <c r="E261" t="inlineStr">
        <is>
          <t>2026Q2</t>
        </is>
      </c>
      <c r="F261" s="2" t="n">
        <v>1806019</v>
      </c>
      <c r="G261" t="n">
        <v>12.2</v>
      </c>
      <c r="H261" t="n">
        <v>7.2</v>
      </c>
      <c r="I261" s="2" t="n">
        <v>128884</v>
      </c>
      <c r="J261" t="n">
        <v>37.6</v>
      </c>
      <c r="K261" t="n">
        <v>-13.1</v>
      </c>
      <c r="L261" s="2" t="n">
        <v>2839157</v>
      </c>
      <c r="M261" t="n">
        <v>217.8</v>
      </c>
      <c r="N261" t="inlineStr">
        <is>
          <t>20260805800281</t>
        </is>
      </c>
      <c r="O261">
        <f>HYPERLINK("https://dart.fss.or.kr/dsaf001/main.do?rcpNo=20260805800281", "공시열람")</f>
        <v/>
      </c>
    </row>
    <row r="262">
      <c r="A262" t="inlineStr">
        <is>
          <t>2026-08-05</t>
        </is>
      </c>
      <c r="B262" t="inlineStr">
        <is>
          <t>롯데칠성음료</t>
        </is>
      </c>
      <c r="C262" t="inlineStr">
        <is>
          <t>005300</t>
        </is>
      </c>
      <c r="D262" t="inlineStr">
        <is>
          <t>연결</t>
        </is>
      </c>
      <c r="E262" t="inlineStr">
        <is>
          <t>2026Q2</t>
        </is>
      </c>
      <c r="F262" s="2" t="n">
        <v>1112900</v>
      </c>
      <c r="G262" t="n">
        <v>16.8</v>
      </c>
      <c r="H262" t="n">
        <v>2.4</v>
      </c>
      <c r="I262" s="2" t="n">
        <v>55800</v>
      </c>
      <c r="J262" t="n">
        <v>16.8</v>
      </c>
      <c r="K262" t="n">
        <v>-10.4</v>
      </c>
      <c r="L262" s="2" t="n">
        <v>28200</v>
      </c>
      <c r="M262" t="n">
        <v>1.7</v>
      </c>
      <c r="N262" t="inlineStr">
        <is>
          <t>20260805800288</t>
        </is>
      </c>
      <c r="O262">
        <f>HYPERLINK("https://dart.fss.or.kr/dsaf001/main.do?rcpNo=20260805800288", "공시열람")</f>
        <v/>
      </c>
    </row>
    <row r="263">
      <c r="A263" t="inlineStr">
        <is>
          <t>2026-08-05</t>
        </is>
      </c>
      <c r="B263" t="inlineStr">
        <is>
          <t>에스엠</t>
        </is>
      </c>
      <c r="C263" t="inlineStr">
        <is>
          <t>041510</t>
        </is>
      </c>
      <c r="D263" t="inlineStr">
        <is>
          <t>별도</t>
        </is>
      </c>
      <c r="E263" t="inlineStr">
        <is>
          <t>2026Q2</t>
        </is>
      </c>
      <c r="F263" s="2" t="n">
        <v>240631</v>
      </c>
      <c r="G263" t="n">
        <v>27.1</v>
      </c>
      <c r="H263" t="n">
        <v>9.199999999999999</v>
      </c>
      <c r="I263" s="2" t="n">
        <v>43842</v>
      </c>
      <c r="J263" t="n">
        <v>12.9</v>
      </c>
      <c r="K263" t="n">
        <v>-4.6</v>
      </c>
      <c r="L263" s="2" t="n">
        <v>24130</v>
      </c>
      <c r="M263" t="n">
        <v>-18.1</v>
      </c>
      <c r="N263" t="inlineStr">
        <is>
          <t>20260805900311</t>
        </is>
      </c>
      <c r="O263">
        <f>HYPERLINK("https://dart.fss.or.kr/dsaf001/main.do?rcpNo=20260805900311", "공시열람")</f>
        <v/>
      </c>
    </row>
    <row r="264">
      <c r="A264" t="inlineStr">
        <is>
          <t>2026-08-05</t>
        </is>
      </c>
      <c r="B264" t="inlineStr">
        <is>
          <t>에스엠</t>
        </is>
      </c>
      <c r="C264" t="inlineStr">
        <is>
          <t>041510</t>
        </is>
      </c>
      <c r="D264" t="inlineStr">
        <is>
          <t>연결</t>
        </is>
      </c>
      <c r="E264" t="inlineStr">
        <is>
          <t>2026Q2</t>
        </is>
      </c>
      <c r="F264" s="2" t="n">
        <v>349641</v>
      </c>
      <c r="G264" t="n">
        <v>25.3</v>
      </c>
      <c r="H264" t="n">
        <v>15.4</v>
      </c>
      <c r="I264" s="2" t="n">
        <v>52856</v>
      </c>
      <c r="J264" t="n">
        <v>36.9</v>
      </c>
      <c r="K264" t="n">
        <v>11</v>
      </c>
      <c r="L264" s="2" t="n">
        <v>29163</v>
      </c>
      <c r="M264" t="n">
        <v>-5.6</v>
      </c>
      <c r="N264" t="inlineStr">
        <is>
          <t>20260805900312</t>
        </is>
      </c>
      <c r="O264">
        <f>HYPERLINK("https://dart.fss.or.kr/dsaf001/main.do?rcpNo=20260805900312", "공시열람")</f>
        <v/>
      </c>
    </row>
    <row r="265">
      <c r="A265" t="inlineStr">
        <is>
          <t>2026-08-05</t>
        </is>
      </c>
      <c r="B265" t="inlineStr">
        <is>
          <t>이노션</t>
        </is>
      </c>
      <c r="C265" t="inlineStr">
        <is>
          <t>214320</t>
        </is>
      </c>
      <c r="D265" t="inlineStr">
        <is>
          <t>연결</t>
        </is>
      </c>
      <c r="E265" t="inlineStr">
        <is>
          <t>2026Q2</t>
        </is>
      </c>
      <c r="F265" s="2" t="n">
        <v>499051</v>
      </c>
      <c r="G265" t="n">
        <v>-4.7</v>
      </c>
      <c r="H265" t="n">
        <v>-3.9</v>
      </c>
      <c r="I265" s="2" t="n">
        <v>44586</v>
      </c>
      <c r="J265" t="n">
        <v>12.1</v>
      </c>
      <c r="K265" t="n">
        <v>22.4</v>
      </c>
      <c r="L265" s="2" t="n">
        <v>36477</v>
      </c>
      <c r="M265" t="n">
        <v>53.1</v>
      </c>
      <c r="N265" t="inlineStr">
        <is>
          <t>20260805800327</t>
        </is>
      </c>
      <c r="O265">
        <f>HYPERLINK("https://dart.fss.or.kr/dsaf001/main.do?rcpNo=20260805800327", "공시열람")</f>
        <v/>
      </c>
    </row>
    <row r="266">
      <c r="A266" t="inlineStr">
        <is>
          <t>2026-08-05</t>
        </is>
      </c>
      <c r="B266" t="inlineStr">
        <is>
          <t>현대백화점</t>
        </is>
      </c>
      <c r="C266" t="inlineStr">
        <is>
          <t>069960</t>
        </is>
      </c>
      <c r="D266" t="inlineStr">
        <is>
          <t>연결</t>
        </is>
      </c>
      <c r="E266" t="inlineStr">
        <is>
          <t>2026Q2</t>
        </is>
      </c>
      <c r="F266" s="2" t="n">
        <v>1068100</v>
      </c>
      <c r="G266" t="n">
        <v>12.4</v>
      </c>
      <c r="H266" t="n">
        <v>-1.1</v>
      </c>
      <c r="I266" s="2" t="n">
        <v>79300</v>
      </c>
      <c r="J266" t="n">
        <v>-19.7</v>
      </c>
      <c r="K266" t="n">
        <v>-8.699999999999999</v>
      </c>
      <c r="L266" s="2" t="n">
        <v>60800</v>
      </c>
      <c r="M266" t="n">
        <v>11.7</v>
      </c>
      <c r="N266" t="inlineStr">
        <is>
          <t>20260805800338</t>
        </is>
      </c>
      <c r="O266">
        <f>HYPERLINK("https://dart.fss.or.kr/dsaf001/main.do?rcpNo=20260805800338", "공시열람")</f>
        <v/>
      </c>
    </row>
    <row r="267">
      <c r="A267" t="inlineStr">
        <is>
          <t>2026-08-05</t>
        </is>
      </c>
      <c r="B267" t="inlineStr">
        <is>
          <t>뉴인텍</t>
        </is>
      </c>
      <c r="C267" t="inlineStr">
        <is>
          <t>012340</t>
        </is>
      </c>
      <c r="D267" t="inlineStr">
        <is>
          <t>연결</t>
        </is>
      </c>
      <c r="E267" t="inlineStr">
        <is>
          <t>2026Q2</t>
        </is>
      </c>
      <c r="F267" s="2" t="n">
        <v>26519</v>
      </c>
      <c r="G267" t="n">
        <v>14.8</v>
      </c>
      <c r="H267" t="n">
        <v>23.09</v>
      </c>
      <c r="I267" s="2" t="n">
        <v>233</v>
      </c>
      <c r="J267" t="n">
        <v>870.83</v>
      </c>
      <c r="K267" t="inlineStr"/>
      <c r="L267" s="2" t="n">
        <v>303</v>
      </c>
      <c r="M267" t="inlineStr"/>
      <c r="N267" t="inlineStr">
        <is>
          <t>20260805900397</t>
        </is>
      </c>
      <c r="O267">
        <f>HYPERLINK("https://dart.fss.or.kr/dsaf001/main.do?rcpNo=20260805900397", "공시열람")</f>
        <v/>
      </c>
    </row>
    <row r="268">
      <c r="A268" t="inlineStr">
        <is>
          <t>2026-08-05</t>
        </is>
      </c>
      <c r="B268" t="inlineStr">
        <is>
          <t>케이씨텍</t>
        </is>
      </c>
      <c r="C268" t="inlineStr">
        <is>
          <t>281820</t>
        </is>
      </c>
      <c r="D268" t="inlineStr">
        <is>
          <t>연결</t>
        </is>
      </c>
      <c r="E268" t="inlineStr">
        <is>
          <t>2026Q2</t>
        </is>
      </c>
      <c r="F268" s="2" t="n">
        <v>112689</v>
      </c>
      <c r="G268" t="n">
        <v>-27.8</v>
      </c>
      <c r="H268" t="n">
        <v>15.5</v>
      </c>
      <c r="I268" s="2" t="n">
        <v>23522</v>
      </c>
      <c r="J268" t="n">
        <v>-32.4</v>
      </c>
      <c r="K268" t="n">
        <v>51.2</v>
      </c>
      <c r="L268" s="2" t="n">
        <v>21111</v>
      </c>
      <c r="M268" t="n">
        <v>91.8</v>
      </c>
      <c r="N268" t="inlineStr">
        <is>
          <t>20260805800427</t>
        </is>
      </c>
      <c r="O268">
        <f>HYPERLINK("https://dart.fss.or.kr/dsaf001/main.do?rcpNo=20260805800427", "공시열람")</f>
        <v/>
      </c>
    </row>
    <row r="269">
      <c r="A269" t="inlineStr">
        <is>
          <t>2026-08-05</t>
        </is>
      </c>
      <c r="B269" t="inlineStr">
        <is>
          <t>롯데렌탈</t>
        </is>
      </c>
      <c r="C269" t="inlineStr">
        <is>
          <t>089860</t>
        </is>
      </c>
      <c r="D269" t="inlineStr">
        <is>
          <t>연결</t>
        </is>
      </c>
      <c r="E269" t="inlineStr">
        <is>
          <t>2026Q2</t>
        </is>
      </c>
      <c r="F269" s="2" t="n">
        <v>765764</v>
      </c>
      <c r="G269" t="n">
        <v>4.8</v>
      </c>
      <c r="H269" t="n">
        <v>2.3</v>
      </c>
      <c r="I269" s="2" t="n">
        <v>84638</v>
      </c>
      <c r="J269" t="n">
        <v>1.2</v>
      </c>
      <c r="K269" t="n">
        <v>9.6</v>
      </c>
      <c r="L269" s="2" t="n">
        <v>18291</v>
      </c>
      <c r="M269" t="n">
        <v>-39.2</v>
      </c>
      <c r="N269" t="inlineStr">
        <is>
          <t>20260805800442</t>
        </is>
      </c>
      <c r="O269">
        <f>HYPERLINK("https://dart.fss.or.kr/dsaf001/main.do?rcpNo=20260805800442", "공시열람")</f>
        <v/>
      </c>
    </row>
    <row r="270">
      <c r="A270" t="inlineStr">
        <is>
          <t>2026-08-05</t>
        </is>
      </c>
      <c r="B270" t="inlineStr">
        <is>
          <t>하나투어</t>
        </is>
      </c>
      <c r="C270" t="inlineStr">
        <is>
          <t>039130</t>
        </is>
      </c>
      <c r="D270" t="inlineStr">
        <is>
          <t>연결</t>
        </is>
      </c>
      <c r="E270" t="inlineStr">
        <is>
          <t>2026Q2</t>
        </is>
      </c>
      <c r="F270" s="2" t="n">
        <v>115435</v>
      </c>
      <c r="G270" t="n">
        <v>-33.97</v>
      </c>
      <c r="H270" t="n">
        <v>-3.75</v>
      </c>
      <c r="I270" s="2" t="n">
        <v>5440</v>
      </c>
      <c r="J270" t="n">
        <v>-67.55</v>
      </c>
      <c r="K270" t="n">
        <v>-43.63</v>
      </c>
      <c r="L270" s="2" t="n">
        <v>7051</v>
      </c>
      <c r="M270" t="n">
        <v>-36.75</v>
      </c>
      <c r="N270" t="inlineStr">
        <is>
          <t>20260805800659</t>
        </is>
      </c>
      <c r="O270">
        <f>HYPERLINK("https://dart.fss.or.kr/dsaf001/main.do?rcpNo=20260805800659", "공시열람")</f>
        <v/>
      </c>
    </row>
    <row r="271">
      <c r="A271" t="inlineStr">
        <is>
          <t>2026-08-05</t>
        </is>
      </c>
      <c r="B271" t="inlineStr">
        <is>
          <t>SK리츠</t>
        </is>
      </c>
      <c r="C271" t="inlineStr">
        <is>
          <t>395400</t>
        </is>
      </c>
      <c r="D271" t="inlineStr">
        <is>
          <t>별도</t>
        </is>
      </c>
      <c r="E271" t="inlineStr">
        <is>
          <t>2026Q2</t>
        </is>
      </c>
      <c r="F271" s="2" t="n">
        <v>49033</v>
      </c>
      <c r="G271" t="n">
        <v>16.1</v>
      </c>
      <c r="H271" t="n">
        <v>27.8</v>
      </c>
      <c r="I271" s="2" t="n">
        <v>45493</v>
      </c>
      <c r="J271" t="n">
        <v>16</v>
      </c>
      <c r="K271" t="n">
        <v>24.7</v>
      </c>
      <c r="L271" s="2" t="n">
        <v>28749</v>
      </c>
      <c r="M271" t="n">
        <v>35.3</v>
      </c>
      <c r="N271" t="inlineStr">
        <is>
          <t>20260805800547</t>
        </is>
      </c>
      <c r="O271">
        <f>HYPERLINK("https://dart.fss.or.kr/dsaf001/main.do?rcpNo=20260805800547", "공시열람")</f>
        <v/>
      </c>
    </row>
    <row r="272">
      <c r="A272" t="inlineStr">
        <is>
          <t>2026-08-05</t>
        </is>
      </c>
      <c r="B272" t="inlineStr">
        <is>
          <t>SK텔레콤</t>
        </is>
      </c>
      <c r="C272" t="inlineStr">
        <is>
          <t>017670</t>
        </is>
      </c>
      <c r="D272" t="inlineStr">
        <is>
          <t>연결</t>
        </is>
      </c>
      <c r="E272" t="inlineStr">
        <is>
          <t>2026Q2</t>
        </is>
      </c>
      <c r="F272" s="2" t="n">
        <v>4359100</v>
      </c>
      <c r="G272" t="n">
        <v>-0.76</v>
      </c>
      <c r="H272" t="n">
        <v>0.47</v>
      </c>
      <c r="I272" s="2" t="n">
        <v>566000</v>
      </c>
      <c r="J272" t="n">
        <v>5.29</v>
      </c>
      <c r="K272" t="n">
        <v>67.34</v>
      </c>
      <c r="L272" s="2" t="n">
        <v>466000</v>
      </c>
      <c r="M272" t="n">
        <v>459.76</v>
      </c>
      <c r="N272" t="inlineStr">
        <is>
          <t>20260805800077</t>
        </is>
      </c>
      <c r="O272">
        <f>HYPERLINK("https://dart.fss.or.kr/dsaf001/main.do?rcpNo=20260805800077", "공시열람")</f>
        <v/>
      </c>
    </row>
    <row r="273">
      <c r="A273" t="inlineStr">
        <is>
          <t>2026-08-05</t>
        </is>
      </c>
      <c r="B273" t="inlineStr">
        <is>
          <t>LS에코에너지</t>
        </is>
      </c>
      <c r="C273" t="inlineStr">
        <is>
          <t>229640</t>
        </is>
      </c>
      <c r="D273" t="inlineStr">
        <is>
          <t>연결</t>
        </is>
      </c>
      <c r="E273" t="inlineStr">
        <is>
          <t>2026Q2</t>
        </is>
      </c>
      <c r="F273" s="2" t="n">
        <v>350271</v>
      </c>
      <c r="G273" t="n">
        <v>18.2</v>
      </c>
      <c r="H273" t="n">
        <v>40</v>
      </c>
      <c r="I273" s="2" t="n">
        <v>25256</v>
      </c>
      <c r="J273" t="n">
        <v>25.7</v>
      </c>
      <c r="K273" t="n">
        <v>7</v>
      </c>
      <c r="L273" s="2" t="n">
        <v>19138</v>
      </c>
      <c r="M273" t="n">
        <v>5.3</v>
      </c>
      <c r="N273" t="inlineStr">
        <is>
          <t>20260805800095</t>
        </is>
      </c>
      <c r="O273">
        <f>HYPERLINK("https://dart.fss.or.kr/dsaf001/main.do?rcpNo=20260805800095", "공시열람")</f>
        <v/>
      </c>
    </row>
    <row r="274">
      <c r="A274" t="inlineStr">
        <is>
          <t>2026-08-05</t>
        </is>
      </c>
      <c r="B274" t="inlineStr">
        <is>
          <t>카카오뱅크</t>
        </is>
      </c>
      <c r="C274" t="inlineStr">
        <is>
          <t>323410</t>
        </is>
      </c>
      <c r="D274" t="inlineStr">
        <is>
          <t>별도</t>
        </is>
      </c>
      <c r="E274" t="inlineStr">
        <is>
          <t>2026Q2</t>
        </is>
      </c>
      <c r="F274" s="2" t="n">
        <v>828980</v>
      </c>
      <c r="G274" t="n">
        <v>1.18</v>
      </c>
      <c r="H274" t="n">
        <v>6.55</v>
      </c>
      <c r="I274" s="2" t="n">
        <v>193977</v>
      </c>
      <c r="J274" t="n">
        <v>23.07</v>
      </c>
      <c r="K274" t="n">
        <v>14.02</v>
      </c>
      <c r="L274" s="2" t="n">
        <v>140752</v>
      </c>
      <c r="M274" t="n">
        <v>11.48</v>
      </c>
      <c r="N274" t="inlineStr">
        <is>
          <t>20260805800019</t>
        </is>
      </c>
      <c r="O274">
        <f>HYPERLINK("https://dart.fss.or.kr/dsaf001/main.do?rcpNo=20260805800019", "공시열람")</f>
        <v/>
      </c>
    </row>
    <row r="275">
      <c r="A275" t="inlineStr">
        <is>
          <t>2026-08-05</t>
        </is>
      </c>
      <c r="B275" t="inlineStr">
        <is>
          <t>카카오게임즈</t>
        </is>
      </c>
      <c r="C275" t="inlineStr">
        <is>
          <t>293490</t>
        </is>
      </c>
      <c r="D275" t="inlineStr">
        <is>
          <t>연결</t>
        </is>
      </c>
      <c r="E275" t="inlineStr">
        <is>
          <t>2026Q2</t>
        </is>
      </c>
      <c r="F275" s="2" t="n">
        <v>75021</v>
      </c>
      <c r="G275" t="n">
        <v>-9.529999999999999</v>
      </c>
      <c r="H275" t="n">
        <v>-35.22</v>
      </c>
      <c r="I275" s="2" t="n">
        <v>-23026</v>
      </c>
      <c r="J275" t="n">
        <v>9.56</v>
      </c>
      <c r="K275" t="n">
        <v>-167.3</v>
      </c>
      <c r="L275" s="2" t="n">
        <v>-56956</v>
      </c>
      <c r="M275" t="n">
        <v>-69.58</v>
      </c>
      <c r="N275" t="inlineStr">
        <is>
          <t>20260805900059</t>
        </is>
      </c>
      <c r="O275">
        <f>HYPERLINK("https://dart.fss.or.kr/dsaf001/main.do?rcpNo=20260805900059", "공시열람")</f>
        <v/>
      </c>
    </row>
    <row r="276">
      <c r="A276" t="inlineStr">
        <is>
          <t>2026-08-05</t>
        </is>
      </c>
      <c r="B276" t="inlineStr">
        <is>
          <t>DB하이텍</t>
        </is>
      </c>
      <c r="C276" t="inlineStr">
        <is>
          <t>000990</t>
        </is>
      </c>
      <c r="D276" t="inlineStr">
        <is>
          <t>연결</t>
        </is>
      </c>
      <c r="E276" t="inlineStr">
        <is>
          <t>2026Q2</t>
        </is>
      </c>
      <c r="F276" s="2" t="n">
        <v>414450</v>
      </c>
      <c r="G276" t="n">
        <v>15.25</v>
      </c>
      <c r="H276" t="n">
        <v>22.83</v>
      </c>
      <c r="I276" s="2" t="n">
        <v>105233</v>
      </c>
      <c r="J276" t="n">
        <v>57.28</v>
      </c>
      <c r="K276" t="n">
        <v>42.51</v>
      </c>
      <c r="L276" s="2" t="n">
        <v>115607</v>
      </c>
      <c r="M276" t="n">
        <v>92.69</v>
      </c>
      <c r="N276" t="inlineStr">
        <is>
          <t>20260805800063</t>
        </is>
      </c>
      <c r="O276">
        <f>HYPERLINK("https://dart.fss.or.kr/dsaf001/main.do?rcpNo=20260805800063", "공시열람")</f>
        <v/>
      </c>
    </row>
    <row r="277">
      <c r="A277" t="inlineStr">
        <is>
          <t>2026-08-04</t>
        </is>
      </c>
      <c r="B277" t="inlineStr">
        <is>
          <t>조이시티</t>
        </is>
      </c>
      <c r="C277" t="inlineStr">
        <is>
          <t>067000</t>
        </is>
      </c>
      <c r="D277" t="inlineStr">
        <is>
          <t>연결</t>
        </is>
      </c>
      <c r="E277" t="inlineStr">
        <is>
          <t>2026Q2</t>
        </is>
      </c>
      <c r="F277" s="2" t="n">
        <v>38635</v>
      </c>
      <c r="G277" t="n">
        <v>-8.449999999999999</v>
      </c>
      <c r="H277" t="n">
        <v>17.08</v>
      </c>
      <c r="I277" s="2" t="n">
        <v>583</v>
      </c>
      <c r="J277" t="n">
        <v>86.86</v>
      </c>
      <c r="K277" t="n">
        <v>-81.48</v>
      </c>
      <c r="L277" s="2" t="n">
        <v>-1011</v>
      </c>
      <c r="M277" t="n">
        <v>-111.5</v>
      </c>
      <c r="N277" t="inlineStr">
        <is>
          <t>20260804900510</t>
        </is>
      </c>
      <c r="O277">
        <f>HYPERLINK("https://dart.fss.or.kr/dsaf001/main.do?rcpNo=20260804900510", "공시열람")</f>
        <v/>
      </c>
    </row>
    <row r="278">
      <c r="A278" t="inlineStr">
        <is>
          <t>2026-08-04</t>
        </is>
      </c>
      <c r="B278" t="inlineStr">
        <is>
          <t>아이쓰리시스템</t>
        </is>
      </c>
      <c r="C278" t="inlineStr">
        <is>
          <t>214430</t>
        </is>
      </c>
      <c r="D278" t="inlineStr">
        <is>
          <t>별도</t>
        </is>
      </c>
      <c r="E278" t="inlineStr">
        <is>
          <t>2026Q2</t>
        </is>
      </c>
      <c r="F278" s="2" t="n">
        <v>39476</v>
      </c>
      <c r="G278" t="n">
        <v>21.9</v>
      </c>
      <c r="H278" t="n">
        <v>56</v>
      </c>
      <c r="I278" s="2" t="n">
        <v>4759</v>
      </c>
      <c r="J278" t="n">
        <v>8.800000000000001</v>
      </c>
      <c r="K278" t="n">
        <v>79.90000000000001</v>
      </c>
      <c r="L278" s="2" t="n">
        <v>3831</v>
      </c>
      <c r="M278" t="n">
        <v>-17.6</v>
      </c>
      <c r="N278" t="inlineStr">
        <is>
          <t>20260804900103</t>
        </is>
      </c>
      <c r="O278">
        <f>HYPERLINK("https://dart.fss.or.kr/dsaf001/main.do?rcpNo=20260804900103", "공시열람")</f>
        <v/>
      </c>
    </row>
    <row r="279">
      <c r="A279" t="inlineStr">
        <is>
          <t>2026-08-04</t>
        </is>
      </c>
      <c r="B279" t="inlineStr">
        <is>
          <t>카카오페이</t>
        </is>
      </c>
      <c r="C279" t="inlineStr">
        <is>
          <t>377300</t>
        </is>
      </c>
      <c r="D279" t="inlineStr">
        <is>
          <t>연결</t>
        </is>
      </c>
      <c r="E279" t="inlineStr">
        <is>
          <t>2026Q2</t>
        </is>
      </c>
      <c r="F279" s="2" t="n">
        <v>335079</v>
      </c>
      <c r="G279" t="n">
        <v>11.6</v>
      </c>
      <c r="H279" t="n">
        <v>40.6</v>
      </c>
      <c r="I279" s="2" t="n">
        <v>58603</v>
      </c>
      <c r="J279" t="n">
        <v>81.7</v>
      </c>
      <c r="K279" t="n">
        <v>528.2</v>
      </c>
      <c r="L279" s="2" t="n">
        <v>49596</v>
      </c>
      <c r="M279" t="n">
        <v>251.2</v>
      </c>
      <c r="N279" t="inlineStr">
        <is>
          <t>20260804800290</t>
        </is>
      </c>
      <c r="O279">
        <f>HYPERLINK("https://dart.fss.or.kr/dsaf001/main.do?rcpNo=20260804800290", "공시열람")</f>
        <v/>
      </c>
    </row>
    <row r="280">
      <c r="A280" t="inlineStr">
        <is>
          <t>2026-08-04</t>
        </is>
      </c>
      <c r="B280" t="inlineStr">
        <is>
          <t>카카오페이</t>
        </is>
      </c>
      <c r="C280" t="inlineStr">
        <is>
          <t>377300</t>
        </is>
      </c>
      <c r="D280" t="inlineStr">
        <is>
          <t>별도</t>
        </is>
      </c>
      <c r="E280" t="inlineStr">
        <is>
          <t>2026Q2</t>
        </is>
      </c>
      <c r="F280" s="2" t="n">
        <v>196763</v>
      </c>
      <c r="G280" t="n">
        <v>6.3</v>
      </c>
      <c r="H280" t="n">
        <v>17.7</v>
      </c>
      <c r="I280" s="2" t="n">
        <v>26016</v>
      </c>
      <c r="J280" t="n">
        <v>40.2</v>
      </c>
      <c r="K280" t="n">
        <v>83.2</v>
      </c>
      <c r="L280" s="2" t="n">
        <v>21083</v>
      </c>
      <c r="M280" t="n">
        <v>2</v>
      </c>
      <c r="N280" t="inlineStr">
        <is>
          <t>20260804800285</t>
        </is>
      </c>
      <c r="O280">
        <f>HYPERLINK("https://dart.fss.or.kr/dsaf001/main.do?rcpNo=20260804800285", "공시열람")</f>
        <v/>
      </c>
    </row>
    <row r="281">
      <c r="A281" t="inlineStr">
        <is>
          <t>2026-08-04</t>
        </is>
      </c>
      <c r="B281" t="inlineStr">
        <is>
          <t>GKL</t>
        </is>
      </c>
      <c r="C281" t="inlineStr">
        <is>
          <t>114090</t>
        </is>
      </c>
      <c r="D281" t="inlineStr">
        <is>
          <t>별도</t>
        </is>
      </c>
      <c r="E281" t="inlineStr">
        <is>
          <t>2026Q2</t>
        </is>
      </c>
      <c r="F281" s="2" t="inlineStr"/>
      <c r="G281" t="inlineStr"/>
      <c r="H281" t="inlineStr"/>
      <c r="I281" s="2" t="inlineStr"/>
      <c r="J281" t="inlineStr"/>
      <c r="K281" t="inlineStr"/>
      <c r="L281" s="2" t="inlineStr"/>
      <c r="M281" t="inlineStr"/>
      <c r="N281" t="inlineStr">
        <is>
          <t>20260804800269</t>
        </is>
      </c>
      <c r="O281">
        <f>HYPERLINK("https://dart.fss.or.kr/dsaf001/main.do?rcpNo=20260804800269", "공시열람")</f>
        <v/>
      </c>
    </row>
    <row r="282">
      <c r="A282" t="inlineStr">
        <is>
          <t>2026-08-04</t>
        </is>
      </c>
      <c r="B282" t="inlineStr">
        <is>
          <t>에코프로에이치엔</t>
        </is>
      </c>
      <c r="C282" t="inlineStr">
        <is>
          <t>383310</t>
        </is>
      </c>
      <c r="D282" t="inlineStr">
        <is>
          <t>연결</t>
        </is>
      </c>
      <c r="E282" t="inlineStr">
        <is>
          <t>2026Q2</t>
        </is>
      </c>
      <c r="F282" s="2" t="n">
        <v>51528</v>
      </c>
      <c r="G282" t="n">
        <v>48.6</v>
      </c>
      <c r="H282" t="n">
        <v>32.1</v>
      </c>
      <c r="I282" s="2" t="n">
        <v>5762</v>
      </c>
      <c r="J282" t="n">
        <v>14.6</v>
      </c>
      <c r="K282" t="n">
        <v>57.3</v>
      </c>
      <c r="L282" s="2" t="n">
        <v>5072</v>
      </c>
      <c r="M282" t="n">
        <v>49.5</v>
      </c>
      <c r="N282" t="inlineStr">
        <is>
          <t>20260804900254</t>
        </is>
      </c>
      <c r="O282">
        <f>HYPERLINK("https://dart.fss.or.kr/dsaf001/main.do?rcpNo=20260804900254", "공시열람")</f>
        <v/>
      </c>
    </row>
    <row r="283">
      <c r="A283" t="inlineStr">
        <is>
          <t>2026-08-04</t>
        </is>
      </c>
      <c r="B283" t="inlineStr">
        <is>
          <t>에코프로</t>
        </is>
      </c>
      <c r="C283" t="inlineStr">
        <is>
          <t>086520</t>
        </is>
      </c>
      <c r="D283" t="inlineStr">
        <is>
          <t>연결</t>
        </is>
      </c>
      <c r="E283" t="inlineStr">
        <is>
          <t>2026Q2</t>
        </is>
      </c>
      <c r="F283" s="2" t="n">
        <v>820814</v>
      </c>
      <c r="G283" t="n">
        <v>0.3</v>
      </c>
      <c r="H283" t="n">
        <v>-11.9</v>
      </c>
      <c r="I283" s="2" t="n">
        <v>32900</v>
      </c>
      <c r="J283" t="n">
        <v>-41.7</v>
      </c>
      <c r="K283" t="n">
        <v>102.7</v>
      </c>
      <c r="L283" s="2" t="n">
        <v>49187</v>
      </c>
      <c r="M283" t="inlineStr"/>
      <c r="N283" t="inlineStr">
        <is>
          <t>20260804900253</t>
        </is>
      </c>
      <c r="O283">
        <f>HYPERLINK("https://dart.fss.or.kr/dsaf001/main.do?rcpNo=20260804900253", "공시열람")</f>
        <v/>
      </c>
    </row>
    <row r="284">
      <c r="A284" t="inlineStr">
        <is>
          <t>2026-08-04</t>
        </is>
      </c>
      <c r="B284" t="inlineStr">
        <is>
          <t>에코프로머티</t>
        </is>
      </c>
      <c r="C284" t="inlineStr">
        <is>
          <t>450080</t>
        </is>
      </c>
      <c r="D284" t="inlineStr">
        <is>
          <t>연결</t>
        </is>
      </c>
      <c r="E284" t="inlineStr">
        <is>
          <t>2026Q2</t>
        </is>
      </c>
      <c r="F284" s="2" t="n">
        <v>178788</v>
      </c>
      <c r="G284" t="n">
        <v>7.4</v>
      </c>
      <c r="H284" t="n">
        <v>129</v>
      </c>
      <c r="I284" s="2" t="n">
        <v>-10584</v>
      </c>
      <c r="J284" t="inlineStr"/>
      <c r="K284" t="n">
        <v>63.2</v>
      </c>
      <c r="L284" s="2" t="n">
        <v>-12895</v>
      </c>
      <c r="M284" t="n">
        <v>61.5</v>
      </c>
      <c r="N284" t="inlineStr">
        <is>
          <t>20260804800260</t>
        </is>
      </c>
      <c r="O284">
        <f>HYPERLINK("https://dart.fss.or.kr/dsaf001/main.do?rcpNo=20260804800260", "공시열람")</f>
        <v/>
      </c>
    </row>
    <row r="285">
      <c r="A285" t="inlineStr">
        <is>
          <t>2026-08-04</t>
        </is>
      </c>
      <c r="B285" t="inlineStr">
        <is>
          <t>한화</t>
        </is>
      </c>
      <c r="C285" t="inlineStr">
        <is>
          <t>000880</t>
        </is>
      </c>
      <c r="D285" t="inlineStr">
        <is>
          <t>별도</t>
        </is>
      </c>
      <c r="E285" t="inlineStr">
        <is>
          <t>2026Q2</t>
        </is>
      </c>
      <c r="F285" s="2" t="n">
        <v>1001336</v>
      </c>
      <c r="G285" t="n">
        <v>-5.35</v>
      </c>
      <c r="H285" t="n">
        <v>-11.4</v>
      </c>
      <c r="I285" s="2" t="n">
        <v>113295</v>
      </c>
      <c r="J285" t="n">
        <v>-40.21</v>
      </c>
      <c r="K285" t="n">
        <v>-12.61</v>
      </c>
      <c r="L285" s="2" t="n">
        <v>51026</v>
      </c>
      <c r="M285" t="inlineStr"/>
      <c r="N285" t="inlineStr">
        <is>
          <t>20260804800226</t>
        </is>
      </c>
      <c r="O285">
        <f>HYPERLINK("https://dart.fss.or.kr/dsaf001/main.do?rcpNo=20260804800226", "공시열람")</f>
        <v/>
      </c>
    </row>
    <row r="286">
      <c r="A286" t="inlineStr">
        <is>
          <t>2026-08-04</t>
        </is>
      </c>
      <c r="B286" t="inlineStr">
        <is>
          <t>지니언스</t>
        </is>
      </c>
      <c r="C286" t="inlineStr">
        <is>
          <t>263860</t>
        </is>
      </c>
      <c r="D286" t="inlineStr">
        <is>
          <t>연결</t>
        </is>
      </c>
      <c r="E286" t="inlineStr">
        <is>
          <t>2026Q2</t>
        </is>
      </c>
      <c r="F286" s="2" t="n">
        <v>13184</v>
      </c>
      <c r="G286" t="n">
        <v>12.3</v>
      </c>
      <c r="H286" t="n">
        <v>15.4</v>
      </c>
      <c r="I286" s="2" t="n">
        <v>2570</v>
      </c>
      <c r="J286" t="n">
        <v>47.5</v>
      </c>
      <c r="K286" t="n">
        <v>143.1</v>
      </c>
      <c r="L286" s="2" t="n">
        <v>2688</v>
      </c>
      <c r="M286" t="n">
        <v>170</v>
      </c>
      <c r="N286" t="inlineStr">
        <is>
          <t>20260804900037</t>
        </is>
      </c>
      <c r="O286">
        <f>HYPERLINK("https://dart.fss.or.kr/dsaf001/main.do?rcpNo=20260804900037", "공시열람")</f>
        <v/>
      </c>
    </row>
    <row r="287">
      <c r="A287" t="inlineStr">
        <is>
          <t>2026-08-04</t>
        </is>
      </c>
      <c r="B287" t="inlineStr">
        <is>
          <t>비에이치</t>
        </is>
      </c>
      <c r="C287" t="inlineStr">
        <is>
          <t>090460</t>
        </is>
      </c>
      <c r="D287" t="inlineStr">
        <is>
          <t>연결</t>
        </is>
      </c>
      <c r="E287" t="inlineStr">
        <is>
          <t>2026Q2</t>
        </is>
      </c>
      <c r="F287" s="2" t="n">
        <v>414237</v>
      </c>
      <c r="G287" t="n">
        <v>11.49</v>
      </c>
      <c r="H287" t="n">
        <v>6.29</v>
      </c>
      <c r="I287" s="2" t="n">
        <v>7891</v>
      </c>
      <c r="J287" t="n">
        <v>-25.95</v>
      </c>
      <c r="K287" t="n">
        <v>-50.79</v>
      </c>
      <c r="L287" s="2" t="inlineStr"/>
      <c r="M287" t="inlineStr"/>
      <c r="N287" t="inlineStr">
        <is>
          <t>20260804800095</t>
        </is>
      </c>
      <c r="O287">
        <f>HYPERLINK("https://dart.fss.or.kr/dsaf001/main.do?rcpNo=20260804800095", "공시열람")</f>
        <v/>
      </c>
    </row>
    <row r="288">
      <c r="A288" t="inlineStr">
        <is>
          <t>2026-08-04</t>
        </is>
      </c>
      <c r="B288" t="inlineStr">
        <is>
          <t>디어유</t>
        </is>
      </c>
      <c r="C288" t="inlineStr">
        <is>
          <t>376300</t>
        </is>
      </c>
      <c r="D288" t="inlineStr">
        <is>
          <t>연결</t>
        </is>
      </c>
      <c r="E288" t="inlineStr">
        <is>
          <t>2026Q2</t>
        </is>
      </c>
      <c r="F288" s="2" t="n">
        <v>23352</v>
      </c>
      <c r="G288" t="n">
        <v>0</v>
      </c>
      <c r="H288" t="n">
        <v>16</v>
      </c>
      <c r="I288" s="2" t="n">
        <v>9406</v>
      </c>
      <c r="J288" t="n">
        <v>-3</v>
      </c>
      <c r="K288" t="n">
        <v>26</v>
      </c>
      <c r="L288" s="2" t="n">
        <v>4532</v>
      </c>
      <c r="M288" t="inlineStr"/>
      <c r="N288" t="inlineStr">
        <is>
          <t>20260804900539</t>
        </is>
      </c>
      <c r="O288">
        <f>HYPERLINK("https://dart.fss.or.kr/dsaf001/main.do?rcpNo=20260804900539", "공시열람")</f>
        <v/>
      </c>
    </row>
    <row r="289">
      <c r="A289" t="inlineStr">
        <is>
          <t>2026-08-04</t>
        </is>
      </c>
      <c r="B289" t="inlineStr">
        <is>
          <t>디와이씨</t>
        </is>
      </c>
      <c r="C289" t="inlineStr">
        <is>
          <t>310870</t>
        </is>
      </c>
      <c r="D289" t="inlineStr">
        <is>
          <t>연결</t>
        </is>
      </c>
      <c r="E289" t="inlineStr">
        <is>
          <t>2026Q2</t>
        </is>
      </c>
      <c r="F289" s="2" t="n">
        <v>36544</v>
      </c>
      <c r="G289" t="n">
        <v>10.19</v>
      </c>
      <c r="H289" t="n">
        <v>41.86</v>
      </c>
      <c r="I289" s="2" t="n">
        <v>3728</v>
      </c>
      <c r="J289" t="n">
        <v>45.65</v>
      </c>
      <c r="K289" t="n">
        <v>694.6</v>
      </c>
      <c r="L289" s="2" t="n">
        <v>3030</v>
      </c>
      <c r="M289" t="inlineStr"/>
      <c r="N289" t="inlineStr">
        <is>
          <t>20260804900312</t>
        </is>
      </c>
      <c r="O289">
        <f>HYPERLINK("https://dart.fss.or.kr/dsaf001/main.do?rcpNo=20260804900312", "공시열람")</f>
        <v/>
      </c>
    </row>
    <row r="290">
      <c r="A290" t="inlineStr">
        <is>
          <t>2026-08-04</t>
        </is>
      </c>
      <c r="B290" t="inlineStr">
        <is>
          <t>제주항공</t>
        </is>
      </c>
      <c r="C290" t="inlineStr">
        <is>
          <t>089590</t>
        </is>
      </c>
      <c r="D290" t="inlineStr">
        <is>
          <t>별도</t>
        </is>
      </c>
      <c r="E290" t="inlineStr">
        <is>
          <t>2026Q2</t>
        </is>
      </c>
      <c r="F290" s="2" t="n">
        <v>441700</v>
      </c>
      <c r="G290" t="n">
        <v>-11.3</v>
      </c>
      <c r="H290" t="n">
        <v>40</v>
      </c>
      <c r="I290" s="2" t="n">
        <v>-52400</v>
      </c>
      <c r="J290" t="inlineStr"/>
      <c r="K290" t="n">
        <v>-16.5</v>
      </c>
      <c r="L290" s="2" t="n">
        <v>-51400</v>
      </c>
      <c r="M290" t="n">
        <v>-327.2</v>
      </c>
      <c r="N290" t="inlineStr">
        <is>
          <t>20260804800599</t>
        </is>
      </c>
      <c r="O290">
        <f>HYPERLINK("https://dart.fss.or.kr/dsaf001/main.do?rcpNo=20260804800599", "공시열람")</f>
        <v/>
      </c>
    </row>
    <row r="291">
      <c r="A291" t="inlineStr">
        <is>
          <t>2026-08-04</t>
        </is>
      </c>
      <c r="B291" t="inlineStr">
        <is>
          <t>HDC</t>
        </is>
      </c>
      <c r="C291" t="inlineStr">
        <is>
          <t>012630</t>
        </is>
      </c>
      <c r="D291" t="inlineStr">
        <is>
          <t>연결</t>
        </is>
      </c>
      <c r="E291" t="inlineStr">
        <is>
          <t>2026Q2</t>
        </is>
      </c>
      <c r="F291" s="2" t="n">
        <v>1519714</v>
      </c>
      <c r="G291" t="n">
        <v>20.9</v>
      </c>
      <c r="H291" t="n">
        <v>-16.4</v>
      </c>
      <c r="I291" s="2" t="n">
        <v>228382</v>
      </c>
      <c r="J291" t="n">
        <v>26.6</v>
      </c>
      <c r="K291" t="n">
        <v>37.2</v>
      </c>
      <c r="L291" s="2" t="n">
        <v>263358</v>
      </c>
      <c r="M291" t="n">
        <v>169.4</v>
      </c>
      <c r="N291" t="inlineStr">
        <is>
          <t>20260804800585</t>
        </is>
      </c>
      <c r="O291">
        <f>HYPERLINK("https://dart.fss.or.kr/dsaf001/main.do?rcpNo=20260804800585", "공시열람")</f>
        <v/>
      </c>
    </row>
    <row r="292">
      <c r="A292" t="inlineStr">
        <is>
          <t>2026-08-04</t>
        </is>
      </c>
      <c r="B292" t="inlineStr">
        <is>
          <t>SM C&amp;C</t>
        </is>
      </c>
      <c r="C292" t="inlineStr">
        <is>
          <t>048550</t>
        </is>
      </c>
      <c r="D292" t="inlineStr">
        <is>
          <t>연결</t>
        </is>
      </c>
      <c r="E292" t="inlineStr">
        <is>
          <t>2026Q2</t>
        </is>
      </c>
      <c r="F292" s="2" t="n">
        <v>27230</v>
      </c>
      <c r="G292" t="n">
        <v>26.8</v>
      </c>
      <c r="H292" t="n">
        <v>29</v>
      </c>
      <c r="I292" s="2" t="n">
        <v>-1557</v>
      </c>
      <c r="J292" t="n">
        <v>30.4</v>
      </c>
      <c r="K292" t="n">
        <v>-24.1</v>
      </c>
      <c r="L292" s="2" t="n">
        <v>-4366</v>
      </c>
      <c r="M292" t="n">
        <v>-334</v>
      </c>
      <c r="N292" t="inlineStr">
        <is>
          <t>20260804900625</t>
        </is>
      </c>
      <c r="O292">
        <f>HYPERLINK("https://dart.fss.or.kr/dsaf001/main.do?rcpNo=20260804900625", "공시열람")</f>
        <v/>
      </c>
    </row>
    <row r="293">
      <c r="A293" t="inlineStr">
        <is>
          <t>2026-08-04</t>
        </is>
      </c>
      <c r="B293" t="inlineStr">
        <is>
          <t>키이스트</t>
        </is>
      </c>
      <c r="C293" t="inlineStr">
        <is>
          <t>054780</t>
        </is>
      </c>
      <c r="D293" t="inlineStr">
        <is>
          <t>별도</t>
        </is>
      </c>
      <c r="E293" t="inlineStr">
        <is>
          <t>2026Q2</t>
        </is>
      </c>
      <c r="F293" s="2" t="n">
        <v>10722</v>
      </c>
      <c r="G293" t="n">
        <v>25.6</v>
      </c>
      <c r="H293" t="n">
        <v>263.3</v>
      </c>
      <c r="I293" s="2" t="n">
        <v>-1039</v>
      </c>
      <c r="J293" t="n">
        <v>-5.6</v>
      </c>
      <c r="K293" t="n">
        <v>17.3</v>
      </c>
      <c r="L293" s="2" t="n">
        <v>-1720</v>
      </c>
      <c r="M293" t="n">
        <v>-25.7</v>
      </c>
      <c r="N293" t="inlineStr">
        <is>
          <t>20260804900631</t>
        </is>
      </c>
      <c r="O293">
        <f>HYPERLINK("https://dart.fss.or.kr/dsaf001/main.do?rcpNo=20260804900631", "공시열람")</f>
        <v/>
      </c>
    </row>
    <row r="294">
      <c r="A294" t="inlineStr">
        <is>
          <t>2026-08-04</t>
        </is>
      </c>
      <c r="B294" t="inlineStr">
        <is>
          <t>현대이지웰</t>
        </is>
      </c>
      <c r="C294" t="inlineStr">
        <is>
          <t>090850</t>
        </is>
      </c>
      <c r="D294" t="inlineStr">
        <is>
          <t>연결</t>
        </is>
      </c>
      <c r="E294" t="inlineStr">
        <is>
          <t>2026Q2</t>
        </is>
      </c>
      <c r="F294" s="2" t="n">
        <v>30068</v>
      </c>
      <c r="G294" t="n">
        <v>-35.1</v>
      </c>
      <c r="H294" t="n">
        <v>1.5</v>
      </c>
      <c r="I294" s="2" t="n">
        <v>3483</v>
      </c>
      <c r="J294" t="n">
        <v>-52.6</v>
      </c>
      <c r="K294" t="n">
        <v>-47.4</v>
      </c>
      <c r="L294" s="2" t="n">
        <v>2847</v>
      </c>
      <c r="M294" t="n">
        <v>-67.2</v>
      </c>
      <c r="N294" t="inlineStr">
        <is>
          <t>20260804900887</t>
        </is>
      </c>
      <c r="O294">
        <f>HYPERLINK("https://dart.fss.or.kr/dsaf001/main.do?rcpNo=20260804900887", "공시열람")</f>
        <v/>
      </c>
    </row>
    <row r="295">
      <c r="A295" t="inlineStr">
        <is>
          <t>2026-08-04</t>
        </is>
      </c>
      <c r="B295" t="inlineStr">
        <is>
          <t>현대리바트</t>
        </is>
      </c>
      <c r="C295" t="inlineStr">
        <is>
          <t>079430</t>
        </is>
      </c>
      <c r="D295" t="inlineStr">
        <is>
          <t>연결</t>
        </is>
      </c>
      <c r="E295" t="inlineStr">
        <is>
          <t>2026Q2</t>
        </is>
      </c>
      <c r="F295" s="2" t="n">
        <v>373133</v>
      </c>
      <c r="G295" t="n">
        <v>4.8</v>
      </c>
      <c r="H295" t="n">
        <v>-9</v>
      </c>
      <c r="I295" s="2" t="n">
        <v>5559</v>
      </c>
      <c r="J295" t="n">
        <v>428.1</v>
      </c>
      <c r="K295" t="n">
        <v>9.4</v>
      </c>
      <c r="L295" s="2" t="n">
        <v>3754</v>
      </c>
      <c r="M295" t="n">
        <v>507.4</v>
      </c>
      <c r="N295" t="inlineStr">
        <is>
          <t>20260804800325</t>
        </is>
      </c>
      <c r="O295">
        <f>HYPERLINK("https://dart.fss.or.kr/dsaf001/main.do?rcpNo=20260804800325", "공시열람")</f>
        <v/>
      </c>
    </row>
    <row r="296">
      <c r="A296" t="inlineStr">
        <is>
          <t>2026-08-04</t>
        </is>
      </c>
      <c r="B296" t="inlineStr">
        <is>
          <t>대우건설</t>
        </is>
      </c>
      <c r="C296" t="inlineStr">
        <is>
          <t>047040</t>
        </is>
      </c>
      <c r="D296" t="inlineStr">
        <is>
          <t>연결</t>
        </is>
      </c>
      <c r="E296" t="inlineStr">
        <is>
          <t>2026Q2</t>
        </is>
      </c>
      <c r="F296" s="2" t="n">
        <v>2043500</v>
      </c>
      <c r="G296" t="n">
        <v>4.7</v>
      </c>
      <c r="H296" t="n">
        <v>-10.1</v>
      </c>
      <c r="I296" s="2" t="n">
        <v>232300</v>
      </c>
      <c r="J296" t="n">
        <v>-9.1</v>
      </c>
      <c r="K296" t="n">
        <v>182.6</v>
      </c>
      <c r="L296" s="2" t="n">
        <v>167200</v>
      </c>
      <c r="M296" t="inlineStr"/>
      <c r="N296" t="inlineStr">
        <is>
          <t>20260804800072</t>
        </is>
      </c>
      <c r="O296">
        <f>HYPERLINK("https://dart.fss.or.kr/dsaf001/main.do?rcpNo=20260804800072", "공시열람")</f>
        <v/>
      </c>
    </row>
    <row r="297">
      <c r="A297" t="inlineStr">
        <is>
          <t>2026-08-04</t>
        </is>
      </c>
      <c r="B297" t="inlineStr">
        <is>
          <t>현대그린푸드</t>
        </is>
      </c>
      <c r="C297" t="inlineStr">
        <is>
          <t>453340</t>
        </is>
      </c>
      <c r="D297" t="inlineStr">
        <is>
          <t>연결</t>
        </is>
      </c>
      <c r="E297" t="inlineStr">
        <is>
          <t>2026Q2</t>
        </is>
      </c>
      <c r="F297" s="2" t="n">
        <v>595000</v>
      </c>
      <c r="G297" t="n">
        <v>-4.27</v>
      </c>
      <c r="H297" t="n">
        <v>7.76</v>
      </c>
      <c r="I297" s="2" t="n">
        <v>38100</v>
      </c>
      <c r="J297" t="n">
        <v>-17.81</v>
      </c>
      <c r="K297" t="n">
        <v>23.36</v>
      </c>
      <c r="L297" s="2" t="n">
        <v>30600</v>
      </c>
      <c r="M297" t="n">
        <v>30.71</v>
      </c>
      <c r="N297" t="inlineStr">
        <is>
          <t>20260804800346</t>
        </is>
      </c>
      <c r="O297">
        <f>HYPERLINK("https://dart.fss.or.kr/dsaf001/main.do?rcpNo=20260804800346", "공시열람")</f>
        <v/>
      </c>
    </row>
    <row r="298">
      <c r="A298" t="inlineStr">
        <is>
          <t>2026-08-04</t>
        </is>
      </c>
      <c r="B298" t="inlineStr">
        <is>
          <t>TS트릴리온</t>
        </is>
      </c>
      <c r="C298" t="inlineStr">
        <is>
          <t>317240</t>
        </is>
      </c>
      <c r="D298" t="inlineStr">
        <is>
          <t>별도</t>
        </is>
      </c>
      <c r="E298" t="inlineStr">
        <is>
          <t>2026Q2</t>
        </is>
      </c>
      <c r="F298" s="2" t="n">
        <v>7144</v>
      </c>
      <c r="G298" t="n">
        <v>-10.7</v>
      </c>
      <c r="H298" t="n">
        <v>24.1</v>
      </c>
      <c r="I298" s="2" t="n">
        <v>527</v>
      </c>
      <c r="J298" t="n">
        <v>-19.6</v>
      </c>
      <c r="K298" t="inlineStr"/>
      <c r="L298" s="2" t="n">
        <v>138</v>
      </c>
      <c r="M298" t="inlineStr"/>
      <c r="N298" t="inlineStr">
        <is>
          <t>20260804900338</t>
        </is>
      </c>
      <c r="O298">
        <f>HYPERLINK("https://dart.fss.or.kr/dsaf001/main.do?rcpNo=20260804900338", "공시열람")</f>
        <v/>
      </c>
    </row>
    <row r="299">
      <c r="A299" t="inlineStr">
        <is>
          <t>2026-08-04</t>
        </is>
      </c>
      <c r="B299" t="inlineStr">
        <is>
          <t>세방전지</t>
        </is>
      </c>
      <c r="C299" t="inlineStr">
        <is>
          <t>004490</t>
        </is>
      </c>
      <c r="D299" t="inlineStr">
        <is>
          <t>별도</t>
        </is>
      </c>
      <c r="E299" t="inlineStr">
        <is>
          <t>2026Q2</t>
        </is>
      </c>
      <c r="F299" s="2" t="n">
        <v>405171</v>
      </c>
      <c r="G299" t="n">
        <v>-1</v>
      </c>
      <c r="H299" t="n">
        <v>-4.7</v>
      </c>
      <c r="I299" s="2" t="n">
        <v>38741</v>
      </c>
      <c r="J299" t="n">
        <v>6.7</v>
      </c>
      <c r="K299" t="n">
        <v>29</v>
      </c>
      <c r="L299" s="2" t="n">
        <v>37372</v>
      </c>
      <c r="M299" t="n">
        <v>95.90000000000001</v>
      </c>
      <c r="N299" t="inlineStr">
        <is>
          <t>20260804800499</t>
        </is>
      </c>
      <c r="O299">
        <f>HYPERLINK("https://dart.fss.or.kr/dsaf001/main.do?rcpNo=20260804800499", "공시열람")</f>
        <v/>
      </c>
    </row>
    <row r="300">
      <c r="A300" t="inlineStr">
        <is>
          <t>2026-08-04</t>
        </is>
      </c>
      <c r="B300" t="inlineStr">
        <is>
          <t>파라다이스</t>
        </is>
      </c>
      <c r="C300" t="inlineStr">
        <is>
          <t>034230</t>
        </is>
      </c>
      <c r="D300" t="inlineStr">
        <is>
          <t>연결</t>
        </is>
      </c>
      <c r="E300" t="inlineStr">
        <is>
          <t>2026Q2</t>
        </is>
      </c>
      <c r="F300" s="2" t="inlineStr"/>
      <c r="G300" t="inlineStr"/>
      <c r="H300" t="inlineStr"/>
      <c r="I300" s="2" t="inlineStr"/>
      <c r="J300" t="inlineStr"/>
      <c r="K300" t="inlineStr"/>
      <c r="L300" s="2" t="inlineStr"/>
      <c r="M300" t="inlineStr"/>
      <c r="N300" t="inlineStr">
        <is>
          <t>20260804800456</t>
        </is>
      </c>
      <c r="O300">
        <f>HYPERLINK("https://dart.fss.or.kr/dsaf001/main.do?rcpNo=20260804800456", "공시열람")</f>
        <v/>
      </c>
    </row>
    <row r="301">
      <c r="A301" t="inlineStr">
        <is>
          <t>2026-08-04</t>
        </is>
      </c>
      <c r="B301" t="inlineStr">
        <is>
          <t>이녹스첨단소재</t>
        </is>
      </c>
      <c r="C301" t="inlineStr">
        <is>
          <t>272290</t>
        </is>
      </c>
      <c r="D301" t="inlineStr">
        <is>
          <t>연결</t>
        </is>
      </c>
      <c r="E301" t="inlineStr">
        <is>
          <t>2026Q2</t>
        </is>
      </c>
      <c r="F301" s="2" t="n">
        <v>108667</v>
      </c>
      <c r="G301" t="n">
        <v>14.24</v>
      </c>
      <c r="H301" t="n">
        <v>-2.47</v>
      </c>
      <c r="I301" s="2" t="n">
        <v>10449</v>
      </c>
      <c r="J301" t="n">
        <v>-38.13</v>
      </c>
      <c r="K301" t="n">
        <v>-53.02</v>
      </c>
      <c r="L301" s="2" t="n">
        <v>18022</v>
      </c>
      <c r="M301" t="n">
        <v>41.62</v>
      </c>
      <c r="N301" t="inlineStr">
        <is>
          <t>20260804900464</t>
        </is>
      </c>
      <c r="O301">
        <f>HYPERLINK("https://dart.fss.or.kr/dsaf001/main.do?rcpNo=20260804900464", "공시열람")</f>
        <v/>
      </c>
    </row>
    <row r="302">
      <c r="A302" t="inlineStr">
        <is>
          <t>2026-08-04</t>
        </is>
      </c>
      <c r="B302" t="inlineStr">
        <is>
          <t>GS피앤엘</t>
        </is>
      </c>
      <c r="C302" t="inlineStr">
        <is>
          <t>499790</t>
        </is>
      </c>
      <c r="D302" t="inlineStr">
        <is>
          <t>연결</t>
        </is>
      </c>
      <c r="E302" t="inlineStr">
        <is>
          <t>2026Q2</t>
        </is>
      </c>
      <c r="F302" s="2" t="n">
        <v>158961</v>
      </c>
      <c r="G302" t="n">
        <v>21.9</v>
      </c>
      <c r="H302" t="n">
        <v>41.7</v>
      </c>
      <c r="I302" s="2" t="n">
        <v>29360</v>
      </c>
      <c r="J302" t="n">
        <v>21.5</v>
      </c>
      <c r="K302" t="n">
        <v>153.9</v>
      </c>
      <c r="L302" s="2" t="n">
        <v>19222</v>
      </c>
      <c r="M302" t="n">
        <v>219.6</v>
      </c>
      <c r="N302" t="inlineStr">
        <is>
          <t>20260804800436</t>
        </is>
      </c>
      <c r="O302">
        <f>HYPERLINK("https://dart.fss.or.kr/dsaf001/main.do?rcpNo=20260804800436", "공시열람")</f>
        <v/>
      </c>
    </row>
    <row r="303">
      <c r="A303" t="inlineStr">
        <is>
          <t>2026-08-04</t>
        </is>
      </c>
      <c r="B303" t="inlineStr">
        <is>
          <t>넥써쓰</t>
        </is>
      </c>
      <c r="C303" t="inlineStr">
        <is>
          <t>205500</t>
        </is>
      </c>
      <c r="D303" t="inlineStr">
        <is>
          <t>연결</t>
        </is>
      </c>
      <c r="E303" t="inlineStr">
        <is>
          <t>2026Q2</t>
        </is>
      </c>
      <c r="F303" s="2" t="n">
        <v>5806</v>
      </c>
      <c r="G303" t="n">
        <v>-50</v>
      </c>
      <c r="H303" t="n">
        <v>-37.8</v>
      </c>
      <c r="I303" s="2" t="n">
        <v>-5291</v>
      </c>
      <c r="J303" t="inlineStr"/>
      <c r="K303" t="inlineStr"/>
      <c r="L303" s="2" t="n">
        <v>8085</v>
      </c>
      <c r="M303" t="inlineStr"/>
      <c r="N303" t="inlineStr">
        <is>
          <t>20260804900504</t>
        </is>
      </c>
      <c r="O303">
        <f>HYPERLINK("https://dart.fss.or.kr/dsaf001/main.do?rcpNo=20260804900504", "공시열람")</f>
        <v/>
      </c>
    </row>
    <row r="304">
      <c r="A304" t="inlineStr">
        <is>
          <t>2026-08-04</t>
        </is>
      </c>
      <c r="B304" t="inlineStr">
        <is>
          <t>삼성증권</t>
        </is>
      </c>
      <c r="C304" t="inlineStr">
        <is>
          <t>016360</t>
        </is>
      </c>
      <c r="D304" t="inlineStr">
        <is>
          <t>연결</t>
        </is>
      </c>
      <c r="E304" t="inlineStr">
        <is>
          <t>2026Q2</t>
        </is>
      </c>
      <c r="F304" s="2" t="n">
        <v>9663857</v>
      </c>
      <c r="G304" t="n">
        <v>35.7</v>
      </c>
      <c r="H304" t="n">
        <v>111.6</v>
      </c>
      <c r="I304" s="2" t="n">
        <v>675795</v>
      </c>
      <c r="J304" t="n">
        <v>10.9</v>
      </c>
      <c r="K304" t="n">
        <v>119</v>
      </c>
      <c r="L304" s="2" t="n">
        <v>488224</v>
      </c>
      <c r="M304" t="n">
        <v>108.1</v>
      </c>
      <c r="N304" t="inlineStr">
        <is>
          <t>20260804800508</t>
        </is>
      </c>
      <c r="O304">
        <f>HYPERLINK("https://dart.fss.or.kr/dsaf001/main.do?rcpNo=20260804800508", "공시열람")</f>
        <v/>
      </c>
    </row>
    <row r="305">
      <c r="A305" t="inlineStr">
        <is>
          <t>2026-08-04</t>
        </is>
      </c>
      <c r="B305" t="inlineStr">
        <is>
          <t>셀트리온제약</t>
        </is>
      </c>
      <c r="C305" t="inlineStr">
        <is>
          <t>068760</t>
        </is>
      </c>
      <c r="D305" t="inlineStr">
        <is>
          <t>별도</t>
        </is>
      </c>
      <c r="E305" t="inlineStr">
        <is>
          <t>2026Q2</t>
        </is>
      </c>
      <c r="F305" s="2" t="n">
        <v>153291</v>
      </c>
      <c r="G305" t="n">
        <v>16.02</v>
      </c>
      <c r="H305" t="n">
        <v>16.75</v>
      </c>
      <c r="I305" s="2" t="n">
        <v>19306</v>
      </c>
      <c r="J305" t="n">
        <v>49.64</v>
      </c>
      <c r="K305" t="n">
        <v>24.37</v>
      </c>
      <c r="L305" s="2" t="n">
        <v>13721</v>
      </c>
      <c r="M305" t="n">
        <v>23.74</v>
      </c>
      <c r="N305" t="inlineStr">
        <is>
          <t>20260804900438</t>
        </is>
      </c>
      <c r="O305">
        <f>HYPERLINK("https://dart.fss.or.kr/dsaf001/main.do?rcpNo=20260804900438", "공시열람")</f>
        <v/>
      </c>
    </row>
    <row r="306">
      <c r="A306" t="inlineStr">
        <is>
          <t>2026-08-04</t>
        </is>
      </c>
      <c r="B306" t="inlineStr">
        <is>
          <t>강원랜드</t>
        </is>
      </c>
      <c r="C306" t="inlineStr">
        <is>
          <t>035250</t>
        </is>
      </c>
      <c r="D306" t="inlineStr">
        <is>
          <t>연결</t>
        </is>
      </c>
      <c r="E306" t="inlineStr">
        <is>
          <t>2026Q2</t>
        </is>
      </c>
      <c r="F306" s="2" t="n">
        <v>345551</v>
      </c>
      <c r="G306" t="n">
        <v>-8.800000000000001</v>
      </c>
      <c r="H306" t="n">
        <v>-4.2</v>
      </c>
      <c r="I306" s="2" t="n">
        <v>43180</v>
      </c>
      <c r="J306" t="n">
        <v>-37.3</v>
      </c>
      <c r="K306" t="n">
        <v>-26.2</v>
      </c>
      <c r="L306" s="2" t="n">
        <v>100345</v>
      </c>
      <c r="M306" t="n">
        <v>59.8</v>
      </c>
      <c r="N306" t="inlineStr">
        <is>
          <t>20260804800422</t>
        </is>
      </c>
      <c r="O306">
        <f>HYPERLINK("https://dart.fss.or.kr/dsaf001/main.do?rcpNo=20260804800422", "공시열람")</f>
        <v/>
      </c>
    </row>
    <row r="307">
      <c r="A307" t="inlineStr">
        <is>
          <t>2026-08-04</t>
        </is>
      </c>
      <c r="B307" t="inlineStr">
        <is>
          <t>롯데하이마트</t>
        </is>
      </c>
      <c r="C307" t="inlineStr">
        <is>
          <t>071840</t>
        </is>
      </c>
      <c r="D307" t="inlineStr">
        <is>
          <t>별도</t>
        </is>
      </c>
      <c r="E307" t="inlineStr">
        <is>
          <t>2026Q2</t>
        </is>
      </c>
      <c r="F307" s="2" t="n">
        <v>591096</v>
      </c>
      <c r="G307" t="n">
        <v>19</v>
      </c>
      <c r="H307" t="n">
        <v>-0.5</v>
      </c>
      <c r="I307" s="2" t="n">
        <v>918</v>
      </c>
      <c r="J307" t="inlineStr"/>
      <c r="K307" t="n">
        <v>-91.3</v>
      </c>
      <c r="L307" s="2" t="n">
        <v>-4470</v>
      </c>
      <c r="M307" t="inlineStr"/>
      <c r="N307" t="inlineStr">
        <is>
          <t>20260804800408</t>
        </is>
      </c>
      <c r="O307">
        <f>HYPERLINK("https://dart.fss.or.kr/dsaf001/main.do?rcpNo=20260804800408", "공시열람")</f>
        <v/>
      </c>
    </row>
    <row r="308">
      <c r="A308" t="inlineStr">
        <is>
          <t>2026-08-04</t>
        </is>
      </c>
      <c r="B308" t="inlineStr">
        <is>
          <t>지누스</t>
        </is>
      </c>
      <c r="C308" t="inlineStr">
        <is>
          <t>013890</t>
        </is>
      </c>
      <c r="D308" t="inlineStr">
        <is>
          <t>연결</t>
        </is>
      </c>
      <c r="E308" t="inlineStr">
        <is>
          <t>2026Q2</t>
        </is>
      </c>
      <c r="F308" s="2" t="n">
        <v>147542</v>
      </c>
      <c r="G308" t="n">
        <v>5.7</v>
      </c>
      <c r="H308" t="n">
        <v>-35.7</v>
      </c>
      <c r="I308" s="2" t="n">
        <v>-26701</v>
      </c>
      <c r="J308" t="n">
        <v>11.3</v>
      </c>
      <c r="K308" t="inlineStr"/>
      <c r="L308" s="2" t="n">
        <v>-22055</v>
      </c>
      <c r="M308" t="inlineStr"/>
      <c r="N308" t="inlineStr">
        <is>
          <t>20260804800397</t>
        </is>
      </c>
      <c r="O308">
        <f>HYPERLINK("https://dart.fss.or.kr/dsaf001/main.do?rcpNo=20260804800397", "공시열람")</f>
        <v/>
      </c>
    </row>
    <row r="309">
      <c r="A309" t="inlineStr">
        <is>
          <t>2026-08-04</t>
        </is>
      </c>
      <c r="B309" t="inlineStr">
        <is>
          <t>삼양패키징</t>
        </is>
      </c>
      <c r="C309" t="inlineStr">
        <is>
          <t>272550</t>
        </is>
      </c>
      <c r="D309" t="inlineStr">
        <is>
          <t>연결</t>
        </is>
      </c>
      <c r="E309" t="inlineStr">
        <is>
          <t>2026Q2</t>
        </is>
      </c>
      <c r="F309" s="2" t="n">
        <v>131481</v>
      </c>
      <c r="G309" t="n">
        <v>40.92</v>
      </c>
      <c r="H309" t="n">
        <v>9.470000000000001</v>
      </c>
      <c r="I309" s="2" t="n">
        <v>17047</v>
      </c>
      <c r="J309" t="n">
        <v>3654.85</v>
      </c>
      <c r="K309" t="n">
        <v>21.97</v>
      </c>
      <c r="L309" s="2" t="n">
        <v>13566</v>
      </c>
      <c r="M309" t="n">
        <v>-0.18</v>
      </c>
      <c r="N309" t="inlineStr">
        <is>
          <t>20260804800391</t>
        </is>
      </c>
      <c r="O309">
        <f>HYPERLINK("https://dart.fss.or.kr/dsaf001/main.do?rcpNo=20260804800391", "공시열람")</f>
        <v/>
      </c>
    </row>
    <row r="310">
      <c r="A310" t="inlineStr">
        <is>
          <t>2026-08-03</t>
        </is>
      </c>
      <c r="B310" t="inlineStr">
        <is>
          <t>현대제철</t>
        </is>
      </c>
      <c r="C310" t="inlineStr">
        <is>
          <t>004020</t>
        </is>
      </c>
      <c r="D310" t="inlineStr">
        <is>
          <t>별도</t>
        </is>
      </c>
      <c r="E310" t="inlineStr">
        <is>
          <t>2026Q2</t>
        </is>
      </c>
      <c r="F310" s="2" t="n">
        <v>4837900</v>
      </c>
      <c r="G310" t="n">
        <v>8.1</v>
      </c>
      <c r="H310" t="n">
        <v>3.4</v>
      </c>
      <c r="I310" s="2" t="n">
        <v>11100</v>
      </c>
      <c r="J310" t="inlineStr"/>
      <c r="K310" t="inlineStr"/>
      <c r="L310" s="2" t="n">
        <v>-18900</v>
      </c>
      <c r="M310" t="n">
        <v>-3.8</v>
      </c>
      <c r="N310" t="inlineStr">
        <is>
          <t>20260803800486</t>
        </is>
      </c>
      <c r="O310">
        <f>HYPERLINK("https://dart.fss.or.kr/dsaf001/main.do?rcpNo=20260803800486", "공시열람")</f>
        <v/>
      </c>
    </row>
    <row r="311">
      <c r="A311" t="inlineStr">
        <is>
          <t>2026-08-03</t>
        </is>
      </c>
      <c r="B311" t="inlineStr">
        <is>
          <t>뷰웍스</t>
        </is>
      </c>
      <c r="C311" t="inlineStr">
        <is>
          <t>100120</t>
        </is>
      </c>
      <c r="D311" t="inlineStr">
        <is>
          <t>연결</t>
        </is>
      </c>
      <c r="E311" t="inlineStr">
        <is>
          <t>2026Q2</t>
        </is>
      </c>
      <c r="F311" s="2" t="n">
        <v>63877</v>
      </c>
      <c r="G311" t="n">
        <v>9.800000000000001</v>
      </c>
      <c r="H311" t="n">
        <v>1.9</v>
      </c>
      <c r="I311" s="2" t="n">
        <v>10696</v>
      </c>
      <c r="J311" t="n">
        <v>21</v>
      </c>
      <c r="K311" t="n">
        <v>63.8</v>
      </c>
      <c r="L311" s="2" t="n">
        <v>14819</v>
      </c>
      <c r="M311" t="n">
        <v>656.8</v>
      </c>
      <c r="N311" t="inlineStr">
        <is>
          <t>20260803900567</t>
        </is>
      </c>
      <c r="O311">
        <f>HYPERLINK("https://dart.fss.or.kr/dsaf001/main.do?rcpNo=20260803900567", "공시열람")</f>
        <v/>
      </c>
    </row>
    <row r="312">
      <c r="A312" t="inlineStr">
        <is>
          <t>2026-08-03</t>
        </is>
      </c>
      <c r="B312" t="inlineStr">
        <is>
          <t>LX인터내셔널</t>
        </is>
      </c>
      <c r="C312" t="inlineStr">
        <is>
          <t>001120</t>
        </is>
      </c>
      <c r="D312" t="inlineStr">
        <is>
          <t>연결</t>
        </is>
      </c>
      <c r="E312" t="inlineStr">
        <is>
          <t>2026Q2</t>
        </is>
      </c>
      <c r="F312" s="2" t="n">
        <v>4776300</v>
      </c>
      <c r="G312" t="n">
        <v>13.4</v>
      </c>
      <c r="H312" t="n">
        <v>24.7</v>
      </c>
      <c r="I312" s="2" t="n">
        <v>117800</v>
      </c>
      <c r="J312" t="n">
        <v>8.199999999999999</v>
      </c>
      <c r="K312" t="n">
        <v>114.2</v>
      </c>
      <c r="L312" s="2" t="n">
        <v>78800</v>
      </c>
      <c r="M312" t="n">
        <v>40.2</v>
      </c>
      <c r="N312" t="inlineStr">
        <is>
          <t>20260803800465</t>
        </is>
      </c>
      <c r="O312">
        <f>HYPERLINK("https://dart.fss.or.kr/dsaf001/main.do?rcpNo=20260803800465", "공시열람")</f>
        <v/>
      </c>
    </row>
    <row r="313">
      <c r="A313" t="inlineStr">
        <is>
          <t>2026-08-03</t>
        </is>
      </c>
      <c r="B313" t="inlineStr">
        <is>
          <t>DL</t>
        </is>
      </c>
      <c r="C313" t="inlineStr">
        <is>
          <t>000210</t>
        </is>
      </c>
      <c r="D313" t="inlineStr">
        <is>
          <t>연결</t>
        </is>
      </c>
      <c r="E313" t="inlineStr">
        <is>
          <t>2026Q2</t>
        </is>
      </c>
      <c r="F313" s="2" t="n">
        <v>1667871</v>
      </c>
      <c r="G313" t="n">
        <v>30.02</v>
      </c>
      <c r="H313" t="n">
        <v>26.19</v>
      </c>
      <c r="I313" s="2" t="n">
        <v>256507</v>
      </c>
      <c r="J313" t="n">
        <v>127.28</v>
      </c>
      <c r="K313" t="n">
        <v>256.11</v>
      </c>
      <c r="L313" s="2" t="n">
        <v>152719</v>
      </c>
      <c r="M313" t="inlineStr"/>
      <c r="N313" t="inlineStr">
        <is>
          <t>20260803800482</t>
        </is>
      </c>
      <c r="O313">
        <f>HYPERLINK("https://dart.fss.or.kr/dsaf001/main.do?rcpNo=20260803800482", "공시열람")</f>
        <v/>
      </c>
    </row>
    <row r="314">
      <c r="A314" t="inlineStr">
        <is>
          <t>2026-08-03</t>
        </is>
      </c>
      <c r="B314" t="inlineStr">
        <is>
          <t>에스앤에스텍</t>
        </is>
      </c>
      <c r="C314" t="inlineStr">
        <is>
          <t>101490</t>
        </is>
      </c>
      <c r="D314" t="inlineStr">
        <is>
          <t>연결</t>
        </is>
      </c>
      <c r="E314" t="inlineStr">
        <is>
          <t>2026Q2</t>
        </is>
      </c>
      <c r="F314" s="2" t="n">
        <v>66415</v>
      </c>
      <c r="G314" t="n">
        <v>7.7</v>
      </c>
      <c r="H314" t="n">
        <v>9.5</v>
      </c>
      <c r="I314" s="2" t="n">
        <v>13595</v>
      </c>
      <c r="J314" t="n">
        <v>19.5</v>
      </c>
      <c r="K314" t="n">
        <v>2.3</v>
      </c>
      <c r="L314" s="2" t="n">
        <v>12743</v>
      </c>
      <c r="M314" t="n">
        <v>26.3</v>
      </c>
      <c r="N314" t="inlineStr">
        <is>
          <t>20260803900508</t>
        </is>
      </c>
      <c r="O314">
        <f>HYPERLINK("https://dart.fss.or.kr/dsaf001/main.do?rcpNo=20260803900508", "공시열람")</f>
        <v/>
      </c>
    </row>
    <row r="315">
      <c r="A315" t="inlineStr">
        <is>
          <t>2026-08-03</t>
        </is>
      </c>
      <c r="B315" t="inlineStr">
        <is>
          <t>현대제철</t>
        </is>
      </c>
      <c r="C315" t="inlineStr">
        <is>
          <t>004020</t>
        </is>
      </c>
      <c r="D315" t="inlineStr">
        <is>
          <t>연결</t>
        </is>
      </c>
      <c r="E315" t="inlineStr">
        <is>
          <t>2026Q2</t>
        </is>
      </c>
      <c r="F315" s="2" t="n">
        <v>6107300</v>
      </c>
      <c r="G315" t="n">
        <v>6.4</v>
      </c>
      <c r="H315" t="n">
        <v>2.7</v>
      </c>
      <c r="I315" s="2" t="n">
        <v>57700</v>
      </c>
      <c r="J315" t="n">
        <v>267.5</v>
      </c>
      <c r="K315" t="n">
        <v>-43.3</v>
      </c>
      <c r="L315" s="2" t="n">
        <v>12100</v>
      </c>
      <c r="M315" t="n">
        <v>-67.59999999999999</v>
      </c>
      <c r="N315" t="inlineStr">
        <is>
          <t>20260803800489</t>
        </is>
      </c>
      <c r="O315">
        <f>HYPERLINK("https://dart.fss.or.kr/dsaf001/main.do?rcpNo=20260803800489", "공시열람")</f>
        <v/>
      </c>
    </row>
    <row r="316">
      <c r="A316" t="inlineStr">
        <is>
          <t>2026-08-03</t>
        </is>
      </c>
      <c r="B316" t="inlineStr">
        <is>
          <t>기아</t>
        </is>
      </c>
      <c r="C316" t="inlineStr">
        <is>
          <t>000270</t>
        </is>
      </c>
      <c r="D316" t="inlineStr">
        <is>
          <t>별도</t>
        </is>
      </c>
      <c r="E316" t="inlineStr">
        <is>
          <t>2026Q2</t>
        </is>
      </c>
      <c r="F316" s="2" t="inlineStr"/>
      <c r="G316" t="inlineStr"/>
      <c r="H316" t="inlineStr"/>
      <c r="I316" s="2" t="inlineStr"/>
      <c r="J316" t="inlineStr"/>
      <c r="K316" t="inlineStr"/>
      <c r="L316" s="2" t="inlineStr"/>
      <c r="M316" t="inlineStr"/>
      <c r="N316" t="inlineStr">
        <is>
          <t>20260803800582</t>
        </is>
      </c>
      <c r="O316">
        <f>HYPERLINK("https://dart.fss.or.kr/dsaf001/main.do?rcpNo=20260803800582", "공시열람")</f>
        <v/>
      </c>
    </row>
    <row r="317">
      <c r="A317" t="inlineStr">
        <is>
          <t>2026-08-03</t>
        </is>
      </c>
      <c r="B317" t="inlineStr">
        <is>
          <t>현대퓨처넷</t>
        </is>
      </c>
      <c r="C317" t="inlineStr">
        <is>
          <t>126560</t>
        </is>
      </c>
      <c r="D317" t="inlineStr">
        <is>
          <t>연결</t>
        </is>
      </c>
      <c r="E317" t="inlineStr">
        <is>
          <t>2026Q2</t>
        </is>
      </c>
      <c r="F317" s="2" t="n">
        <v>71567</v>
      </c>
      <c r="G317" t="n">
        <v>1</v>
      </c>
      <c r="H317" t="n">
        <v>13.5</v>
      </c>
      <c r="I317" s="2" t="n">
        <v>6617</v>
      </c>
      <c r="J317" t="n">
        <v>53.6</v>
      </c>
      <c r="K317" t="n">
        <v>51.4</v>
      </c>
      <c r="L317" s="2" t="n">
        <v>8936</v>
      </c>
      <c r="M317" t="n">
        <v>0.2</v>
      </c>
      <c r="N317" t="inlineStr">
        <is>
          <t>20260803800446</t>
        </is>
      </c>
      <c r="O317">
        <f>HYPERLINK("https://dart.fss.or.kr/dsaf001/main.do?rcpNo=20260803800446", "공시열람")</f>
        <v/>
      </c>
    </row>
    <row r="318">
      <c r="A318" t="inlineStr">
        <is>
          <t>2026-08-03</t>
        </is>
      </c>
      <c r="B318" t="inlineStr">
        <is>
          <t>현대바이오랜드</t>
        </is>
      </c>
      <c r="C318" t="inlineStr">
        <is>
          <t>052260</t>
        </is>
      </c>
      <c r="D318" t="inlineStr">
        <is>
          <t>연결</t>
        </is>
      </c>
      <c r="E318" t="inlineStr">
        <is>
          <t>2026Q2</t>
        </is>
      </c>
      <c r="F318" s="2" t="n">
        <v>40273</v>
      </c>
      <c r="G318" t="n">
        <v>5.3</v>
      </c>
      <c r="H318" t="n">
        <v>16.4</v>
      </c>
      <c r="I318" s="2" t="n">
        <v>7044</v>
      </c>
      <c r="J318" t="n">
        <v>35.7</v>
      </c>
      <c r="K318" t="n">
        <v>27.9</v>
      </c>
      <c r="L318" s="2" t="n">
        <v>5963</v>
      </c>
      <c r="M318" t="n">
        <v>17</v>
      </c>
      <c r="N318" t="inlineStr">
        <is>
          <t>20260803900591</t>
        </is>
      </c>
      <c r="O318">
        <f>HYPERLINK("https://dart.fss.or.kr/dsaf001/main.do?rcpNo=20260803900591", "공시열람")</f>
        <v/>
      </c>
    </row>
    <row r="319">
      <c r="A319" t="inlineStr">
        <is>
          <t>2026-08-03</t>
        </is>
      </c>
      <c r="B319" t="inlineStr">
        <is>
          <t>한섬</t>
        </is>
      </c>
      <c r="C319" t="inlineStr">
        <is>
          <t>020000</t>
        </is>
      </c>
      <c r="D319" t="inlineStr">
        <is>
          <t>연결</t>
        </is>
      </c>
      <c r="E319" t="inlineStr">
        <is>
          <t>2026Q2</t>
        </is>
      </c>
      <c r="F319" s="2" t="n">
        <v>363202</v>
      </c>
      <c r="G319" t="n">
        <v>-11.5</v>
      </c>
      <c r="H319" t="n">
        <v>7.4</v>
      </c>
      <c r="I319" s="2" t="n">
        <v>4606</v>
      </c>
      <c r="J319" t="n">
        <v>-87.40000000000001</v>
      </c>
      <c r="K319" t="n">
        <v>525</v>
      </c>
      <c r="L319" s="2" t="n">
        <v>3300</v>
      </c>
      <c r="M319" t="n">
        <v>34.7</v>
      </c>
      <c r="N319" t="inlineStr">
        <is>
          <t>20260803800595</t>
        </is>
      </c>
      <c r="O319">
        <f>HYPERLINK("https://dart.fss.or.kr/dsaf001/main.do?rcpNo=20260803800595", "공시열람")</f>
        <v/>
      </c>
    </row>
    <row r="320">
      <c r="A320" t="inlineStr">
        <is>
          <t>2026-08-03</t>
        </is>
      </c>
      <c r="B320" t="inlineStr">
        <is>
          <t>롯데관광개발</t>
        </is>
      </c>
      <c r="C320" t="inlineStr">
        <is>
          <t>032350</t>
        </is>
      </c>
      <c r="D320" t="inlineStr">
        <is>
          <t>연결</t>
        </is>
      </c>
      <c r="E320" t="inlineStr">
        <is>
          <t>2026Q2</t>
        </is>
      </c>
      <c r="F320" s="2" t="inlineStr"/>
      <c r="G320" t="inlineStr"/>
      <c r="H320" t="inlineStr"/>
      <c r="I320" s="2" t="inlineStr"/>
      <c r="J320" t="inlineStr"/>
      <c r="K320" t="inlineStr"/>
      <c r="L320" s="2" t="inlineStr"/>
      <c r="M320" t="inlineStr"/>
      <c r="N320" t="inlineStr">
        <is>
          <t>20260803800659</t>
        </is>
      </c>
      <c r="O320">
        <f>HYPERLINK("https://dart.fss.or.kr/dsaf001/main.do?rcpNo=20260803800659", "공시열람")</f>
        <v/>
      </c>
    </row>
    <row r="321">
      <c r="A321" t="inlineStr">
        <is>
          <t>2026-08-03</t>
        </is>
      </c>
      <c r="B321" t="inlineStr">
        <is>
          <t>KG모빌리티</t>
        </is>
      </c>
      <c r="C321" t="inlineStr">
        <is>
          <t>003620</t>
        </is>
      </c>
      <c r="D321" t="inlineStr">
        <is>
          <t>별도</t>
        </is>
      </c>
      <c r="E321" t="inlineStr">
        <is>
          <t>2026Q2</t>
        </is>
      </c>
      <c r="F321" s="2" t="inlineStr"/>
      <c r="G321" t="inlineStr"/>
      <c r="H321" t="inlineStr"/>
      <c r="I321" s="2" t="inlineStr"/>
      <c r="J321" t="inlineStr"/>
      <c r="K321" t="inlineStr"/>
      <c r="L321" s="2" t="inlineStr"/>
      <c r="M321" t="inlineStr"/>
      <c r="N321" t="inlineStr">
        <is>
          <t>20260803800655</t>
        </is>
      </c>
      <c r="O321">
        <f>HYPERLINK("https://dart.fss.or.kr/dsaf001/main.do?rcpNo=20260803800655", "공시열람")</f>
        <v/>
      </c>
    </row>
    <row r="322">
      <c r="A322" t="inlineStr">
        <is>
          <t>2026-08-03</t>
        </is>
      </c>
      <c r="B322" t="inlineStr">
        <is>
          <t>현대자동차</t>
        </is>
      </c>
      <c r="C322" t="inlineStr">
        <is>
          <t>005380</t>
        </is>
      </c>
      <c r="D322" t="inlineStr">
        <is>
          <t>별도</t>
        </is>
      </c>
      <c r="E322" t="inlineStr">
        <is>
          <t>2026Q2</t>
        </is>
      </c>
      <c r="F322" s="2" t="inlineStr"/>
      <c r="G322" t="inlineStr"/>
      <c r="H322" t="inlineStr"/>
      <c r="I322" s="2" t="inlineStr"/>
      <c r="J322" t="inlineStr"/>
      <c r="K322" t="inlineStr"/>
      <c r="L322" s="2" t="inlineStr"/>
      <c r="M322" t="inlineStr"/>
      <c r="N322" t="inlineStr">
        <is>
          <t>20260803800709</t>
        </is>
      </c>
      <c r="O322">
        <f>HYPERLINK("https://dart.fss.or.kr/dsaf001/main.do?rcpNo=20260803800709", "공시열람")</f>
        <v/>
      </c>
    </row>
    <row r="323">
      <c r="A323" t="inlineStr">
        <is>
          <t>2026-08-03</t>
        </is>
      </c>
      <c r="B323" t="inlineStr">
        <is>
          <t>현대비앤지스틸</t>
        </is>
      </c>
      <c r="C323" t="inlineStr">
        <is>
          <t>004560</t>
        </is>
      </c>
      <c r="D323" t="inlineStr">
        <is>
          <t>연결</t>
        </is>
      </c>
      <c r="E323" t="inlineStr">
        <is>
          <t>2026Q2</t>
        </is>
      </c>
      <c r="F323" s="2" t="n">
        <v>202787</v>
      </c>
      <c r="G323" t="n">
        <v>1.5</v>
      </c>
      <c r="H323" t="n">
        <v>7.6</v>
      </c>
      <c r="I323" s="2" t="n">
        <v>9532</v>
      </c>
      <c r="J323" t="n">
        <v>13.7</v>
      </c>
      <c r="K323" t="n">
        <v>-2.8</v>
      </c>
      <c r="L323" s="2" t="n">
        <v>5300</v>
      </c>
      <c r="M323" t="n">
        <v>29.2</v>
      </c>
      <c r="N323" t="inlineStr">
        <is>
          <t>20260803800729</t>
        </is>
      </c>
      <c r="O323">
        <f>HYPERLINK("https://dart.fss.or.kr/dsaf001/main.do?rcpNo=20260803800729", "공시열람")</f>
        <v/>
      </c>
    </row>
    <row r="324">
      <c r="A324" t="inlineStr">
        <is>
          <t>2026-08-03</t>
        </is>
      </c>
      <c r="B324" t="inlineStr">
        <is>
          <t>제이에스코퍼레이션</t>
        </is>
      </c>
      <c r="C324" t="inlineStr">
        <is>
          <t>194370</t>
        </is>
      </c>
      <c r="D324" t="inlineStr">
        <is>
          <t>연결</t>
        </is>
      </c>
      <c r="E324" t="inlineStr">
        <is>
          <t>2026Q2</t>
        </is>
      </c>
      <c r="F324" s="2" t="n">
        <v>453516</v>
      </c>
      <c r="G324" t="n">
        <v>47.23</v>
      </c>
      <c r="H324" t="n">
        <v>42.92</v>
      </c>
      <c r="I324" s="2" t="n">
        <v>56476</v>
      </c>
      <c r="J324" t="n">
        <v>83.38</v>
      </c>
      <c r="K324" t="n">
        <v>100.85</v>
      </c>
      <c r="L324" s="2" t="n">
        <v>28353</v>
      </c>
      <c r="M324" t="n">
        <v>23.85</v>
      </c>
      <c r="N324" t="inlineStr">
        <is>
          <t>20260803800447</t>
        </is>
      </c>
      <c r="O324">
        <f>HYPERLINK("https://dart.fss.or.kr/dsaf001/main.do?rcpNo=20260803800447", "공시열람")</f>
        <v/>
      </c>
    </row>
    <row r="325">
      <c r="A325" t="inlineStr">
        <is>
          <t>2026-08-03</t>
        </is>
      </c>
      <c r="B325" t="inlineStr">
        <is>
          <t>제이엠아이</t>
        </is>
      </c>
      <c r="C325" t="inlineStr">
        <is>
          <t>033050</t>
        </is>
      </c>
      <c r="D325" t="inlineStr">
        <is>
          <t>연결</t>
        </is>
      </c>
      <c r="E325" t="inlineStr">
        <is>
          <t>2026Q2</t>
        </is>
      </c>
      <c r="F325" s="2" t="n">
        <v>30578</v>
      </c>
      <c r="G325" t="n">
        <v>-1.8</v>
      </c>
      <c r="H325" t="n">
        <v>43.1</v>
      </c>
      <c r="I325" s="2" t="n">
        <v>1782</v>
      </c>
      <c r="J325" t="n">
        <v>72.2</v>
      </c>
      <c r="K325" t="n">
        <v>305.5</v>
      </c>
      <c r="L325" s="2" t="n">
        <v>1978</v>
      </c>
      <c r="M325" t="inlineStr"/>
      <c r="N325" t="inlineStr">
        <is>
          <t>20260803900292</t>
        </is>
      </c>
      <c r="O325">
        <f>HYPERLINK("https://dart.fss.or.kr/dsaf001/main.do?rcpNo=20260803900292", "공시열람")</f>
        <v/>
      </c>
    </row>
    <row r="326">
      <c r="A326" t="inlineStr">
        <is>
          <t>2026-08-03</t>
        </is>
      </c>
      <c r="B326" t="inlineStr">
        <is>
          <t>씨엠티엑스</t>
        </is>
      </c>
      <c r="C326" t="inlineStr">
        <is>
          <t>388210</t>
        </is>
      </c>
      <c r="D326" t="inlineStr">
        <is>
          <t>연결</t>
        </is>
      </c>
      <c r="E326" t="inlineStr">
        <is>
          <t>2026Q2</t>
        </is>
      </c>
      <c r="F326" s="2" t="n">
        <v>47897</v>
      </c>
      <c r="G326" t="n">
        <v>8.6</v>
      </c>
      <c r="H326" t="n">
        <v>18.6</v>
      </c>
      <c r="I326" s="2" t="n">
        <v>15575</v>
      </c>
      <c r="J326" t="n">
        <v>15.3</v>
      </c>
      <c r="K326" t="n">
        <v>13.8</v>
      </c>
      <c r="L326" s="2" t="n">
        <v>15986</v>
      </c>
      <c r="M326" t="inlineStr"/>
      <c r="N326" t="inlineStr">
        <is>
          <t>20260803900434</t>
        </is>
      </c>
      <c r="O326">
        <f>HYPERLINK("https://dart.fss.or.kr/dsaf001/main.do?rcpNo=20260803900434", "공시열람")</f>
        <v/>
      </c>
    </row>
    <row r="327">
      <c r="A327" t="inlineStr">
        <is>
          <t>2026-08-03</t>
        </is>
      </c>
      <c r="B327" t="inlineStr">
        <is>
          <t>디지털대성</t>
        </is>
      </c>
      <c r="C327" t="inlineStr">
        <is>
          <t>068930</t>
        </is>
      </c>
      <c r="D327" t="inlineStr">
        <is>
          <t>연결</t>
        </is>
      </c>
      <c r="E327" t="inlineStr">
        <is>
          <t>2026Q2</t>
        </is>
      </c>
      <c r="F327" s="2" t="n">
        <v>69025</v>
      </c>
      <c r="G327" t="n">
        <v>-1.09</v>
      </c>
      <c r="H327" t="n">
        <v>16.38</v>
      </c>
      <c r="I327" s="2" t="n">
        <v>15111</v>
      </c>
      <c r="J327" t="n">
        <v>48.73</v>
      </c>
      <c r="K327" t="n">
        <v>49.94</v>
      </c>
      <c r="L327" s="2" t="n">
        <v>20130</v>
      </c>
      <c r="M327" t="n">
        <v>144.56</v>
      </c>
      <c r="N327" t="inlineStr">
        <is>
          <t>20260803900410</t>
        </is>
      </c>
      <c r="O327">
        <f>HYPERLINK("https://dart.fss.or.kr/dsaf001/main.do?rcpNo=20260803900410", "공시열람")</f>
        <v/>
      </c>
    </row>
    <row r="328">
      <c r="A328" t="inlineStr">
        <is>
          <t>2026-08-03</t>
        </is>
      </c>
      <c r="B328" t="inlineStr">
        <is>
          <t>티엘비</t>
        </is>
      </c>
      <c r="C328" t="inlineStr">
        <is>
          <t>356860</t>
        </is>
      </c>
      <c r="D328" t="inlineStr">
        <is>
          <t>연결</t>
        </is>
      </c>
      <c r="E328" t="inlineStr">
        <is>
          <t>2026Q2</t>
        </is>
      </c>
      <c r="F328" s="2" t="n">
        <v>88243</v>
      </c>
      <c r="G328" t="n">
        <v>16.4</v>
      </c>
      <c r="H328" t="n">
        <v>37.8</v>
      </c>
      <c r="I328" s="2" t="n">
        <v>12773</v>
      </c>
      <c r="J328" t="n">
        <v>19.2</v>
      </c>
      <c r="K328" t="n">
        <v>86.3</v>
      </c>
      <c r="L328" s="2" t="n">
        <v>10759</v>
      </c>
      <c r="M328" t="n">
        <v>138.8</v>
      </c>
      <c r="N328" t="inlineStr">
        <is>
          <t>20260803900381</t>
        </is>
      </c>
      <c r="O328">
        <f>HYPERLINK("https://dart.fss.or.kr/dsaf001/main.do?rcpNo=20260803900381", "공시열람")</f>
        <v/>
      </c>
    </row>
    <row r="329">
      <c r="A329" t="inlineStr">
        <is>
          <t>2026-08-03</t>
        </is>
      </c>
      <c r="B329" t="inlineStr">
        <is>
          <t>폰드그룹</t>
        </is>
      </c>
      <c r="C329" t="inlineStr">
        <is>
          <t>472850</t>
        </is>
      </c>
      <c r="D329" t="inlineStr">
        <is>
          <t>연결</t>
        </is>
      </c>
      <c r="E329" t="inlineStr">
        <is>
          <t>2026Q2</t>
        </is>
      </c>
      <c r="F329" s="2" t="n">
        <v>149373</v>
      </c>
      <c r="G329" t="n">
        <v>27.8</v>
      </c>
      <c r="H329" t="n">
        <v>33.3</v>
      </c>
      <c r="I329" s="2" t="n">
        <v>21755</v>
      </c>
      <c r="J329" t="n">
        <v>28.2</v>
      </c>
      <c r="K329" t="n">
        <v>38.1</v>
      </c>
      <c r="L329" s="2" t="n">
        <v>18009</v>
      </c>
      <c r="M329" t="n">
        <v>59</v>
      </c>
      <c r="N329" t="inlineStr">
        <is>
          <t>20260803900309</t>
        </is>
      </c>
      <c r="O329">
        <f>HYPERLINK("https://dart.fss.or.kr/dsaf001/main.do?rcpNo=20260803900309", "공시열람")</f>
        <v/>
      </c>
    </row>
    <row r="330">
      <c r="A330" t="inlineStr">
        <is>
          <t>2026-08-03</t>
        </is>
      </c>
      <c r="B330" t="inlineStr">
        <is>
          <t>S-Oil</t>
        </is>
      </c>
      <c r="C330" t="inlineStr">
        <is>
          <t>010950</t>
        </is>
      </c>
      <c r="D330" t="inlineStr">
        <is>
          <t>연결</t>
        </is>
      </c>
      <c r="E330" t="inlineStr">
        <is>
          <t>2026Q2</t>
        </is>
      </c>
      <c r="F330" s="2" t="n">
        <v>11343488</v>
      </c>
      <c r="G330" t="n">
        <v>26.8</v>
      </c>
      <c r="H330" t="n">
        <v>40.9</v>
      </c>
      <c r="I330" s="2" t="n">
        <v>965015</v>
      </c>
      <c r="J330" t="n">
        <v>-21.6</v>
      </c>
      <c r="K330" t="inlineStr"/>
      <c r="L330" s="2" t="n">
        <v>514584</v>
      </c>
      <c r="M330" t="inlineStr"/>
      <c r="N330" t="inlineStr">
        <is>
          <t>20260803800274</t>
        </is>
      </c>
      <c r="O330">
        <f>HYPERLINK("https://dart.fss.or.kr/dsaf001/main.do?rcpNo=20260803800274", "공시열람")</f>
        <v/>
      </c>
    </row>
    <row r="331">
      <c r="A331" t="inlineStr">
        <is>
          <t>2026-08-03</t>
        </is>
      </c>
      <c r="B331" t="inlineStr">
        <is>
          <t>디아이</t>
        </is>
      </c>
      <c r="C331" t="inlineStr">
        <is>
          <t>003160</t>
        </is>
      </c>
      <c r="D331" t="inlineStr">
        <is>
          <t>연결</t>
        </is>
      </c>
      <c r="E331" t="inlineStr">
        <is>
          <t>2026Q2</t>
        </is>
      </c>
      <c r="F331" s="2" t="n">
        <v>168632</v>
      </c>
      <c r="G331" t="n">
        <v>59.5</v>
      </c>
      <c r="H331" t="n">
        <v>41.4</v>
      </c>
      <c r="I331" s="2" t="n">
        <v>39590</v>
      </c>
      <c r="J331" t="n">
        <v>109.8</v>
      </c>
      <c r="K331" t="n">
        <v>223.2</v>
      </c>
      <c r="L331" s="2" t="n">
        <v>31839</v>
      </c>
      <c r="M331" t="n">
        <v>260.1</v>
      </c>
      <c r="N331" t="inlineStr">
        <is>
          <t>20260803800435</t>
        </is>
      </c>
      <c r="O331">
        <f>HYPERLINK("https://dart.fss.or.kr/dsaf001/main.do?rcpNo=20260803800435", "공시열람")</f>
        <v/>
      </c>
    </row>
    <row r="332">
      <c r="A332" t="inlineStr">
        <is>
          <t>2026-07-31</t>
        </is>
      </c>
      <c r="B332" t="inlineStr">
        <is>
          <t>동원시스템즈</t>
        </is>
      </c>
      <c r="C332" t="inlineStr">
        <is>
          <t>014820</t>
        </is>
      </c>
      <c r="D332" t="inlineStr">
        <is>
          <t>별도</t>
        </is>
      </c>
      <c r="E332" t="inlineStr">
        <is>
          <t>2026Q2</t>
        </is>
      </c>
      <c r="F332" s="2" t="n">
        <v>370290</v>
      </c>
      <c r="G332" t="n">
        <v>18.42</v>
      </c>
      <c r="H332" t="n">
        <v>8.67</v>
      </c>
      <c r="I332" s="2" t="n">
        <v>24503</v>
      </c>
      <c r="J332" t="n">
        <v>155.25</v>
      </c>
      <c r="K332" t="n">
        <v>9.69</v>
      </c>
      <c r="L332" s="2" t="n">
        <v>17931</v>
      </c>
      <c r="M332" t="n">
        <v>-42.42</v>
      </c>
      <c r="N332" t="inlineStr">
        <is>
          <t>20260731800340</t>
        </is>
      </c>
      <c r="O332">
        <f>HYPERLINK("https://dart.fss.or.kr/dsaf001/main.do?rcpNo=20260731800340", "공시열람")</f>
        <v/>
      </c>
    </row>
    <row r="333">
      <c r="A333" t="inlineStr">
        <is>
          <t>2026-07-31</t>
        </is>
      </c>
      <c r="B333" t="inlineStr">
        <is>
          <t>SNT다이내믹스</t>
        </is>
      </c>
      <c r="C333" t="inlineStr">
        <is>
          <t>003570</t>
        </is>
      </c>
      <c r="D333" t="inlineStr">
        <is>
          <t>연결</t>
        </is>
      </c>
      <c r="E333" t="inlineStr">
        <is>
          <t>2026Q2</t>
        </is>
      </c>
      <c r="F333" s="2" t="n">
        <v>196313</v>
      </c>
      <c r="G333" t="n">
        <v>9.1</v>
      </c>
      <c r="H333" t="n">
        <v>5.2</v>
      </c>
      <c r="I333" s="2" t="n">
        <v>17188</v>
      </c>
      <c r="J333" t="n">
        <v>-19.3</v>
      </c>
      <c r="K333" t="n">
        <v>-41.9</v>
      </c>
      <c r="L333" s="2" t="n">
        <v>13114</v>
      </c>
      <c r="M333" t="n">
        <v>-53.2</v>
      </c>
      <c r="N333" t="inlineStr">
        <is>
          <t>20260731800083</t>
        </is>
      </c>
      <c r="O333">
        <f>HYPERLINK("https://dart.fss.or.kr/dsaf001/main.do?rcpNo=20260731800083", "공시열람")</f>
        <v/>
      </c>
    </row>
    <row r="334">
      <c r="A334" t="inlineStr">
        <is>
          <t>2026-07-31</t>
        </is>
      </c>
      <c r="B334" t="inlineStr">
        <is>
          <t>LG화학</t>
        </is>
      </c>
      <c r="C334" t="inlineStr">
        <is>
          <t>051910</t>
        </is>
      </c>
      <c r="D334" t="inlineStr">
        <is>
          <t>연결</t>
        </is>
      </c>
      <c r="E334" t="inlineStr">
        <is>
          <t>2026Q2</t>
        </is>
      </c>
      <c r="F334" s="2" t="n">
        <v>14175900</v>
      </c>
      <c r="G334" t="n">
        <v>15.8</v>
      </c>
      <c r="H334" t="n">
        <v>19</v>
      </c>
      <c r="I334" s="2" t="n">
        <v>599600</v>
      </c>
      <c r="J334" t="inlineStr"/>
      <c r="K334" t="n">
        <v>25.8</v>
      </c>
      <c r="L334" s="2" t="n">
        <v>66800</v>
      </c>
      <c r="M334" t="inlineStr"/>
      <c r="N334" t="inlineStr">
        <is>
          <t>20260731800447</t>
        </is>
      </c>
      <c r="O334">
        <f>HYPERLINK("https://dart.fss.or.kr/dsaf001/main.do?rcpNo=20260731800447", "공시열람")</f>
        <v/>
      </c>
    </row>
    <row r="335">
      <c r="A335" t="inlineStr">
        <is>
          <t>2026-07-31</t>
        </is>
      </c>
      <c r="B335" t="inlineStr">
        <is>
          <t>녹십자웰빙</t>
        </is>
      </c>
      <c r="C335" t="inlineStr">
        <is>
          <t>234690</t>
        </is>
      </c>
      <c r="D335" t="inlineStr">
        <is>
          <t>연결</t>
        </is>
      </c>
      <c r="E335" t="inlineStr">
        <is>
          <t>2026Q2</t>
        </is>
      </c>
      <c r="F335" s="2" t="n">
        <v>52082</v>
      </c>
      <c r="G335" t="n">
        <v>6</v>
      </c>
      <c r="H335" t="n">
        <v>33.8</v>
      </c>
      <c r="I335" s="2" t="n">
        <v>4629</v>
      </c>
      <c r="J335" t="n">
        <v>-4</v>
      </c>
      <c r="K335" t="n">
        <v>9.6</v>
      </c>
      <c r="L335" s="2" t="n">
        <v>3965</v>
      </c>
      <c r="M335" t="n">
        <v>1060.4</v>
      </c>
      <c r="N335" t="inlineStr">
        <is>
          <t>20260731900405</t>
        </is>
      </c>
      <c r="O335">
        <f>HYPERLINK("https://dart.fss.or.kr/dsaf001/main.do?rcpNo=20260731900405", "공시열람")</f>
        <v/>
      </c>
    </row>
    <row r="336">
      <c r="A336" t="inlineStr">
        <is>
          <t>2026-07-31</t>
        </is>
      </c>
      <c r="B336" t="inlineStr">
        <is>
          <t>녹십자웰빙</t>
        </is>
      </c>
      <c r="C336" t="inlineStr">
        <is>
          <t>234690</t>
        </is>
      </c>
      <c r="D336" t="inlineStr">
        <is>
          <t>연결</t>
        </is>
      </c>
      <c r="E336" t="inlineStr">
        <is>
          <t>2026Q2</t>
        </is>
      </c>
      <c r="F336" s="2" t="n">
        <v>52082</v>
      </c>
      <c r="G336" t="n">
        <v>6</v>
      </c>
      <c r="H336" t="n">
        <v>33.8</v>
      </c>
      <c r="I336" s="2" t="n">
        <v>4629</v>
      </c>
      <c r="J336" t="n">
        <v>-4</v>
      </c>
      <c r="K336" t="n">
        <v>9.6</v>
      </c>
      <c r="L336" s="2" t="n">
        <v>3965</v>
      </c>
      <c r="M336" t="n">
        <v>1060.4</v>
      </c>
      <c r="N336" t="inlineStr">
        <is>
          <t>20260731900343</t>
        </is>
      </c>
      <c r="O336">
        <f>HYPERLINK("https://dart.fss.or.kr/dsaf001/main.do?rcpNo=20260731900343", "공시열람")</f>
        <v/>
      </c>
    </row>
    <row r="337">
      <c r="A337" t="inlineStr">
        <is>
          <t>2026-07-31</t>
        </is>
      </c>
      <c r="B337" t="inlineStr">
        <is>
          <t>팬오션</t>
        </is>
      </c>
      <c r="C337" t="inlineStr">
        <is>
          <t>028670</t>
        </is>
      </c>
      <c r="D337" t="inlineStr">
        <is>
          <t>연결</t>
        </is>
      </c>
      <c r="E337" t="inlineStr">
        <is>
          <t>2026Q2</t>
        </is>
      </c>
      <c r="F337" s="2" t="n">
        <v>1913700</v>
      </c>
      <c r="G337" t="n">
        <v>26.8</v>
      </c>
      <c r="H337" t="n">
        <v>47.9</v>
      </c>
      <c r="I337" s="2" t="n">
        <v>193700</v>
      </c>
      <c r="J337" t="n">
        <v>37.4</v>
      </c>
      <c r="K337" t="n">
        <v>57.4</v>
      </c>
      <c r="L337" s="2" t="n">
        <v>137500</v>
      </c>
      <c r="M337" t="n">
        <v>11.9</v>
      </c>
      <c r="N337" t="inlineStr">
        <is>
          <t>20260731800183</t>
        </is>
      </c>
      <c r="O337">
        <f>HYPERLINK("https://dart.fss.or.kr/dsaf001/main.do?rcpNo=20260731800183", "공시열람")</f>
        <v/>
      </c>
    </row>
    <row r="338">
      <c r="A338" t="inlineStr">
        <is>
          <t>2026-07-31</t>
        </is>
      </c>
      <c r="B338" t="inlineStr">
        <is>
          <t>동원시스템즈</t>
        </is>
      </c>
      <c r="C338" t="inlineStr">
        <is>
          <t>014820</t>
        </is>
      </c>
      <c r="D338" t="inlineStr">
        <is>
          <t>연결</t>
        </is>
      </c>
      <c r="E338" t="inlineStr">
        <is>
          <t>2026Q2</t>
        </is>
      </c>
      <c r="F338" s="2" t="n">
        <v>402189</v>
      </c>
      <c r="G338" t="n">
        <v>19.06</v>
      </c>
      <c r="H338" t="n">
        <v>9.779999999999999</v>
      </c>
      <c r="I338" s="2" t="n">
        <v>31383</v>
      </c>
      <c r="J338" t="n">
        <v>140.71</v>
      </c>
      <c r="K338" t="n">
        <v>21.13</v>
      </c>
      <c r="L338" s="2" t="n">
        <v>20180</v>
      </c>
      <c r="M338" t="n">
        <v>27.52</v>
      </c>
      <c r="N338" t="inlineStr">
        <is>
          <t>20260731800329</t>
        </is>
      </c>
      <c r="O338">
        <f>HYPERLINK("https://dart.fss.or.kr/dsaf001/main.do?rcpNo=20260731800329", "공시열람")</f>
        <v/>
      </c>
    </row>
    <row r="339">
      <c r="A339" t="inlineStr">
        <is>
          <t>2026-07-31</t>
        </is>
      </c>
      <c r="B339" t="inlineStr">
        <is>
          <t>파수AI</t>
        </is>
      </c>
      <c r="C339" t="inlineStr">
        <is>
          <t>150900</t>
        </is>
      </c>
      <c r="D339" t="inlineStr">
        <is>
          <t>연결</t>
        </is>
      </c>
      <c r="E339" t="inlineStr">
        <is>
          <t>2026Q2</t>
        </is>
      </c>
      <c r="F339" s="2" t="n">
        <v>13128</v>
      </c>
      <c r="G339" t="n">
        <v>45.8</v>
      </c>
      <c r="H339" t="n">
        <v>22.7</v>
      </c>
      <c r="I339" s="2" t="n">
        <v>1006</v>
      </c>
      <c r="J339" t="inlineStr"/>
      <c r="K339" t="inlineStr"/>
      <c r="L339" s="2" t="n">
        <v>1050</v>
      </c>
      <c r="M339" t="inlineStr"/>
      <c r="N339" t="inlineStr">
        <is>
          <t>20260731900212</t>
        </is>
      </c>
      <c r="O339">
        <f>HYPERLINK("https://dart.fss.or.kr/dsaf001/main.do?rcpNo=20260731900212", "공시열람")</f>
        <v/>
      </c>
    </row>
    <row r="340">
      <c r="A340" t="inlineStr">
        <is>
          <t>2026-07-31</t>
        </is>
      </c>
      <c r="B340" t="inlineStr">
        <is>
          <t>LG씨엔에스</t>
        </is>
      </c>
      <c r="C340" t="inlineStr">
        <is>
          <t>064400</t>
        </is>
      </c>
      <c r="D340" t="inlineStr">
        <is>
          <t>연결</t>
        </is>
      </c>
      <c r="E340" t="inlineStr">
        <is>
          <t>2026Q2</t>
        </is>
      </c>
      <c r="F340" s="2" t="n">
        <v>1520828</v>
      </c>
      <c r="G340" t="n">
        <v>15.7</v>
      </c>
      <c r="H340" t="n">
        <v>4.2</v>
      </c>
      <c r="I340" s="2" t="n">
        <v>127880</v>
      </c>
      <c r="J340" t="n">
        <v>35.8</v>
      </c>
      <c r="K340" t="n">
        <v>-9.199999999999999</v>
      </c>
      <c r="L340" s="2" t="n">
        <v>118738</v>
      </c>
      <c r="M340" t="n">
        <v>19.9</v>
      </c>
      <c r="N340" t="inlineStr">
        <is>
          <t>20260731800155</t>
        </is>
      </c>
      <c r="O340">
        <f>HYPERLINK("https://dart.fss.or.kr/dsaf001/main.do?rcpNo=20260731800155", "공시열람")</f>
        <v/>
      </c>
    </row>
    <row r="341">
      <c r="A341" t="inlineStr">
        <is>
          <t>2026-07-31</t>
        </is>
      </c>
      <c r="B341" t="inlineStr">
        <is>
          <t>SNT홀딩스</t>
        </is>
      </c>
      <c r="C341" t="inlineStr">
        <is>
          <t>036530</t>
        </is>
      </c>
      <c r="D341" t="inlineStr">
        <is>
          <t>연결</t>
        </is>
      </c>
      <c r="E341" t="inlineStr">
        <is>
          <t>2026Q2</t>
        </is>
      </c>
      <c r="F341" s="2" t="n">
        <v>523773</v>
      </c>
      <c r="G341" t="n">
        <v>9.01</v>
      </c>
      <c r="H341" t="n">
        <v>-6.66</v>
      </c>
      <c r="I341" s="2" t="n">
        <v>63980</v>
      </c>
      <c r="J341" t="n">
        <v>-0.98</v>
      </c>
      <c r="K341" t="n">
        <v>-24.12</v>
      </c>
      <c r="L341" s="2" t="n">
        <v>31164</v>
      </c>
      <c r="M341" t="n">
        <v>-43.36</v>
      </c>
      <c r="N341" t="inlineStr">
        <is>
          <t>20260731800096</t>
        </is>
      </c>
      <c r="O341">
        <f>HYPERLINK("https://dart.fss.or.kr/dsaf001/main.do?rcpNo=20260731800096", "공시열람")</f>
        <v/>
      </c>
    </row>
    <row r="342">
      <c r="A342" t="inlineStr">
        <is>
          <t>2026-07-31</t>
        </is>
      </c>
      <c r="B342" t="inlineStr">
        <is>
          <t>효성중공업</t>
        </is>
      </c>
      <c r="C342" t="inlineStr">
        <is>
          <t>298040</t>
        </is>
      </c>
      <c r="D342" t="inlineStr">
        <is>
          <t>연결</t>
        </is>
      </c>
      <c r="E342" t="inlineStr">
        <is>
          <t>2026Q2</t>
        </is>
      </c>
      <c r="F342" s="2" t="n">
        <v>1686978</v>
      </c>
      <c r="G342" t="n">
        <v>24.21</v>
      </c>
      <c r="H342" t="n">
        <v>10.6</v>
      </c>
      <c r="I342" s="2" t="n">
        <v>264287</v>
      </c>
      <c r="J342" t="n">
        <v>73.51000000000001</v>
      </c>
      <c r="K342" t="n">
        <v>60.89</v>
      </c>
      <c r="L342" s="2" t="n">
        <v>171741</v>
      </c>
      <c r="M342" t="n">
        <v>96.61</v>
      </c>
      <c r="N342" t="inlineStr">
        <is>
          <t>20260731800883</t>
        </is>
      </c>
      <c r="O342">
        <f>HYPERLINK("https://dart.fss.or.kr/dsaf001/main.do?rcpNo=20260731800883", "공시열람")</f>
        <v/>
      </c>
    </row>
    <row r="343">
      <c r="A343" t="inlineStr">
        <is>
          <t>2026-07-31</t>
        </is>
      </c>
      <c r="B343" t="inlineStr">
        <is>
          <t>SNT모티브</t>
        </is>
      </c>
      <c r="C343" t="inlineStr">
        <is>
          <t>064960</t>
        </is>
      </c>
      <c r="D343" t="inlineStr">
        <is>
          <t>연결</t>
        </is>
      </c>
      <c r="E343" t="inlineStr">
        <is>
          <t>2026Q2</t>
        </is>
      </c>
      <c r="F343" s="2" t="n">
        <v>258025</v>
      </c>
      <c r="G343" t="n">
        <v>19.7</v>
      </c>
      <c r="H343" t="n">
        <v>0.2</v>
      </c>
      <c r="I343" s="2" t="n">
        <v>25842</v>
      </c>
      <c r="J343" t="n">
        <v>20</v>
      </c>
      <c r="K343" t="n">
        <v>-3</v>
      </c>
      <c r="L343" s="2" t="n">
        <v>23814</v>
      </c>
      <c r="M343" t="n">
        <v>68.09999999999999</v>
      </c>
      <c r="N343" t="inlineStr">
        <is>
          <t>20260731800085</t>
        </is>
      </c>
      <c r="O343">
        <f>HYPERLINK("https://dart.fss.or.kr/dsaf001/main.do?rcpNo=20260731800085", "공시열람")</f>
        <v/>
      </c>
    </row>
    <row r="344">
      <c r="A344" t="inlineStr">
        <is>
          <t>2026-07-31</t>
        </is>
      </c>
      <c r="B344" t="inlineStr">
        <is>
          <t>종근당바이오</t>
        </is>
      </c>
      <c r="C344" t="inlineStr">
        <is>
          <t>063160</t>
        </is>
      </c>
      <c r="D344" t="inlineStr">
        <is>
          <t>별도</t>
        </is>
      </c>
      <c r="E344" t="inlineStr">
        <is>
          <t>2026Q2</t>
        </is>
      </c>
      <c r="F344" s="2" t="n">
        <v>41086</v>
      </c>
      <c r="G344" t="n">
        <v>1</v>
      </c>
      <c r="H344" t="n">
        <v>-0.3</v>
      </c>
      <c r="I344" s="2" t="n">
        <v>-5003</v>
      </c>
      <c r="J344" t="n">
        <v>-193.2</v>
      </c>
      <c r="K344" t="inlineStr"/>
      <c r="L344" s="2" t="n">
        <v>-5405</v>
      </c>
      <c r="M344" t="n">
        <v>-1026.1</v>
      </c>
      <c r="N344" t="inlineStr">
        <is>
          <t>20260731800449</t>
        </is>
      </c>
      <c r="O344">
        <f>HYPERLINK("https://dart.fss.or.kr/dsaf001/main.do?rcpNo=20260731800449", "공시열람")</f>
        <v/>
      </c>
    </row>
    <row r="345">
      <c r="A345" t="inlineStr">
        <is>
          <t>2026-07-31</t>
        </is>
      </c>
      <c r="B345" t="inlineStr">
        <is>
          <t>SOOP</t>
        </is>
      </c>
      <c r="C345" t="inlineStr">
        <is>
          <t>067160</t>
        </is>
      </c>
      <c r="D345" t="inlineStr">
        <is>
          <t>연결</t>
        </is>
      </c>
      <c r="E345" t="inlineStr">
        <is>
          <t>2026Q2</t>
        </is>
      </c>
      <c r="F345" s="2" t="n">
        <v>103839</v>
      </c>
      <c r="G345" t="n">
        <v>-2.1</v>
      </c>
      <c r="H345" t="n">
        <v>-11.2</v>
      </c>
      <c r="I345" s="2" t="n">
        <v>12628</v>
      </c>
      <c r="J345" t="n">
        <v>-40.5</v>
      </c>
      <c r="K345" t="n">
        <v>-57.9</v>
      </c>
      <c r="L345" s="2" t="n">
        <v>8749</v>
      </c>
      <c r="M345" t="n">
        <v>-61.1</v>
      </c>
      <c r="N345" t="inlineStr">
        <is>
          <t>20260731900758</t>
        </is>
      </c>
      <c r="O345">
        <f>HYPERLINK("https://dart.fss.or.kr/dsaf001/main.do?rcpNo=20260731900758", "공시열람")</f>
        <v/>
      </c>
    </row>
    <row r="346">
      <c r="A346" t="inlineStr">
        <is>
          <t>2026-07-31</t>
        </is>
      </c>
      <c r="B346" t="inlineStr">
        <is>
          <t>HD현대</t>
        </is>
      </c>
      <c r="C346" t="inlineStr">
        <is>
          <t>267250</t>
        </is>
      </c>
      <c r="D346" t="inlineStr">
        <is>
          <t>연결</t>
        </is>
      </c>
      <c r="E346" t="inlineStr">
        <is>
          <t>2026Q2</t>
        </is>
      </c>
      <c r="F346" s="2" t="n">
        <v>22409400</v>
      </c>
      <c r="G346" t="n">
        <v>14.3</v>
      </c>
      <c r="H346" t="n">
        <v>30.2</v>
      </c>
      <c r="I346" s="2" t="n">
        <v>4124600</v>
      </c>
      <c r="J346" t="n">
        <v>45.5</v>
      </c>
      <c r="K346" t="n">
        <v>262.2</v>
      </c>
      <c r="L346" s="2" t="n">
        <v>3173200</v>
      </c>
      <c r="M346" t="n">
        <v>550.2</v>
      </c>
      <c r="N346" t="inlineStr">
        <is>
          <t>20260731800765</t>
        </is>
      </c>
      <c r="O346">
        <f>HYPERLINK("https://dart.fss.or.kr/dsaf001/main.do?rcpNo=20260731800765", "공시열람")</f>
        <v/>
      </c>
    </row>
    <row r="347">
      <c r="A347" t="inlineStr">
        <is>
          <t>2026-07-31</t>
        </is>
      </c>
      <c r="B347" t="inlineStr">
        <is>
          <t>녹십자</t>
        </is>
      </c>
      <c r="C347" t="inlineStr">
        <is>
          <t>006280</t>
        </is>
      </c>
      <c r="D347" t="inlineStr">
        <is>
          <t>연결</t>
        </is>
      </c>
      <c r="E347" t="inlineStr">
        <is>
          <t>2026Q2</t>
        </is>
      </c>
      <c r="F347" s="2" t="n">
        <v>421200</v>
      </c>
      <c r="G347" t="n">
        <v>-3.3</v>
      </c>
      <c r="H347" t="n">
        <v>-15.8</v>
      </c>
      <c r="I347" s="2" t="n">
        <v>1700</v>
      </c>
      <c r="J347" t="n">
        <v>-85.5</v>
      </c>
      <c r="K347" t="n">
        <v>-93.8</v>
      </c>
      <c r="L347" s="2" t="n">
        <v>1100</v>
      </c>
      <c r="M347" t="n">
        <v>-96.59999999999999</v>
      </c>
      <c r="N347" t="inlineStr">
        <is>
          <t>20260731800768</t>
        </is>
      </c>
      <c r="O347">
        <f>HYPERLINK("https://dart.fss.or.kr/dsaf001/main.do?rcpNo=20260731800768", "공시열람")</f>
        <v/>
      </c>
    </row>
    <row r="348">
      <c r="A348" t="inlineStr">
        <is>
          <t>2026-07-31</t>
        </is>
      </c>
      <c r="B348" t="inlineStr">
        <is>
          <t>하츠</t>
        </is>
      </c>
      <c r="C348" t="inlineStr">
        <is>
          <t>066130</t>
        </is>
      </c>
      <c r="D348" t="inlineStr">
        <is>
          <t>별도</t>
        </is>
      </c>
      <c r="E348" t="inlineStr">
        <is>
          <t>2026Q2</t>
        </is>
      </c>
      <c r="F348" s="2" t="n">
        <v>46761</v>
      </c>
      <c r="G348" t="n">
        <v>29</v>
      </c>
      <c r="H348" t="n">
        <v>-2.7</v>
      </c>
      <c r="I348" s="2" t="n">
        <v>3366</v>
      </c>
      <c r="J348" t="n">
        <v>209.1</v>
      </c>
      <c r="K348" t="n">
        <v>0.1</v>
      </c>
      <c r="L348" s="2" t="n">
        <v>3560</v>
      </c>
      <c r="M348" t="n">
        <v>-18.7</v>
      </c>
      <c r="N348" t="inlineStr">
        <is>
          <t>20260731900794</t>
        </is>
      </c>
      <c r="O348">
        <f>HYPERLINK("https://dart.fss.or.kr/dsaf001/main.do?rcpNo=20260731900794", "공시열람")</f>
        <v/>
      </c>
    </row>
    <row r="349">
      <c r="A349" t="inlineStr">
        <is>
          <t>2026-07-31</t>
        </is>
      </c>
      <c r="B349" t="inlineStr">
        <is>
          <t>F&amp;F</t>
        </is>
      </c>
      <c r="C349" t="inlineStr">
        <is>
          <t>383220</t>
        </is>
      </c>
      <c r="D349" t="inlineStr">
        <is>
          <t>연결</t>
        </is>
      </c>
      <c r="E349" t="inlineStr">
        <is>
          <t>2026Q2</t>
        </is>
      </c>
      <c r="F349" s="2" t="n">
        <v>399622</v>
      </c>
      <c r="G349" t="n">
        <v>-28.8</v>
      </c>
      <c r="H349" t="n">
        <v>5.5</v>
      </c>
      <c r="I349" s="2" t="n">
        <v>86499</v>
      </c>
      <c r="J349" t="n">
        <v>-43.6</v>
      </c>
      <c r="K349" t="n">
        <v>2.9</v>
      </c>
      <c r="L349" s="2" t="n">
        <v>72988</v>
      </c>
      <c r="M349" t="n">
        <v>16.5</v>
      </c>
      <c r="N349" t="inlineStr">
        <is>
          <t>20260731800817</t>
        </is>
      </c>
      <c r="O349">
        <f>HYPERLINK("https://dart.fss.or.kr/dsaf001/main.do?rcpNo=20260731800817", "공시열람")</f>
        <v/>
      </c>
    </row>
    <row r="350">
      <c r="A350" t="inlineStr">
        <is>
          <t>2026-07-31</t>
        </is>
      </c>
      <c r="B350" t="inlineStr">
        <is>
          <t>경보제약</t>
        </is>
      </c>
      <c r="C350" t="inlineStr">
        <is>
          <t>214390</t>
        </is>
      </c>
      <c r="D350" t="inlineStr">
        <is>
          <t>별도</t>
        </is>
      </c>
      <c r="E350" t="inlineStr">
        <is>
          <t>2026Q2</t>
        </is>
      </c>
      <c r="F350" s="2" t="n">
        <v>75222</v>
      </c>
      <c r="G350" t="n">
        <v>13.8</v>
      </c>
      <c r="H350" t="n">
        <v>15.2</v>
      </c>
      <c r="I350" s="2" t="n">
        <v>930</v>
      </c>
      <c r="J350" t="n">
        <v>30.4</v>
      </c>
      <c r="K350" t="n">
        <v>-61.4</v>
      </c>
      <c r="L350" s="2" t="n">
        <v>2974</v>
      </c>
      <c r="M350" t="inlineStr"/>
      <c r="N350" t="inlineStr">
        <is>
          <t>20260731800820</t>
        </is>
      </c>
      <c r="O350">
        <f>HYPERLINK("https://dart.fss.or.kr/dsaf001/main.do?rcpNo=20260731800820", "공시열람")</f>
        <v/>
      </c>
    </row>
    <row r="351">
      <c r="A351" t="inlineStr">
        <is>
          <t>2026-07-31</t>
        </is>
      </c>
      <c r="B351" t="inlineStr">
        <is>
          <t>영진약품</t>
        </is>
      </c>
      <c r="C351" t="inlineStr">
        <is>
          <t>003520</t>
        </is>
      </c>
      <c r="D351" t="inlineStr">
        <is>
          <t>별도</t>
        </is>
      </c>
      <c r="E351" t="inlineStr">
        <is>
          <t>2026Q2</t>
        </is>
      </c>
      <c r="F351" s="2" t="n">
        <v>61578</v>
      </c>
      <c r="G351" t="n">
        <v>-3.4</v>
      </c>
      <c r="H351" t="n">
        <v>-1.5</v>
      </c>
      <c r="I351" s="2" t="n">
        <v>-1497</v>
      </c>
      <c r="J351" t="n">
        <v>14.7</v>
      </c>
      <c r="K351" t="inlineStr"/>
      <c r="L351" s="2" t="n">
        <v>-2431</v>
      </c>
      <c r="M351" t="inlineStr"/>
      <c r="N351" t="inlineStr">
        <is>
          <t>20260731800847</t>
        </is>
      </c>
      <c r="O351">
        <f>HYPERLINK("https://dart.fss.or.kr/dsaf001/main.do?rcpNo=20260731800847", "공시열람")</f>
        <v/>
      </c>
    </row>
    <row r="352">
      <c r="A352" t="inlineStr">
        <is>
          <t>2026-07-31</t>
        </is>
      </c>
      <c r="B352" t="inlineStr">
        <is>
          <t>녹십자엠에스</t>
        </is>
      </c>
      <c r="C352" t="inlineStr">
        <is>
          <t>142280</t>
        </is>
      </c>
      <c r="D352" t="inlineStr">
        <is>
          <t>연결</t>
        </is>
      </c>
      <c r="E352" t="inlineStr">
        <is>
          <t>2026Q2</t>
        </is>
      </c>
      <c r="F352" s="2" t="n">
        <v>27113</v>
      </c>
      <c r="G352" t="n">
        <v>15.1</v>
      </c>
      <c r="H352" t="n">
        <v>-10.9</v>
      </c>
      <c r="I352" s="2" t="n">
        <v>743</v>
      </c>
      <c r="J352" t="n">
        <v>154.5</v>
      </c>
      <c r="K352" t="n">
        <v>-29.8</v>
      </c>
      <c r="L352" s="2" t="n">
        <v>-4028</v>
      </c>
      <c r="M352" t="inlineStr"/>
      <c r="N352" t="inlineStr">
        <is>
          <t>20260731900871</t>
        </is>
      </c>
      <c r="O352">
        <f>HYPERLINK("https://dart.fss.or.kr/dsaf001/main.do?rcpNo=20260731900871", "공시열람")</f>
        <v/>
      </c>
    </row>
    <row r="353">
      <c r="A353" t="inlineStr">
        <is>
          <t>2026-07-31</t>
        </is>
      </c>
      <c r="B353" t="inlineStr">
        <is>
          <t>라온로보틱스</t>
        </is>
      </c>
      <c r="C353" t="inlineStr">
        <is>
          <t>232680</t>
        </is>
      </c>
      <c r="D353" t="inlineStr">
        <is>
          <t>별도</t>
        </is>
      </c>
      <c r="E353" t="inlineStr">
        <is>
          <t>2026Q2</t>
        </is>
      </c>
      <c r="F353" s="2" t="n">
        <v>18192</v>
      </c>
      <c r="G353" t="n">
        <v>28.7</v>
      </c>
      <c r="H353" t="n">
        <v>33.5</v>
      </c>
      <c r="I353" s="2" t="n">
        <v>565</v>
      </c>
      <c r="J353" t="n">
        <v>-39.9</v>
      </c>
      <c r="K353" t="n">
        <v>-68.2</v>
      </c>
      <c r="L353" s="2" t="n">
        <v>402</v>
      </c>
      <c r="M353" t="n">
        <v>-57.3</v>
      </c>
      <c r="N353" t="inlineStr">
        <is>
          <t>20260731900860</t>
        </is>
      </c>
      <c r="O353">
        <f>HYPERLINK("https://dart.fss.or.kr/dsaf001/main.do?rcpNo=20260731900860", "공시열람")</f>
        <v/>
      </c>
    </row>
    <row r="354">
      <c r="A354" t="inlineStr">
        <is>
          <t>2026-07-31</t>
        </is>
      </c>
      <c r="B354" t="inlineStr">
        <is>
          <t>SK가스</t>
        </is>
      </c>
      <c r="C354" t="inlineStr">
        <is>
          <t>018670</t>
        </is>
      </c>
      <c r="D354" t="inlineStr">
        <is>
          <t>연결</t>
        </is>
      </c>
      <c r="E354" t="inlineStr">
        <is>
          <t>2026Q2</t>
        </is>
      </c>
      <c r="F354" s="2" t="n">
        <v>2312995</v>
      </c>
      <c r="G354" t="n">
        <v>-12.2</v>
      </c>
      <c r="H354" t="n">
        <v>23</v>
      </c>
      <c r="I354" s="2" t="n">
        <v>-43939</v>
      </c>
      <c r="J354" t="inlineStr"/>
      <c r="K354" t="inlineStr"/>
      <c r="L354" s="2" t="n">
        <v>-31046</v>
      </c>
      <c r="M354" t="inlineStr"/>
      <c r="N354" t="inlineStr">
        <is>
          <t>20260731801127</t>
        </is>
      </c>
      <c r="O354">
        <f>HYPERLINK("https://dart.fss.or.kr/dsaf001/main.do?rcpNo=20260731801127", "공시열람")</f>
        <v/>
      </c>
    </row>
    <row r="355">
      <c r="A355" t="inlineStr">
        <is>
          <t>2026-07-31</t>
        </is>
      </c>
      <c r="B355" t="inlineStr">
        <is>
          <t>효성티앤씨</t>
        </is>
      </c>
      <c r="C355" t="inlineStr">
        <is>
          <t>298020</t>
        </is>
      </c>
      <c r="D355" t="inlineStr">
        <is>
          <t>연결</t>
        </is>
      </c>
      <c r="E355" t="inlineStr">
        <is>
          <t>2026Q2</t>
        </is>
      </c>
      <c r="F355" s="2" t="n">
        <v>2416151</v>
      </c>
      <c r="G355" t="n">
        <v>15.4</v>
      </c>
      <c r="H355" t="n">
        <v>27.9</v>
      </c>
      <c r="I355" s="2" t="n">
        <v>188762</v>
      </c>
      <c r="J355" t="n">
        <v>118.9</v>
      </c>
      <c r="K355" t="n">
        <v>157.5</v>
      </c>
      <c r="L355" s="2" t="n">
        <v>123916</v>
      </c>
      <c r="M355" t="n">
        <v>480.3</v>
      </c>
      <c r="N355" t="inlineStr">
        <is>
          <t>20260731801117</t>
        </is>
      </c>
      <c r="O355">
        <f>HYPERLINK("https://dart.fss.or.kr/dsaf001/main.do?rcpNo=20260731801117", "공시열람")</f>
        <v/>
      </c>
    </row>
    <row r="356">
      <c r="A356" t="inlineStr">
        <is>
          <t>2026-07-31</t>
        </is>
      </c>
      <c r="B356" t="inlineStr">
        <is>
          <t>효성 ITX</t>
        </is>
      </c>
      <c r="C356" t="inlineStr">
        <is>
          <t>094280</t>
        </is>
      </c>
      <c r="D356" t="inlineStr">
        <is>
          <t>연결</t>
        </is>
      </c>
      <c r="E356" t="inlineStr">
        <is>
          <t>2026Q2</t>
        </is>
      </c>
      <c r="F356" s="2" t="n">
        <v>133994</v>
      </c>
      <c r="G356" t="n">
        <v>2.84</v>
      </c>
      <c r="H356" t="n">
        <v>5.45</v>
      </c>
      <c r="I356" s="2" t="n">
        <v>3471</v>
      </c>
      <c r="J356" t="n">
        <v>3.11</v>
      </c>
      <c r="K356" t="n">
        <v>-21.05</v>
      </c>
      <c r="L356" s="2" t="n">
        <v>3055</v>
      </c>
      <c r="M356" t="n">
        <v>-13.66</v>
      </c>
      <c r="N356" t="inlineStr">
        <is>
          <t>20260731801199</t>
        </is>
      </c>
      <c r="O356">
        <f>HYPERLINK("https://dart.fss.or.kr/dsaf001/main.do?rcpNo=20260731801199", "공시열람")</f>
        <v/>
      </c>
    </row>
    <row r="357">
      <c r="A357" t="inlineStr">
        <is>
          <t>2026-07-31</t>
        </is>
      </c>
      <c r="B357" t="inlineStr">
        <is>
          <t>효성</t>
        </is>
      </c>
      <c r="C357" t="inlineStr">
        <is>
          <t>004800</t>
        </is>
      </c>
      <c r="D357" t="inlineStr">
        <is>
          <t>연결</t>
        </is>
      </c>
      <c r="E357" t="inlineStr">
        <is>
          <t>2026Q2</t>
        </is>
      </c>
      <c r="F357" s="2" t="n">
        <v>733637</v>
      </c>
      <c r="G357" t="n">
        <v>38.4</v>
      </c>
      <c r="H357" t="n">
        <v>21.9</v>
      </c>
      <c r="I357" s="2" t="n">
        <v>231639</v>
      </c>
      <c r="J357" t="n">
        <v>144.9</v>
      </c>
      <c r="K357" t="n">
        <v>133.7</v>
      </c>
      <c r="L357" s="2" t="n">
        <v>226319</v>
      </c>
      <c r="M357" t="n">
        <v>152.2</v>
      </c>
      <c r="N357" t="inlineStr">
        <is>
          <t>20260731801263</t>
        </is>
      </c>
      <c r="O357">
        <f>HYPERLINK("https://dart.fss.or.kr/dsaf001/main.do?rcpNo=20260731801263", "공시열람")</f>
        <v/>
      </c>
    </row>
    <row r="358">
      <c r="A358" t="inlineStr">
        <is>
          <t>2026-07-31</t>
        </is>
      </c>
      <c r="B358" t="inlineStr">
        <is>
          <t>골프존</t>
        </is>
      </c>
      <c r="C358" t="inlineStr">
        <is>
          <t>215000</t>
        </is>
      </c>
      <c r="D358" t="inlineStr">
        <is>
          <t>연결</t>
        </is>
      </c>
      <c r="E358" t="inlineStr">
        <is>
          <t>2026Q2</t>
        </is>
      </c>
      <c r="F358" s="2" t="n">
        <v>101208</v>
      </c>
      <c r="G358" t="n">
        <v>-9.5</v>
      </c>
      <c r="H358" t="n">
        <v>-16.4</v>
      </c>
      <c r="I358" s="2" t="n">
        <v>6624</v>
      </c>
      <c r="J358" t="n">
        <v>-52.9</v>
      </c>
      <c r="K358" t="n">
        <v>-66.5</v>
      </c>
      <c r="L358" s="2" t="inlineStr"/>
      <c r="M358" t="inlineStr"/>
      <c r="N358" t="inlineStr">
        <is>
          <t>20260731901319</t>
        </is>
      </c>
      <c r="O358">
        <f>HYPERLINK("https://dart.fss.or.kr/dsaf001/main.do?rcpNo=20260731901319", "공시열람")</f>
        <v/>
      </c>
    </row>
    <row r="359">
      <c r="A359" t="inlineStr">
        <is>
          <t>2026-07-31</t>
        </is>
      </c>
      <c r="B359" t="inlineStr">
        <is>
          <t>한화에어로스페이스</t>
        </is>
      </c>
      <c r="C359" t="inlineStr">
        <is>
          <t>012450</t>
        </is>
      </c>
      <c r="D359" t="inlineStr">
        <is>
          <t>연결</t>
        </is>
      </c>
      <c r="E359" t="inlineStr">
        <is>
          <t>2026Q2</t>
        </is>
      </c>
      <c r="F359" s="2" t="n">
        <v>9292900</v>
      </c>
      <c r="G359" t="n">
        <v>61.6</v>
      </c>
      <c r="H359" t="n">
        <v>47.2</v>
      </c>
      <c r="I359" s="2" t="n">
        <v>1365500</v>
      </c>
      <c r="J359" t="n">
        <v>113.7</v>
      </c>
      <c r="K359" t="n">
        <v>58.5</v>
      </c>
      <c r="L359" s="2" t="n">
        <v>1080500</v>
      </c>
      <c r="M359" t="n">
        <v>277.5</v>
      </c>
      <c r="N359" t="inlineStr">
        <is>
          <t>20260731800455</t>
        </is>
      </c>
      <c r="O359">
        <f>HYPERLINK("https://dart.fss.or.kr/dsaf001/main.do?rcpNo=20260731800455", "공시열람")</f>
        <v/>
      </c>
    </row>
    <row r="360">
      <c r="A360" t="inlineStr">
        <is>
          <t>2026-07-31</t>
        </is>
      </c>
      <c r="B360" t="inlineStr">
        <is>
          <t>SNT에너지</t>
        </is>
      </c>
      <c r="C360" t="inlineStr">
        <is>
          <t>100840</t>
        </is>
      </c>
      <c r="D360" t="inlineStr">
        <is>
          <t>연결</t>
        </is>
      </c>
      <c r="E360" t="inlineStr">
        <is>
          <t>2026Q2</t>
        </is>
      </c>
      <c r="F360" s="2" t="n">
        <v>108056</v>
      </c>
      <c r="G360" t="n">
        <v>-12.6</v>
      </c>
      <c r="H360" t="n">
        <v>-23.2</v>
      </c>
      <c r="I360" s="2" t="n">
        <v>21270</v>
      </c>
      <c r="J360" t="n">
        <v>-6.7</v>
      </c>
      <c r="K360" t="n">
        <v>-22.3</v>
      </c>
      <c r="L360" s="2" t="n">
        <v>18131</v>
      </c>
      <c r="M360" t="n">
        <v>65.3</v>
      </c>
      <c r="N360" t="inlineStr">
        <is>
          <t>20260731800084</t>
        </is>
      </c>
      <c r="O360">
        <f>HYPERLINK("https://dart.fss.or.kr/dsaf001/main.do?rcpNo=20260731800084", "공시열람")</f>
        <v/>
      </c>
    </row>
    <row r="361">
      <c r="A361" t="inlineStr">
        <is>
          <t>2026-07-31</t>
        </is>
      </c>
      <c r="B361" t="inlineStr">
        <is>
          <t>HD현대</t>
        </is>
      </c>
      <c r="C361" t="inlineStr">
        <is>
          <t>267250</t>
        </is>
      </c>
      <c r="D361" t="inlineStr">
        <is>
          <t>연결</t>
        </is>
      </c>
      <c r="E361" t="inlineStr">
        <is>
          <t>2026Q2</t>
        </is>
      </c>
      <c r="F361" s="2" t="n">
        <v>9477400</v>
      </c>
      <c r="G361" t="n">
        <v>22.8</v>
      </c>
      <c r="H361" t="n">
        <v>44.9</v>
      </c>
      <c r="I361" s="2" t="n">
        <v>1824100</v>
      </c>
      <c r="J361" t="n">
        <v>95.40000000000001</v>
      </c>
      <c r="K361" t="inlineStr"/>
      <c r="L361" s="2" t="n">
        <v>1219800</v>
      </c>
      <c r="M361" t="inlineStr"/>
      <c r="N361" t="inlineStr">
        <is>
          <t>20260731800747</t>
        </is>
      </c>
      <c r="O361">
        <f>HYPERLINK("https://dart.fss.or.kr/dsaf001/main.do?rcpNo=20260731800747", "공시열람")</f>
        <v/>
      </c>
    </row>
    <row r="362">
      <c r="A362" t="inlineStr">
        <is>
          <t>2026-07-31</t>
        </is>
      </c>
      <c r="B362" t="inlineStr">
        <is>
          <t>효성화학</t>
        </is>
      </c>
      <c r="C362" t="inlineStr">
        <is>
          <t>298000</t>
        </is>
      </c>
      <c r="D362" t="inlineStr">
        <is>
          <t>연결</t>
        </is>
      </c>
      <c r="E362" t="inlineStr">
        <is>
          <t>2026Q2</t>
        </is>
      </c>
      <c r="F362" s="2" t="n">
        <v>871289</v>
      </c>
      <c r="G362" t="n">
        <v>48.42</v>
      </c>
      <c r="H362" t="n">
        <v>41.22</v>
      </c>
      <c r="I362" s="2" t="n">
        <v>170770</v>
      </c>
      <c r="J362" t="n">
        <v>61549.82</v>
      </c>
      <c r="K362" t="inlineStr"/>
      <c r="L362" s="2" t="n">
        <v>155952</v>
      </c>
      <c r="M362" t="n">
        <v>52.35</v>
      </c>
      <c r="N362" t="inlineStr">
        <is>
          <t>20260731801123</t>
        </is>
      </c>
      <c r="O362">
        <f>HYPERLINK("https://dart.fss.or.kr/dsaf001/main.do?rcpNo=20260731801123", "공시열람")</f>
        <v/>
      </c>
    </row>
    <row r="363">
      <c r="A363" t="inlineStr">
        <is>
          <t>2026-07-31</t>
        </is>
      </c>
      <c r="B363" t="inlineStr">
        <is>
          <t>대덕전자</t>
        </is>
      </c>
      <c r="C363" t="inlineStr">
        <is>
          <t>353200</t>
        </is>
      </c>
      <c r="D363" t="inlineStr">
        <is>
          <t>연결</t>
        </is>
      </c>
      <c r="E363" t="inlineStr">
        <is>
          <t>2026Q2</t>
        </is>
      </c>
      <c r="F363" s="2" t="n">
        <v>400975</v>
      </c>
      <c r="G363" t="n">
        <v>15.8</v>
      </c>
      <c r="H363" t="n">
        <v>63.1</v>
      </c>
      <c r="I363" s="2" t="n">
        <v>70276</v>
      </c>
      <c r="J363" t="n">
        <v>37</v>
      </c>
      <c r="K363" t="n">
        <v>3666</v>
      </c>
      <c r="L363" s="2" t="n">
        <v>57675</v>
      </c>
      <c r="M363" t="n">
        <v>1208.1</v>
      </c>
      <c r="N363" t="inlineStr">
        <is>
          <t>20260731800759</t>
        </is>
      </c>
      <c r="O363">
        <f>HYPERLINK("https://dart.fss.or.kr/dsaf001/main.do?rcpNo=20260731800759", "공시열람")</f>
        <v/>
      </c>
    </row>
    <row r="364">
      <c r="A364" t="inlineStr">
        <is>
          <t>2026-07-31</t>
        </is>
      </c>
      <c r="B364" t="inlineStr">
        <is>
          <t>한화엔진</t>
        </is>
      </c>
      <c r="C364" t="inlineStr">
        <is>
          <t>082740</t>
        </is>
      </c>
      <c r="D364" t="inlineStr">
        <is>
          <t>연결</t>
        </is>
      </c>
      <c r="E364" t="inlineStr">
        <is>
          <t>2026Q2</t>
        </is>
      </c>
      <c r="F364" s="2" t="n">
        <v>362220</v>
      </c>
      <c r="G364" t="n">
        <v>4.9</v>
      </c>
      <c r="H364" t="n">
        <v>-6.6</v>
      </c>
      <c r="I364" s="2" t="n">
        <v>37911</v>
      </c>
      <c r="J364" t="n">
        <v>-26.2</v>
      </c>
      <c r="K364" t="n">
        <v>12.2</v>
      </c>
      <c r="L364" s="2" t="n">
        <v>33200</v>
      </c>
      <c r="M364" t="n">
        <v>54</v>
      </c>
      <c r="N364" t="inlineStr">
        <is>
          <t>20260731800517</t>
        </is>
      </c>
      <c r="O364">
        <f>HYPERLINK("https://dart.fss.or.kr/dsaf001/main.do?rcpNo=20260731800517", "공시열람")</f>
        <v/>
      </c>
    </row>
    <row r="365">
      <c r="A365" t="inlineStr">
        <is>
          <t>2026-07-31</t>
        </is>
      </c>
      <c r="B365" t="inlineStr">
        <is>
          <t>종근당</t>
        </is>
      </c>
      <c r="C365" t="inlineStr">
        <is>
          <t>185750</t>
        </is>
      </c>
      <c r="D365" t="inlineStr">
        <is>
          <t>별도</t>
        </is>
      </c>
      <c r="E365" t="inlineStr">
        <is>
          <t>2026Q2</t>
        </is>
      </c>
      <c r="F365" s="2" t="n">
        <v>475424</v>
      </c>
      <c r="G365" t="n">
        <v>6.2</v>
      </c>
      <c r="H365" t="n">
        <v>10.7</v>
      </c>
      <c r="I365" s="2" t="n">
        <v>19919</v>
      </c>
      <c r="J365" t="n">
        <v>13.4</v>
      </c>
      <c r="K365" t="n">
        <v>-10.1</v>
      </c>
      <c r="L365" s="2" t="n">
        <v>17981</v>
      </c>
      <c r="M365" t="n">
        <v>-7.6</v>
      </c>
      <c r="N365" t="inlineStr">
        <is>
          <t>20260731800724</t>
        </is>
      </c>
      <c r="O365">
        <f>HYPERLINK("https://dart.fss.or.kr/dsaf001/main.do?rcpNo=20260731800724", "공시열람")</f>
        <v/>
      </c>
    </row>
    <row r="366">
      <c r="A366" t="inlineStr">
        <is>
          <t>2026-07-31</t>
        </is>
      </c>
      <c r="B366" t="inlineStr">
        <is>
          <t>풍산</t>
        </is>
      </c>
      <c r="C366" t="inlineStr">
        <is>
          <t>103140</t>
        </is>
      </c>
      <c r="D366" t="inlineStr">
        <is>
          <t>별도</t>
        </is>
      </c>
      <c r="E366" t="inlineStr">
        <is>
          <t>2026Q2</t>
        </is>
      </c>
      <c r="F366" s="2" t="n">
        <v>1122251</v>
      </c>
      <c r="G366" t="n">
        <v>15.8</v>
      </c>
      <c r="H366" t="n">
        <v>10.7</v>
      </c>
      <c r="I366" s="2" t="n">
        <v>101021</v>
      </c>
      <c r="J366" t="n">
        <v>15.7</v>
      </c>
      <c r="K366" t="n">
        <v>14.8</v>
      </c>
      <c r="L366" s="2" t="n">
        <v>82481</v>
      </c>
      <c r="M366" t="n">
        <v>28.5</v>
      </c>
      <c r="N366" t="inlineStr">
        <is>
          <t>20260731800458</t>
        </is>
      </c>
      <c r="O366">
        <f>HYPERLINK("https://dart.fss.or.kr/dsaf001/main.do?rcpNo=20260731800458", "공시열람")</f>
        <v/>
      </c>
    </row>
    <row r="367">
      <c r="A367" t="inlineStr">
        <is>
          <t>2026-07-31</t>
        </is>
      </c>
      <c r="B367" t="inlineStr">
        <is>
          <t>풍산홀딩스</t>
        </is>
      </c>
      <c r="C367" t="inlineStr">
        <is>
          <t>005810</t>
        </is>
      </c>
      <c r="D367" t="inlineStr">
        <is>
          <t>연결</t>
        </is>
      </c>
      <c r="E367" t="inlineStr">
        <is>
          <t>2026Q2</t>
        </is>
      </c>
      <c r="F367" s="2" t="n">
        <v>162813</v>
      </c>
      <c r="G367" t="n">
        <v>34.6</v>
      </c>
      <c r="H367" t="n">
        <v>32.3</v>
      </c>
      <c r="I367" s="2" t="n">
        <v>41325</v>
      </c>
      <c r="J367" t="n">
        <v>17.2</v>
      </c>
      <c r="K367" t="n">
        <v>39.2</v>
      </c>
      <c r="L367" s="2" t="n">
        <v>38114</v>
      </c>
      <c r="M367" t="n">
        <v>50.8</v>
      </c>
      <c r="N367" t="inlineStr">
        <is>
          <t>20260731800463</t>
        </is>
      </c>
      <c r="O367">
        <f>HYPERLINK("https://dart.fss.or.kr/dsaf001/main.do?rcpNo=20260731800463", "공시열람")</f>
        <v/>
      </c>
    </row>
    <row r="368">
      <c r="A368" t="inlineStr">
        <is>
          <t>2026-07-31</t>
        </is>
      </c>
      <c r="B368" t="inlineStr">
        <is>
          <t>풍산</t>
        </is>
      </c>
      <c r="C368" t="inlineStr">
        <is>
          <t>103140</t>
        </is>
      </c>
      <c r="D368" t="inlineStr">
        <is>
          <t>연결</t>
        </is>
      </c>
      <c r="E368" t="inlineStr">
        <is>
          <t>2026Q2</t>
        </is>
      </c>
      <c r="F368" s="2" t="n">
        <v>1470322</v>
      </c>
      <c r="G368" t="n">
        <v>15.7</v>
      </c>
      <c r="H368" t="n">
        <v>13.6</v>
      </c>
      <c r="I368" s="2" t="n">
        <v>125211</v>
      </c>
      <c r="J368" t="n">
        <v>38.9</v>
      </c>
      <c r="K368" t="n">
        <v>33.8</v>
      </c>
      <c r="L368" s="2" t="n">
        <v>82480</v>
      </c>
      <c r="M368" t="n">
        <v>28.5</v>
      </c>
      <c r="N368" t="inlineStr">
        <is>
          <t>20260731800480</t>
        </is>
      </c>
      <c r="O368">
        <f>HYPERLINK("https://dart.fss.or.kr/dsaf001/main.do?rcpNo=20260731800480", "공시열람")</f>
        <v/>
      </c>
    </row>
    <row r="369">
      <c r="A369" t="inlineStr">
        <is>
          <t>2026-07-31</t>
        </is>
      </c>
      <c r="B369" t="inlineStr">
        <is>
          <t>에코프로비엠</t>
        </is>
      </c>
      <c r="C369" t="inlineStr">
        <is>
          <t>247540</t>
        </is>
      </c>
      <c r="D369" t="inlineStr">
        <is>
          <t>연결</t>
        </is>
      </c>
      <c r="E369" t="inlineStr">
        <is>
          <t>2026Q2</t>
        </is>
      </c>
      <c r="F369" s="2" t="n">
        <v>576712</v>
      </c>
      <c r="G369" t="n">
        <v>-4.7</v>
      </c>
      <c r="H369" t="n">
        <v>-26</v>
      </c>
      <c r="I369" s="2" t="n">
        <v>18011</v>
      </c>
      <c r="J369" t="n">
        <v>-14</v>
      </c>
      <c r="K369" t="n">
        <v>-63.2</v>
      </c>
      <c r="L369" s="2" t="n">
        <v>-455</v>
      </c>
      <c r="M369" t="inlineStr"/>
      <c r="N369" t="inlineStr">
        <is>
          <t>20260731900486</t>
        </is>
      </c>
      <c r="O369">
        <f>HYPERLINK("https://dart.fss.or.kr/dsaf001/main.do?rcpNo=20260731900486", "공시열람")</f>
        <v/>
      </c>
    </row>
    <row r="370">
      <c r="A370" t="inlineStr">
        <is>
          <t>2026-07-31</t>
        </is>
      </c>
      <c r="B370" t="inlineStr">
        <is>
          <t>에스원</t>
        </is>
      </c>
      <c r="C370" t="inlineStr">
        <is>
          <t>012750</t>
        </is>
      </c>
      <c r="D370" t="inlineStr">
        <is>
          <t>연결</t>
        </is>
      </c>
      <c r="E370" t="inlineStr">
        <is>
          <t>2026Q2</t>
        </is>
      </c>
      <c r="F370" s="2" t="n">
        <v>723128</v>
      </c>
      <c r="G370" t="n">
        <v>7.33</v>
      </c>
      <c r="H370" t="n">
        <v>-1.3</v>
      </c>
      <c r="I370" s="2" t="n">
        <v>64394</v>
      </c>
      <c r="J370" t="n">
        <v>210.41</v>
      </c>
      <c r="K370" t="n">
        <v>4.61</v>
      </c>
      <c r="L370" s="2" t="n">
        <v>46750</v>
      </c>
      <c r="M370" t="n">
        <v>-10.25</v>
      </c>
      <c r="N370" t="inlineStr">
        <is>
          <t>20260731800498</t>
        </is>
      </c>
      <c r="O370">
        <f>HYPERLINK("https://dart.fss.or.kr/dsaf001/main.do?rcpNo=20260731800498", "공시열람")</f>
        <v/>
      </c>
    </row>
    <row r="371">
      <c r="A371" t="inlineStr">
        <is>
          <t>2026-07-31</t>
        </is>
      </c>
      <c r="B371" t="inlineStr">
        <is>
          <t>현대건설</t>
        </is>
      </c>
      <c r="C371" t="inlineStr">
        <is>
          <t>000720</t>
        </is>
      </c>
      <c r="D371" t="inlineStr">
        <is>
          <t>연결</t>
        </is>
      </c>
      <c r="E371" t="inlineStr">
        <is>
          <t>2026Q2</t>
        </is>
      </c>
      <c r="F371" s="2" t="n">
        <v>6842300</v>
      </c>
      <c r="G371" t="n">
        <v>8.9</v>
      </c>
      <c r="H371" t="n">
        <v>-11.4</v>
      </c>
      <c r="I371" s="2" t="n">
        <v>261800</v>
      </c>
      <c r="J371" t="n">
        <v>44.7</v>
      </c>
      <c r="K371" t="n">
        <v>20.7</v>
      </c>
      <c r="L371" s="2" t="n">
        <v>157000</v>
      </c>
      <c r="M371" t="n">
        <v>-1</v>
      </c>
      <c r="N371" t="inlineStr">
        <is>
          <t>20260731800467</t>
        </is>
      </c>
      <c r="O371">
        <f>HYPERLINK("https://dart.fss.or.kr/dsaf001/main.do?rcpNo=20260731800467", "공시열람")</f>
        <v/>
      </c>
    </row>
    <row r="372">
      <c r="A372" t="inlineStr">
        <is>
          <t>2026-07-31</t>
        </is>
      </c>
      <c r="B372" t="inlineStr">
        <is>
          <t>한온시스템</t>
        </is>
      </c>
      <c r="C372" t="inlineStr">
        <is>
          <t>018880</t>
        </is>
      </c>
      <c r="D372" t="inlineStr">
        <is>
          <t>연결</t>
        </is>
      </c>
      <c r="E372" t="inlineStr">
        <is>
          <t>2026Q2</t>
        </is>
      </c>
      <c r="F372" s="2" t="n">
        <v>2875248</v>
      </c>
      <c r="G372" t="n">
        <v>4.6</v>
      </c>
      <c r="H372" t="n">
        <v>0.6</v>
      </c>
      <c r="I372" s="2" t="n">
        <v>103684</v>
      </c>
      <c r="J372" t="n">
        <v>6.7</v>
      </c>
      <c r="K372" t="n">
        <v>61.2</v>
      </c>
      <c r="L372" s="2" t="n">
        <v>86054</v>
      </c>
      <c r="M372" t="inlineStr"/>
      <c r="N372" t="inlineStr">
        <is>
          <t>20260731800526</t>
        </is>
      </c>
      <c r="O372">
        <f>HYPERLINK("https://dart.fss.or.kr/dsaf001/main.do?rcpNo=20260731800526", "공시열람")</f>
        <v/>
      </c>
    </row>
    <row r="373">
      <c r="A373" t="inlineStr">
        <is>
          <t>2026-07-31</t>
        </is>
      </c>
      <c r="B373" t="inlineStr">
        <is>
          <t>호텔신라</t>
        </is>
      </c>
      <c r="C373" t="inlineStr">
        <is>
          <t>008770</t>
        </is>
      </c>
      <c r="D373" t="inlineStr">
        <is>
          <t>연결</t>
        </is>
      </c>
      <c r="E373" t="inlineStr">
        <is>
          <t>2026Q2</t>
        </is>
      </c>
      <c r="F373" s="2" t="n">
        <v>971830</v>
      </c>
      <c r="G373" t="n">
        <v>-7.8</v>
      </c>
      <c r="H373" t="n">
        <v>-5.2</v>
      </c>
      <c r="I373" s="2" t="n">
        <v>61142</v>
      </c>
      <c r="J373" t="n">
        <v>199.5</v>
      </c>
      <c r="K373" t="n">
        <v>606</v>
      </c>
      <c r="L373" s="2" t="n">
        <v>21449</v>
      </c>
      <c r="M373" t="inlineStr"/>
      <c r="N373" t="inlineStr">
        <is>
          <t>20260731800535</t>
        </is>
      </c>
      <c r="O373">
        <f>HYPERLINK("https://dart.fss.or.kr/dsaf001/main.do?rcpNo=20260731800535", "공시열람")</f>
        <v/>
      </c>
    </row>
    <row r="374">
      <c r="A374" t="inlineStr">
        <is>
          <t>2026-07-31</t>
        </is>
      </c>
      <c r="B374" t="inlineStr">
        <is>
          <t>대한제강</t>
        </is>
      </c>
      <c r="C374" t="inlineStr">
        <is>
          <t>084010</t>
        </is>
      </c>
      <c r="D374" t="inlineStr">
        <is>
          <t>연결</t>
        </is>
      </c>
      <c r="E374" t="inlineStr">
        <is>
          <t>2026Q2</t>
        </is>
      </c>
      <c r="F374" s="2" t="n">
        <v>387727</v>
      </c>
      <c r="G374" t="n">
        <v>27.4</v>
      </c>
      <c r="H374" t="n">
        <v>19.2</v>
      </c>
      <c r="I374" s="2" t="n">
        <v>16293</v>
      </c>
      <c r="J374" t="n">
        <v>3238.6</v>
      </c>
      <c r="K374" t="n">
        <v>117.3</v>
      </c>
      <c r="L374" s="2" t="n">
        <v>8867</v>
      </c>
      <c r="M374" t="n">
        <v>-14.6</v>
      </c>
      <c r="N374" t="inlineStr">
        <is>
          <t>20260731800709</t>
        </is>
      </c>
      <c r="O374">
        <f>HYPERLINK("https://dart.fss.or.kr/dsaf001/main.do?rcpNo=20260731800709", "공시열람")</f>
        <v/>
      </c>
    </row>
    <row r="375">
      <c r="A375" t="inlineStr">
        <is>
          <t>2026-07-31</t>
        </is>
      </c>
      <c r="B375" t="inlineStr">
        <is>
          <t>명인제약</t>
        </is>
      </c>
      <c r="C375" t="inlineStr">
        <is>
          <t>317450</t>
        </is>
      </c>
      <c r="D375" t="inlineStr">
        <is>
          <t>별도</t>
        </is>
      </c>
      <c r="E375" t="inlineStr">
        <is>
          <t>2026Q2</t>
        </is>
      </c>
      <c r="F375" s="2" t="n">
        <v>76134</v>
      </c>
      <c r="G375" t="n">
        <v>5.5</v>
      </c>
      <c r="H375" t="n">
        <v>5.4</v>
      </c>
      <c r="I375" s="2" t="n">
        <v>26944</v>
      </c>
      <c r="J375" t="n">
        <v>10</v>
      </c>
      <c r="K375" t="n">
        <v>9.800000000000001</v>
      </c>
      <c r="L375" s="2" t="n">
        <v>23735</v>
      </c>
      <c r="M375" t="n">
        <v>16</v>
      </c>
      <c r="N375" t="inlineStr">
        <is>
          <t>20260731800602</t>
        </is>
      </c>
      <c r="O375">
        <f>HYPERLINK("https://dart.fss.or.kr/dsaf001/main.do?rcpNo=20260731800602", "공시열람")</f>
        <v/>
      </c>
    </row>
    <row r="376">
      <c r="A376" t="inlineStr">
        <is>
          <t>2026-07-31</t>
        </is>
      </c>
      <c r="B376" t="inlineStr">
        <is>
          <t>한라IMS</t>
        </is>
      </c>
      <c r="C376" t="inlineStr">
        <is>
          <t>092460</t>
        </is>
      </c>
      <c r="D376" t="inlineStr">
        <is>
          <t>연결</t>
        </is>
      </c>
      <c r="E376" t="inlineStr">
        <is>
          <t>2026Q2</t>
        </is>
      </c>
      <c r="F376" s="2" t="n">
        <v>42836</v>
      </c>
      <c r="G376" t="n">
        <v>8.800000000000001</v>
      </c>
      <c r="H376" t="n">
        <v>20.1</v>
      </c>
      <c r="I376" s="2" t="n">
        <v>9194</v>
      </c>
      <c r="J376" t="n">
        <v>66.59999999999999</v>
      </c>
      <c r="K376" t="n">
        <v>49.2</v>
      </c>
      <c r="L376" s="2" t="n">
        <v>8364</v>
      </c>
      <c r="M376" t="n">
        <v>28.4</v>
      </c>
      <c r="N376" t="inlineStr">
        <is>
          <t>20260731900582</t>
        </is>
      </c>
      <c r="O376">
        <f>HYPERLINK("https://dart.fss.or.kr/dsaf001/main.do?rcpNo=20260731900582", "공시열람")</f>
        <v/>
      </c>
    </row>
    <row r="377">
      <c r="A377" t="inlineStr">
        <is>
          <t>2026-07-31</t>
        </is>
      </c>
      <c r="B377" t="inlineStr">
        <is>
          <t>풍산홀딩스</t>
        </is>
      </c>
      <c r="C377" t="inlineStr">
        <is>
          <t>005810</t>
        </is>
      </c>
      <c r="D377" t="inlineStr">
        <is>
          <t>별도</t>
        </is>
      </c>
      <c r="E377" t="inlineStr">
        <is>
          <t>2026Q2</t>
        </is>
      </c>
      <c r="F377" s="2" t="n">
        <v>77846</v>
      </c>
      <c r="G377" t="n">
        <v>29.9</v>
      </c>
      <c r="H377" t="n">
        <v>58.7</v>
      </c>
      <c r="I377" s="2" t="n">
        <v>8491</v>
      </c>
      <c r="J377" t="n">
        <v>-61.4</v>
      </c>
      <c r="K377" t="n">
        <v>38.1</v>
      </c>
      <c r="L377" s="2" t="n">
        <v>6871</v>
      </c>
      <c r="M377" t="n">
        <v>63</v>
      </c>
      <c r="N377" t="inlineStr">
        <is>
          <t>20260731800460</t>
        </is>
      </c>
      <c r="O377">
        <f>HYPERLINK("https://dart.fss.or.kr/dsaf001/main.do?rcpNo=20260731800460", "공시열람")</f>
        <v/>
      </c>
    </row>
    <row r="378">
      <c r="A378" t="inlineStr">
        <is>
          <t>2026-07-31</t>
        </is>
      </c>
      <c r="B378" t="inlineStr">
        <is>
          <t>가온그룹</t>
        </is>
      </c>
      <c r="C378" t="inlineStr">
        <is>
          <t>078890</t>
        </is>
      </c>
      <c r="D378" t="inlineStr">
        <is>
          <t>연결</t>
        </is>
      </c>
      <c r="E378" t="inlineStr">
        <is>
          <t>2026Q2</t>
        </is>
      </c>
      <c r="F378" s="2" t="n">
        <v>127025</v>
      </c>
      <c r="G378" t="n">
        <v>4.3</v>
      </c>
      <c r="H378" t="n">
        <v>-4.7</v>
      </c>
      <c r="I378" s="2" t="n">
        <v>7899</v>
      </c>
      <c r="J378" t="n">
        <v>-30.1</v>
      </c>
      <c r="K378" t="n">
        <v>434.3</v>
      </c>
      <c r="L378" s="2" t="inlineStr"/>
      <c r="M378" t="inlineStr"/>
      <c r="N378" t="inlineStr">
        <is>
          <t>20260731900514</t>
        </is>
      </c>
      <c r="O378">
        <f>HYPERLINK("https://dart.fss.or.kr/dsaf001/main.do?rcpNo=20260731900514", "공시열람")</f>
        <v/>
      </c>
    </row>
    <row r="379">
      <c r="A379" t="inlineStr">
        <is>
          <t>2026-07-31</t>
        </is>
      </c>
      <c r="B379" t="inlineStr">
        <is>
          <t>넥스트아이</t>
        </is>
      </c>
      <c r="C379" t="inlineStr">
        <is>
          <t>137940</t>
        </is>
      </c>
      <c r="D379" t="inlineStr">
        <is>
          <t>연결</t>
        </is>
      </c>
      <c r="E379" t="inlineStr">
        <is>
          <t>2026Q2</t>
        </is>
      </c>
      <c r="F379" s="2" t="n">
        <v>65246</v>
      </c>
      <c r="G379" t="n">
        <v>20.5</v>
      </c>
      <c r="H379" t="n">
        <v>297.7</v>
      </c>
      <c r="I379" s="2" t="n">
        <v>-346</v>
      </c>
      <c r="J379" t="inlineStr"/>
      <c r="K379" t="inlineStr"/>
      <c r="L379" s="2" t="n">
        <v>783</v>
      </c>
      <c r="M379" t="n">
        <v>-66.3</v>
      </c>
      <c r="N379" t="inlineStr">
        <is>
          <t>20260731900546</t>
        </is>
      </c>
      <c r="O379">
        <f>HYPERLINK("https://dart.fss.or.kr/dsaf001/main.do?rcpNo=20260731900546", "공시열람")</f>
        <v/>
      </c>
    </row>
    <row r="380">
      <c r="A380" t="inlineStr">
        <is>
          <t>2026-07-30</t>
        </is>
      </c>
      <c r="B380" t="inlineStr">
        <is>
          <t>파트론</t>
        </is>
      </c>
      <c r="C380" t="inlineStr">
        <is>
          <t>091700</t>
        </is>
      </c>
      <c r="D380" t="inlineStr">
        <is>
          <t>연결</t>
        </is>
      </c>
      <c r="E380" t="inlineStr">
        <is>
          <t>2026Q2</t>
        </is>
      </c>
      <c r="F380" s="2" t="n">
        <v>355039</v>
      </c>
      <c r="G380" t="n">
        <v>-21.3</v>
      </c>
      <c r="H380" t="n">
        <v>17.8</v>
      </c>
      <c r="I380" s="2" t="n">
        <v>4477</v>
      </c>
      <c r="J380" t="n">
        <v>-63.4</v>
      </c>
      <c r="K380" t="n">
        <v>-30.1</v>
      </c>
      <c r="L380" s="2" t="n">
        <v>3936</v>
      </c>
      <c r="M380" t="inlineStr"/>
      <c r="N380" t="inlineStr">
        <is>
          <t>20260730900575</t>
        </is>
      </c>
      <c r="O380">
        <f>HYPERLINK("https://dart.fss.or.kr/dsaf001/main.do?rcpNo=20260730900575", "공시열람")</f>
        <v/>
      </c>
    </row>
    <row r="381">
      <c r="A381" t="inlineStr">
        <is>
          <t>2026-07-30</t>
        </is>
      </c>
      <c r="B381" t="inlineStr">
        <is>
          <t>한솔제지</t>
        </is>
      </c>
      <c r="C381" t="inlineStr">
        <is>
          <t>213500</t>
        </is>
      </c>
      <c r="D381" t="inlineStr">
        <is>
          <t>연결</t>
        </is>
      </c>
      <c r="E381" t="inlineStr">
        <is>
          <t>2026Q2</t>
        </is>
      </c>
      <c r="F381" s="2" t="n">
        <v>592743</v>
      </c>
      <c r="G381" t="n">
        <v>5.9</v>
      </c>
      <c r="H381" t="n">
        <v>4.9</v>
      </c>
      <c r="I381" s="2" t="n">
        <v>50804</v>
      </c>
      <c r="J381" t="n">
        <v>352</v>
      </c>
      <c r="K381" t="n">
        <v>162.8</v>
      </c>
      <c r="L381" s="2" t="n">
        <v>29964</v>
      </c>
      <c r="M381" t="n">
        <v>253.3</v>
      </c>
      <c r="N381" t="inlineStr">
        <is>
          <t>20260730800386</t>
        </is>
      </c>
      <c r="O381">
        <f>HYPERLINK("https://dart.fss.or.kr/dsaf001/main.do?rcpNo=20260730800386", "공시열람")</f>
        <v/>
      </c>
    </row>
    <row r="382">
      <c r="A382" t="inlineStr">
        <is>
          <t>2026-07-30</t>
        </is>
      </c>
      <c r="B382" t="inlineStr">
        <is>
          <t>아모레퍼시픽홀딩스</t>
        </is>
      </c>
      <c r="C382" t="inlineStr">
        <is>
          <t>002790</t>
        </is>
      </c>
      <c r="D382" t="inlineStr">
        <is>
          <t>연결</t>
        </is>
      </c>
      <c r="E382" t="inlineStr">
        <is>
          <t>2026Q2</t>
        </is>
      </c>
      <c r="F382" s="2" t="n">
        <v>1254302</v>
      </c>
      <c r="G382" t="n">
        <v>2.6</v>
      </c>
      <c r="H382" t="n">
        <v>14.6</v>
      </c>
      <c r="I382" s="2" t="n">
        <v>122783</v>
      </c>
      <c r="J382" t="n">
        <v>-10.9</v>
      </c>
      <c r="K382" t="n">
        <v>53.3</v>
      </c>
      <c r="L382" s="2" t="n">
        <v>104452</v>
      </c>
      <c r="M382" t="n">
        <v>105.7</v>
      </c>
      <c r="N382" t="inlineStr">
        <is>
          <t>20260730800384</t>
        </is>
      </c>
      <c r="O382">
        <f>HYPERLINK("https://dart.fss.or.kr/dsaf001/main.do?rcpNo=20260730800384", "공시열람")</f>
        <v/>
      </c>
    </row>
    <row r="383">
      <c r="A383" t="inlineStr">
        <is>
          <t>2026-07-30</t>
        </is>
      </c>
      <c r="B383" t="inlineStr">
        <is>
          <t>대한유화</t>
        </is>
      </c>
      <c r="C383" t="inlineStr">
        <is>
          <t>006650</t>
        </is>
      </c>
      <c r="D383" t="inlineStr">
        <is>
          <t>연결</t>
        </is>
      </c>
      <c r="E383" t="inlineStr">
        <is>
          <t>2026Q2</t>
        </is>
      </c>
      <c r="F383" s="2" t="n">
        <v>956254</v>
      </c>
      <c r="G383" t="n">
        <v>12.88</v>
      </c>
      <c r="H383" t="n">
        <v>12.93</v>
      </c>
      <c r="I383" s="2" t="n">
        <v>-3877</v>
      </c>
      <c r="J383" t="inlineStr"/>
      <c r="K383" t="n">
        <v>15.63</v>
      </c>
      <c r="L383" s="2" t="n">
        <v>-1466</v>
      </c>
      <c r="M383" t="inlineStr"/>
      <c r="N383" t="inlineStr">
        <is>
          <t>20260730800975</t>
        </is>
      </c>
      <c r="O383">
        <f>HYPERLINK("https://dart.fss.or.kr/dsaf001/main.do?rcpNo=20260730800975", "공시열람")</f>
        <v/>
      </c>
    </row>
    <row r="384">
      <c r="A384" t="inlineStr">
        <is>
          <t>2026-07-30</t>
        </is>
      </c>
      <c r="B384" t="inlineStr">
        <is>
          <t>한솔제지</t>
        </is>
      </c>
      <c r="C384" t="inlineStr">
        <is>
          <t>213500</t>
        </is>
      </c>
      <c r="D384" t="inlineStr">
        <is>
          <t>별도</t>
        </is>
      </c>
      <c r="E384" t="inlineStr">
        <is>
          <t>2026Q2</t>
        </is>
      </c>
      <c r="F384" s="2" t="n">
        <v>570007</v>
      </c>
      <c r="G384" t="n">
        <v>7.2</v>
      </c>
      <c r="H384" t="n">
        <v>8.199999999999999</v>
      </c>
      <c r="I384" s="2" t="n">
        <v>45667</v>
      </c>
      <c r="J384" t="n">
        <v>173.2</v>
      </c>
      <c r="K384" t="n">
        <v>516</v>
      </c>
      <c r="L384" s="2" t="n">
        <v>25438</v>
      </c>
      <c r="M384" t="inlineStr"/>
      <c r="N384" t="inlineStr">
        <is>
          <t>20260730800388</t>
        </is>
      </c>
      <c r="O384">
        <f>HYPERLINK("https://dart.fss.or.kr/dsaf001/main.do?rcpNo=20260730800388", "공시열람")</f>
        <v/>
      </c>
    </row>
    <row r="385">
      <c r="A385" t="inlineStr">
        <is>
          <t>2026-07-30</t>
        </is>
      </c>
      <c r="B385" t="inlineStr">
        <is>
          <t>LX하우시스</t>
        </is>
      </c>
      <c r="C385" t="inlineStr">
        <is>
          <t>108670</t>
        </is>
      </c>
      <c r="D385" t="inlineStr">
        <is>
          <t>연결</t>
        </is>
      </c>
      <c r="E385" t="inlineStr">
        <is>
          <t>2026Q2</t>
        </is>
      </c>
      <c r="F385" s="2" t="n">
        <v>939692</v>
      </c>
      <c r="G385" t="n">
        <v>15.3</v>
      </c>
      <c r="H385" t="n">
        <v>14.7</v>
      </c>
      <c r="I385" s="2" t="n">
        <v>54903</v>
      </c>
      <c r="J385" t="n">
        <v>19.7</v>
      </c>
      <c r="K385" t="n">
        <v>329</v>
      </c>
      <c r="L385" s="2" t="n">
        <v>47092</v>
      </c>
      <c r="M385" t="inlineStr"/>
      <c r="N385" t="inlineStr">
        <is>
          <t>20260730800894</t>
        </is>
      </c>
      <c r="O385">
        <f>HYPERLINK("https://dart.fss.or.kr/dsaf001/main.do?rcpNo=20260730800894", "공시열람")</f>
        <v/>
      </c>
    </row>
    <row r="386">
      <c r="A386" t="inlineStr">
        <is>
          <t>2026-07-30</t>
        </is>
      </c>
      <c r="B386" t="inlineStr">
        <is>
          <t>유나이티드</t>
        </is>
      </c>
      <c r="C386" t="inlineStr">
        <is>
          <t>033270</t>
        </is>
      </c>
      <c r="D386" t="inlineStr">
        <is>
          <t>별도</t>
        </is>
      </c>
      <c r="E386" t="inlineStr">
        <is>
          <t>2026Q2</t>
        </is>
      </c>
      <c r="F386" s="2" t="n">
        <v>77221</v>
      </c>
      <c r="G386" t="n">
        <v>4.6</v>
      </c>
      <c r="H386" t="n">
        <v>9.699999999999999</v>
      </c>
      <c r="I386" s="2" t="n">
        <v>13298</v>
      </c>
      <c r="J386" t="n">
        <v>18.1</v>
      </c>
      <c r="K386" t="n">
        <v>23.6</v>
      </c>
      <c r="L386" s="2" t="n">
        <v>37706</v>
      </c>
      <c r="M386" t="n">
        <v>3094.2</v>
      </c>
      <c r="N386" t="inlineStr">
        <is>
          <t>20260730800883</t>
        </is>
      </c>
      <c r="O386">
        <f>HYPERLINK("https://dart.fss.or.kr/dsaf001/main.do?rcpNo=20260730800883", "공시열람")</f>
        <v/>
      </c>
    </row>
    <row r="387">
      <c r="A387" t="inlineStr">
        <is>
          <t>2026-07-30</t>
        </is>
      </c>
      <c r="B387" t="inlineStr">
        <is>
          <t>HS효성</t>
        </is>
      </c>
      <c r="C387" t="inlineStr">
        <is>
          <t>487570</t>
        </is>
      </c>
      <c r="D387" t="inlineStr">
        <is>
          <t>연결</t>
        </is>
      </c>
      <c r="E387" t="inlineStr">
        <is>
          <t>2026Q2</t>
        </is>
      </c>
      <c r="F387" s="2" t="n">
        <v>430921</v>
      </c>
      <c r="G387" t="n">
        <v>17.4</v>
      </c>
      <c r="H387" t="n">
        <v>24.9</v>
      </c>
      <c r="I387" s="2" t="n">
        <v>35763</v>
      </c>
      <c r="J387" t="n">
        <v>185.1</v>
      </c>
      <c r="K387" t="n">
        <v>301.7</v>
      </c>
      <c r="L387" s="2" t="n">
        <v>27112</v>
      </c>
      <c r="M387" t="n">
        <v>360.6</v>
      </c>
      <c r="N387" t="inlineStr">
        <is>
          <t>20260730800861</t>
        </is>
      </c>
      <c r="O387">
        <f>HYPERLINK("https://dart.fss.or.kr/dsaf001/main.do?rcpNo=20260730800861", "공시열람")</f>
        <v/>
      </c>
    </row>
    <row r="388">
      <c r="A388" t="inlineStr">
        <is>
          <t>2026-07-30</t>
        </is>
      </c>
      <c r="B388" t="inlineStr">
        <is>
          <t>슈프리마</t>
        </is>
      </c>
      <c r="C388" t="inlineStr">
        <is>
          <t>236200</t>
        </is>
      </c>
      <c r="D388" t="inlineStr">
        <is>
          <t>연결</t>
        </is>
      </c>
      <c r="E388" t="inlineStr">
        <is>
          <t>2026Q2</t>
        </is>
      </c>
      <c r="F388" s="2" t="n">
        <v>40339</v>
      </c>
      <c r="G388" t="n">
        <v>29.61</v>
      </c>
      <c r="H388" t="n">
        <v>24</v>
      </c>
      <c r="I388" s="2" t="n">
        <v>10159</v>
      </c>
      <c r="J388" t="n">
        <v>88.53</v>
      </c>
      <c r="K388" t="n">
        <v>34.2</v>
      </c>
      <c r="L388" s="2" t="n">
        <v>18868</v>
      </c>
      <c r="M388" t="n">
        <v>2437.22</v>
      </c>
      <c r="N388" t="inlineStr">
        <is>
          <t>20260730900786</t>
        </is>
      </c>
      <c r="O388">
        <f>HYPERLINK("https://dart.fss.or.kr/dsaf001/main.do?rcpNo=20260730900786", "공시열람")</f>
        <v/>
      </c>
    </row>
    <row r="389">
      <c r="A389" t="inlineStr">
        <is>
          <t>2026-07-30</t>
        </is>
      </c>
      <c r="B389" t="inlineStr">
        <is>
          <t>HS효성첨단소재</t>
        </is>
      </c>
      <c r="C389" t="inlineStr">
        <is>
          <t>298050</t>
        </is>
      </c>
      <c r="D389" t="inlineStr">
        <is>
          <t>연결</t>
        </is>
      </c>
      <c r="E389" t="inlineStr">
        <is>
          <t>2026Q2</t>
        </is>
      </c>
      <c r="F389" s="2" t="n">
        <v>952698</v>
      </c>
      <c r="G389" t="n">
        <v>14.92</v>
      </c>
      <c r="H389" t="n">
        <v>13.01</v>
      </c>
      <c r="I389" s="2" t="n">
        <v>77593</v>
      </c>
      <c r="J389" t="n">
        <v>125.5</v>
      </c>
      <c r="K389" t="n">
        <v>32.09</v>
      </c>
      <c r="L389" s="2" t="n">
        <v>45193</v>
      </c>
      <c r="M389" t="n">
        <v>3051.53</v>
      </c>
      <c r="N389" t="inlineStr">
        <is>
          <t>20260730800789</t>
        </is>
      </c>
      <c r="O389">
        <f>HYPERLINK("https://dart.fss.or.kr/dsaf001/main.do?rcpNo=20260730800789", "공시열람")</f>
        <v/>
      </c>
    </row>
    <row r="390">
      <c r="A390" t="inlineStr">
        <is>
          <t>2026-07-30</t>
        </is>
      </c>
      <c r="B390" t="inlineStr">
        <is>
          <t>금호타이어</t>
        </is>
      </c>
      <c r="C390" t="inlineStr">
        <is>
          <t>073240</t>
        </is>
      </c>
      <c r="D390" t="inlineStr">
        <is>
          <t>연결</t>
        </is>
      </c>
      <c r="E390" t="inlineStr">
        <is>
          <t>2026Q2</t>
        </is>
      </c>
      <c r="F390" s="2" t="n">
        <v>1332767</v>
      </c>
      <c r="G390" t="n">
        <v>14.1</v>
      </c>
      <c r="H390" t="n">
        <v>9.1</v>
      </c>
      <c r="I390" s="2" t="n">
        <v>182238</v>
      </c>
      <c r="J390" t="n">
        <v>23.9</v>
      </c>
      <c r="K390" t="n">
        <v>4</v>
      </c>
      <c r="L390" s="2" t="n">
        <v>137774</v>
      </c>
      <c r="M390" t="n">
        <v>2385.5</v>
      </c>
      <c r="N390" t="inlineStr">
        <is>
          <t>20260730800788</t>
        </is>
      </c>
      <c r="O390">
        <f>HYPERLINK("https://dart.fss.or.kr/dsaf001/main.do?rcpNo=20260730800788", "공시열람")</f>
        <v/>
      </c>
    </row>
    <row r="391">
      <c r="A391" t="inlineStr">
        <is>
          <t>2026-07-30</t>
        </is>
      </c>
      <c r="B391" t="inlineStr">
        <is>
          <t>벽산</t>
        </is>
      </c>
      <c r="C391" t="inlineStr">
        <is>
          <t>007210</t>
        </is>
      </c>
      <c r="D391" t="inlineStr">
        <is>
          <t>별도</t>
        </is>
      </c>
      <c r="E391" t="inlineStr">
        <is>
          <t>2026Q2</t>
        </is>
      </c>
      <c r="F391" s="2" t="n">
        <v>102515</v>
      </c>
      <c r="G391" t="n">
        <v>10</v>
      </c>
      <c r="H391" t="n">
        <v>-2.7</v>
      </c>
      <c r="I391" s="2" t="n">
        <v>5733</v>
      </c>
      <c r="J391" t="n">
        <v>65.09999999999999</v>
      </c>
      <c r="K391" t="n">
        <v>26.7</v>
      </c>
      <c r="L391" s="2" t="n">
        <v>3522</v>
      </c>
      <c r="M391" t="n">
        <v>15.4</v>
      </c>
      <c r="N391" t="inlineStr">
        <is>
          <t>20260730800648</t>
        </is>
      </c>
      <c r="O391">
        <f>HYPERLINK("https://dart.fss.or.kr/dsaf001/main.do?rcpNo=20260730800648", "공시열람")</f>
        <v/>
      </c>
    </row>
    <row r="392">
      <c r="A392" t="inlineStr">
        <is>
          <t>2026-07-30</t>
        </is>
      </c>
      <c r="B392" t="inlineStr">
        <is>
          <t>현대차증권</t>
        </is>
      </c>
      <c r="C392" t="inlineStr">
        <is>
          <t>001500</t>
        </is>
      </c>
      <c r="D392" t="inlineStr">
        <is>
          <t>연결</t>
        </is>
      </c>
      <c r="E392" t="inlineStr">
        <is>
          <t>2026Q2</t>
        </is>
      </c>
      <c r="F392" s="2" t="n">
        <v>1034443</v>
      </c>
      <c r="G392" t="n">
        <v>22</v>
      </c>
      <c r="H392" t="n">
        <v>49.1</v>
      </c>
      <c r="I392" s="2" t="n">
        <v>19120</v>
      </c>
      <c r="J392" t="n">
        <v>-40.8</v>
      </c>
      <c r="K392" t="n">
        <v>-29.3</v>
      </c>
      <c r="L392" s="2" t="n">
        <v>32724</v>
      </c>
      <c r="M392" t="n">
        <v>57.9</v>
      </c>
      <c r="N392" t="inlineStr">
        <is>
          <t>20260730800922</t>
        </is>
      </c>
      <c r="O392">
        <f>HYPERLINK("https://dart.fss.or.kr/dsaf001/main.do?rcpNo=20260730800922", "공시열람")</f>
        <v/>
      </c>
    </row>
    <row r="393">
      <c r="A393" t="inlineStr">
        <is>
          <t>2026-07-30</t>
        </is>
      </c>
      <c r="B393" t="inlineStr">
        <is>
          <t>대한전선</t>
        </is>
      </c>
      <c r="C393" t="inlineStr">
        <is>
          <t>001440</t>
        </is>
      </c>
      <c r="D393" t="inlineStr">
        <is>
          <t>연결</t>
        </is>
      </c>
      <c r="E393" t="inlineStr">
        <is>
          <t>2026Q2</t>
        </is>
      </c>
      <c r="F393" s="2" t="n">
        <v>1198667</v>
      </c>
      <c r="G393" t="n">
        <v>10.64</v>
      </c>
      <c r="H393" t="n">
        <v>30.81</v>
      </c>
      <c r="I393" s="2" t="n">
        <v>60842</v>
      </c>
      <c r="J393" t="n">
        <v>0.71</v>
      </c>
      <c r="K393" t="n">
        <v>113.01</v>
      </c>
      <c r="L393" s="2" t="inlineStr"/>
      <c r="M393" t="inlineStr"/>
      <c r="N393" t="inlineStr">
        <is>
          <t>20260730800516</t>
        </is>
      </c>
      <c r="O393">
        <f>HYPERLINK("https://dart.fss.or.kr/dsaf001/main.do?rcpNo=20260730800516", "공시열람")</f>
        <v/>
      </c>
    </row>
    <row r="394">
      <c r="A394" t="inlineStr">
        <is>
          <t>2026-07-30</t>
        </is>
      </c>
      <c r="B394" t="inlineStr">
        <is>
          <t>윈스테크넷</t>
        </is>
      </c>
      <c r="C394" t="inlineStr">
        <is>
          <t>136540</t>
        </is>
      </c>
      <c r="D394" t="inlineStr">
        <is>
          <t>별도</t>
        </is>
      </c>
      <c r="E394" t="inlineStr">
        <is>
          <t>2026Q2</t>
        </is>
      </c>
      <c r="F394" s="2" t="n">
        <v>20036</v>
      </c>
      <c r="G394" t="n">
        <v>22.4</v>
      </c>
      <c r="H394" t="n">
        <v>1.2</v>
      </c>
      <c r="I394" s="2" t="n">
        <v>2951</v>
      </c>
      <c r="J394" t="n">
        <v>65.59999999999999</v>
      </c>
      <c r="K394" t="n">
        <v>-30.1</v>
      </c>
      <c r="L394" s="2" t="n">
        <v>4255</v>
      </c>
      <c r="M394" t="n">
        <v>20.8</v>
      </c>
      <c r="N394" t="inlineStr">
        <is>
          <t>20260730900557</t>
        </is>
      </c>
      <c r="O394">
        <f>HYPERLINK("https://dart.fss.or.kr/dsaf001/main.do?rcpNo=20260730900557", "공시열람")</f>
        <v/>
      </c>
    </row>
    <row r="395">
      <c r="A395" t="inlineStr">
        <is>
          <t>2026-07-30</t>
        </is>
      </c>
      <c r="B395" t="inlineStr">
        <is>
          <t>한독</t>
        </is>
      </c>
      <c r="C395" t="inlineStr">
        <is>
          <t>002390</t>
        </is>
      </c>
      <c r="D395" t="inlineStr">
        <is>
          <t>별도</t>
        </is>
      </c>
      <c r="E395" t="inlineStr">
        <is>
          <t>2026Q2</t>
        </is>
      </c>
      <c r="F395" s="2" t="n">
        <v>137119</v>
      </c>
      <c r="G395" t="n">
        <v>4.25</v>
      </c>
      <c r="H395" t="n">
        <v>9.44</v>
      </c>
      <c r="I395" s="2" t="n">
        <v>2632</v>
      </c>
      <c r="J395" t="n">
        <v>1171.36</v>
      </c>
      <c r="K395" t="inlineStr"/>
      <c r="L395" s="2" t="n">
        <v>-7684</v>
      </c>
      <c r="M395" t="inlineStr"/>
      <c r="N395" t="inlineStr">
        <is>
          <t>20260730800558</t>
        </is>
      </c>
      <c r="O395">
        <f>HYPERLINK("https://dart.fss.or.kr/dsaf001/main.do?rcpNo=20260730800558", "공시열람")</f>
        <v/>
      </c>
    </row>
    <row r="396">
      <c r="A396" t="inlineStr">
        <is>
          <t>2026-07-30</t>
        </is>
      </c>
      <c r="B396" t="inlineStr">
        <is>
          <t>SK아이이테크놀로지</t>
        </is>
      </c>
      <c r="C396" t="inlineStr">
        <is>
          <t>361610</t>
        </is>
      </c>
      <c r="D396" t="inlineStr">
        <is>
          <t>연결</t>
        </is>
      </c>
      <c r="E396" t="inlineStr">
        <is>
          <t>2026Q2</t>
        </is>
      </c>
      <c r="F396" s="2" t="n">
        <v>39526</v>
      </c>
      <c r="G396" t="n">
        <v>10.18</v>
      </c>
      <c r="H396" t="n">
        <v>-52.22</v>
      </c>
      <c r="I396" s="2" t="n">
        <v>-63448</v>
      </c>
      <c r="J396" t="n">
        <v>13.36</v>
      </c>
      <c r="K396" t="n">
        <v>-18.12</v>
      </c>
      <c r="L396" s="2" t="n">
        <v>-1327763</v>
      </c>
      <c r="M396" t="n">
        <v>-6877.26</v>
      </c>
      <c r="N396" t="inlineStr">
        <is>
          <t>20260730800548</t>
        </is>
      </c>
      <c r="O396">
        <f>HYPERLINK("https://dart.fss.or.kr/dsaf001/main.do?rcpNo=20260730800548", "공시열람")</f>
        <v/>
      </c>
    </row>
    <row r="397">
      <c r="A397" t="inlineStr">
        <is>
          <t>2026-07-30</t>
        </is>
      </c>
      <c r="B397" t="inlineStr">
        <is>
          <t>윈스테크넷</t>
        </is>
      </c>
      <c r="C397" t="inlineStr">
        <is>
          <t>136540</t>
        </is>
      </c>
      <c r="D397" t="inlineStr">
        <is>
          <t>연결</t>
        </is>
      </c>
      <c r="E397" t="inlineStr">
        <is>
          <t>2026Q2</t>
        </is>
      </c>
      <c r="F397" s="2" t="n">
        <v>20569</v>
      </c>
      <c r="G397" t="n">
        <v>17.8</v>
      </c>
      <c r="H397" t="n">
        <v>-6.3</v>
      </c>
      <c r="I397" s="2" t="n">
        <v>3165</v>
      </c>
      <c r="J397" t="n">
        <v>82.8</v>
      </c>
      <c r="K397" t="n">
        <v>-32.3</v>
      </c>
      <c r="L397" s="2" t="n">
        <v>4462</v>
      </c>
      <c r="M397" t="n">
        <v>15.8</v>
      </c>
      <c r="N397" t="inlineStr">
        <is>
          <t>20260730900549</t>
        </is>
      </c>
      <c r="O397">
        <f>HYPERLINK("https://dart.fss.or.kr/dsaf001/main.do?rcpNo=20260730900549", "공시열람")</f>
        <v/>
      </c>
    </row>
    <row r="398">
      <c r="A398" t="inlineStr">
        <is>
          <t>2026-07-30</t>
        </is>
      </c>
      <c r="B398" t="inlineStr">
        <is>
          <t>SK이노베이션</t>
        </is>
      </c>
      <c r="C398" t="inlineStr">
        <is>
          <t>096770</t>
        </is>
      </c>
      <c r="D398" t="inlineStr">
        <is>
          <t>연결</t>
        </is>
      </c>
      <c r="E398" t="inlineStr">
        <is>
          <t>2026Q2</t>
        </is>
      </c>
      <c r="F398" s="2" t="n">
        <v>29157206</v>
      </c>
      <c r="G398" t="n">
        <v>20</v>
      </c>
      <c r="H398" t="n">
        <v>49.9</v>
      </c>
      <c r="I398" s="2" t="n">
        <v>3487297</v>
      </c>
      <c r="J398" t="n">
        <v>61.3</v>
      </c>
      <c r="K398" t="inlineStr"/>
      <c r="L398" s="2" t="n">
        <v>73463</v>
      </c>
      <c r="M398" t="inlineStr"/>
      <c r="N398" t="inlineStr">
        <is>
          <t>20260730800524</t>
        </is>
      </c>
      <c r="O398">
        <f>HYPERLINK("https://dart.fss.or.kr/dsaf001/main.do?rcpNo=20260730800524", "공시열람")</f>
        <v/>
      </c>
    </row>
    <row r="399">
      <c r="A399" t="inlineStr">
        <is>
          <t>2026-07-30</t>
        </is>
      </c>
      <c r="B399" t="inlineStr">
        <is>
          <t>HL만도</t>
        </is>
      </c>
      <c r="C399" t="inlineStr">
        <is>
          <t>204320</t>
        </is>
      </c>
      <c r="D399" t="inlineStr">
        <is>
          <t>연결</t>
        </is>
      </c>
      <c r="E399" t="inlineStr">
        <is>
          <t>2026Q2</t>
        </is>
      </c>
      <c r="F399" s="2" t="n">
        <v>2495285</v>
      </c>
      <c r="G399" t="n">
        <v>7.9</v>
      </c>
      <c r="H399" t="n">
        <v>3.9</v>
      </c>
      <c r="I399" s="2" t="n">
        <v>107018</v>
      </c>
      <c r="J399" t="n">
        <v>14.4</v>
      </c>
      <c r="K399" t="n">
        <v>2.8</v>
      </c>
      <c r="L399" s="2" t="n">
        <v>58784</v>
      </c>
      <c r="M399" t="n">
        <v>493.9</v>
      </c>
      <c r="N399" t="inlineStr">
        <is>
          <t>20260730800508</t>
        </is>
      </c>
      <c r="O399">
        <f>HYPERLINK("https://dart.fss.or.kr/dsaf001/main.do?rcpNo=20260730800508", "공시열람")</f>
        <v/>
      </c>
    </row>
    <row r="400">
      <c r="A400" t="inlineStr">
        <is>
          <t>2026-07-30</t>
        </is>
      </c>
      <c r="B400" t="inlineStr">
        <is>
          <t>케이뱅크</t>
        </is>
      </c>
      <c r="C400" t="inlineStr">
        <is>
          <t>279570</t>
        </is>
      </c>
      <c r="D400" t="inlineStr">
        <is>
          <t>별도</t>
        </is>
      </c>
      <c r="E400" t="inlineStr">
        <is>
          <t>2026Q2</t>
        </is>
      </c>
      <c r="F400" s="2" t="n">
        <v>327014</v>
      </c>
      <c r="G400" t="n">
        <v>0.95</v>
      </c>
      <c r="H400" t="n">
        <v>-7.34</v>
      </c>
      <c r="I400" s="2" t="n">
        <v>26970</v>
      </c>
      <c r="J400" t="n">
        <v>-16.76</v>
      </c>
      <c r="K400" t="n">
        <v>-61.36</v>
      </c>
      <c r="L400" s="2" t="n">
        <v>26870</v>
      </c>
      <c r="M400" t="n">
        <v>-60.59</v>
      </c>
      <c r="N400" t="inlineStr">
        <is>
          <t>20260730800495</t>
        </is>
      </c>
      <c r="O400">
        <f>HYPERLINK("https://dart.fss.or.kr/dsaf001/main.do?rcpNo=20260730800495", "공시열람")</f>
        <v/>
      </c>
    </row>
    <row r="401">
      <c r="A401" t="inlineStr">
        <is>
          <t>2026-07-30</t>
        </is>
      </c>
      <c r="B401" t="inlineStr">
        <is>
          <t>DL이앤씨</t>
        </is>
      </c>
      <c r="C401" t="inlineStr">
        <is>
          <t>375500</t>
        </is>
      </c>
      <c r="D401" t="inlineStr">
        <is>
          <t>연결</t>
        </is>
      </c>
      <c r="E401" t="inlineStr">
        <is>
          <t>2026Q2</t>
        </is>
      </c>
      <c r="F401" s="2" t="n">
        <v>1802923</v>
      </c>
      <c r="G401" t="n">
        <v>4.5</v>
      </c>
      <c r="H401" t="n">
        <v>-9.470000000000001</v>
      </c>
      <c r="I401" s="2" t="n">
        <v>159428</v>
      </c>
      <c r="J401" t="n">
        <v>1.31</v>
      </c>
      <c r="K401" t="n">
        <v>26.32</v>
      </c>
      <c r="L401" s="2" t="n">
        <v>129720</v>
      </c>
      <c r="M401" t="n">
        <v>1464.59</v>
      </c>
      <c r="N401" t="inlineStr">
        <is>
          <t>20260730800486</t>
        </is>
      </c>
      <c r="O401">
        <f>HYPERLINK("https://dart.fss.or.kr/dsaf001/main.do?rcpNo=20260730800486", "공시열람")</f>
        <v/>
      </c>
    </row>
    <row r="402">
      <c r="A402" t="inlineStr">
        <is>
          <t>2026-07-30</t>
        </is>
      </c>
      <c r="B402" t="inlineStr">
        <is>
          <t>일동홀딩스</t>
        </is>
      </c>
      <c r="C402" t="inlineStr">
        <is>
          <t>000230</t>
        </is>
      </c>
      <c r="D402" t="inlineStr">
        <is>
          <t>연결</t>
        </is>
      </c>
      <c r="E402" t="inlineStr">
        <is>
          <t>2026Q2</t>
        </is>
      </c>
      <c r="F402" s="2" t="n">
        <v>157084</v>
      </c>
      <c r="G402" t="n">
        <v>5.5</v>
      </c>
      <c r="H402" t="n">
        <v>8.300000000000001</v>
      </c>
      <c r="I402" s="2" t="n">
        <v>5030</v>
      </c>
      <c r="J402" t="n">
        <v>-43.4</v>
      </c>
      <c r="K402" t="inlineStr"/>
      <c r="L402" s="2" t="n">
        <v>5652</v>
      </c>
      <c r="M402" t="inlineStr"/>
      <c r="N402" t="inlineStr">
        <is>
          <t>20260730800474</t>
        </is>
      </c>
      <c r="O402">
        <f>HYPERLINK("https://dart.fss.or.kr/dsaf001/main.do?rcpNo=20260730800474", "공시열람")</f>
        <v/>
      </c>
    </row>
    <row r="403">
      <c r="A403" t="inlineStr">
        <is>
          <t>2026-07-30</t>
        </is>
      </c>
      <c r="B403" t="inlineStr">
        <is>
          <t>일동제약</t>
        </is>
      </c>
      <c r="C403" t="inlineStr">
        <is>
          <t>249420</t>
        </is>
      </c>
      <c r="D403" t="inlineStr">
        <is>
          <t>연결</t>
        </is>
      </c>
      <c r="E403" t="inlineStr">
        <is>
          <t>2026Q2</t>
        </is>
      </c>
      <c r="F403" s="2" t="n">
        <v>150883</v>
      </c>
      <c r="G403" t="n">
        <v>6.3</v>
      </c>
      <c r="H403" t="n">
        <v>9</v>
      </c>
      <c r="I403" s="2" t="n">
        <v>5003</v>
      </c>
      <c r="J403" t="n">
        <v>-45.8</v>
      </c>
      <c r="K403" t="n">
        <v>739.1</v>
      </c>
      <c r="L403" s="2" t="n">
        <v>8125</v>
      </c>
      <c r="M403" t="inlineStr"/>
      <c r="N403" t="inlineStr">
        <is>
          <t>20260730800469</t>
        </is>
      </c>
      <c r="O403">
        <f>HYPERLINK("https://dart.fss.or.kr/dsaf001/main.do?rcpNo=20260730800469", "공시열람")</f>
        <v/>
      </c>
    </row>
    <row r="404">
      <c r="A404" t="inlineStr">
        <is>
          <t>2026-07-30</t>
        </is>
      </c>
      <c r="B404" t="inlineStr">
        <is>
          <t>야스</t>
        </is>
      </c>
      <c r="C404" t="inlineStr">
        <is>
          <t>255440</t>
        </is>
      </c>
      <c r="D404" t="inlineStr">
        <is>
          <t>연결</t>
        </is>
      </c>
      <c r="E404" t="inlineStr">
        <is>
          <t>2026Q2</t>
        </is>
      </c>
      <c r="F404" s="2" t="n">
        <v>87220</v>
      </c>
      <c r="G404" t="n">
        <v>167.1</v>
      </c>
      <c r="H404" t="n">
        <v>1318.8</v>
      </c>
      <c r="I404" s="2" t="n">
        <v>28016</v>
      </c>
      <c r="J404" t="n">
        <v>441</v>
      </c>
      <c r="K404" t="inlineStr"/>
      <c r="L404" s="2" t="n">
        <v>27184</v>
      </c>
      <c r="M404" t="inlineStr"/>
      <c r="N404" t="inlineStr">
        <is>
          <t>20260730900447</t>
        </is>
      </c>
      <c r="O404">
        <f>HYPERLINK("https://dart.fss.or.kr/dsaf001/main.do?rcpNo=20260730900447", "공시열람")</f>
        <v/>
      </c>
    </row>
    <row r="405">
      <c r="A405" t="inlineStr">
        <is>
          <t>2026-07-30</t>
        </is>
      </c>
      <c r="B405" t="inlineStr">
        <is>
          <t>현대에버다임</t>
        </is>
      </c>
      <c r="C405" t="inlineStr">
        <is>
          <t>041440</t>
        </is>
      </c>
      <c r="D405" t="inlineStr">
        <is>
          <t>연결</t>
        </is>
      </c>
      <c r="E405" t="inlineStr">
        <is>
          <t>2026Q2</t>
        </is>
      </c>
      <c r="F405" s="2" t="n">
        <v>79717</v>
      </c>
      <c r="G405" t="n">
        <v>-2.8</v>
      </c>
      <c r="H405" t="n">
        <v>-6.5</v>
      </c>
      <c r="I405" s="2" t="n">
        <v>3202</v>
      </c>
      <c r="J405" t="n">
        <v>454.9</v>
      </c>
      <c r="K405" t="n">
        <v>14.1</v>
      </c>
      <c r="L405" s="2" t="n">
        <v>2961</v>
      </c>
      <c r="M405" t="n">
        <v>861.4</v>
      </c>
      <c r="N405" t="inlineStr">
        <is>
          <t>20260730900412</t>
        </is>
      </c>
      <c r="O405">
        <f>HYPERLINK("https://dart.fss.or.kr/dsaf001/main.do?rcpNo=20260730900412", "공시열람")</f>
        <v/>
      </c>
    </row>
    <row r="406">
      <c r="A406" t="inlineStr">
        <is>
          <t>2026-07-30</t>
        </is>
      </c>
      <c r="B406" t="inlineStr">
        <is>
          <t>롯데정밀화학</t>
        </is>
      </c>
      <c r="C406" t="inlineStr">
        <is>
          <t>004000</t>
        </is>
      </c>
      <c r="D406" t="inlineStr">
        <is>
          <t>연결</t>
        </is>
      </c>
      <c r="E406" t="inlineStr">
        <is>
          <t>2026Q2</t>
        </is>
      </c>
      <c r="F406" s="2" t="n">
        <v>586300</v>
      </c>
      <c r="G406" t="n">
        <v>14.8</v>
      </c>
      <c r="H406" t="n">
        <v>38.1</v>
      </c>
      <c r="I406" s="2" t="n">
        <v>61900</v>
      </c>
      <c r="J406" t="n">
        <v>89.3</v>
      </c>
      <c r="K406" t="n">
        <v>611.5</v>
      </c>
      <c r="L406" s="2" t="n">
        <v>94200</v>
      </c>
      <c r="M406" t="n">
        <v>507.7</v>
      </c>
      <c r="N406" t="inlineStr">
        <is>
          <t>20260730800387</t>
        </is>
      </c>
      <c r="O406">
        <f>HYPERLINK("https://dart.fss.or.kr/dsaf001/main.do?rcpNo=20260730800387", "공시열람")</f>
        <v/>
      </c>
    </row>
    <row r="407">
      <c r="A407" t="inlineStr">
        <is>
          <t>2026-07-30</t>
        </is>
      </c>
      <c r="B407" t="inlineStr">
        <is>
          <t>POSCO홀딩스</t>
        </is>
      </c>
      <c r="C407" t="inlineStr">
        <is>
          <t>005490</t>
        </is>
      </c>
      <c r="D407" t="inlineStr">
        <is>
          <t>별도</t>
        </is>
      </c>
      <c r="E407" t="inlineStr">
        <is>
          <t>2026Q2</t>
        </is>
      </c>
      <c r="F407" s="2" t="n">
        <v>9</v>
      </c>
      <c r="G407" t="n">
        <v>5.4</v>
      </c>
      <c r="H407" t="n">
        <v>5.2</v>
      </c>
      <c r="I407" s="2" t="n">
        <v>0</v>
      </c>
      <c r="J407" t="n">
        <v>28.5</v>
      </c>
      <c r="K407" t="n">
        <v>-46.6</v>
      </c>
      <c r="L407" s="2" t="n">
        <v>0</v>
      </c>
      <c r="M407" t="n">
        <v>-79.59999999999999</v>
      </c>
      <c r="N407" t="inlineStr">
        <is>
          <t>20260730800414</t>
        </is>
      </c>
      <c r="O407">
        <f>HYPERLINK("https://dart.fss.or.kr/dsaf001/main.do?rcpNo=20260730800414", "공시열람")</f>
        <v/>
      </c>
    </row>
    <row r="408">
      <c r="A408" t="inlineStr">
        <is>
          <t>2026-07-30</t>
        </is>
      </c>
      <c r="B408" t="inlineStr">
        <is>
          <t>SUN&amp;L</t>
        </is>
      </c>
      <c r="C408" t="inlineStr">
        <is>
          <t>002820</t>
        </is>
      </c>
      <c r="D408" t="inlineStr">
        <is>
          <t>별도</t>
        </is>
      </c>
      <c r="E408" t="inlineStr">
        <is>
          <t>2026Q2</t>
        </is>
      </c>
      <c r="F408" s="2" t="n">
        <v>27700</v>
      </c>
      <c r="G408" t="n">
        <v>3.7</v>
      </c>
      <c r="H408" t="n">
        <v>-3.1</v>
      </c>
      <c r="I408" s="2" t="n">
        <v>900</v>
      </c>
      <c r="J408" t="inlineStr"/>
      <c r="K408" t="inlineStr"/>
      <c r="L408" s="2" t="n">
        <v>10800</v>
      </c>
      <c r="M408" t="inlineStr"/>
      <c r="N408" t="inlineStr">
        <is>
          <t>20260730800358</t>
        </is>
      </c>
      <c r="O408">
        <f>HYPERLINK("https://dart.fss.or.kr/dsaf001/main.do?rcpNo=20260730800358", "공시열람")</f>
        <v/>
      </c>
    </row>
    <row r="409">
      <c r="A409" t="inlineStr">
        <is>
          <t>2026-07-30</t>
        </is>
      </c>
      <c r="B409" t="inlineStr">
        <is>
          <t>포스코DX</t>
        </is>
      </c>
      <c r="C409" t="inlineStr">
        <is>
          <t>022100</t>
        </is>
      </c>
      <c r="D409" t="inlineStr">
        <is>
          <t>연결</t>
        </is>
      </c>
      <c r="E409" t="inlineStr">
        <is>
          <t>2026Q2</t>
        </is>
      </c>
      <c r="F409" s="2" t="n">
        <v>232581</v>
      </c>
      <c r="G409" t="n">
        <v>-3.7</v>
      </c>
      <c r="H409" t="n">
        <v>-14.8</v>
      </c>
      <c r="I409" s="2" t="n">
        <v>9861</v>
      </c>
      <c r="J409" t="n">
        <v>169.6</v>
      </c>
      <c r="K409" t="n">
        <v>-42.3</v>
      </c>
      <c r="L409" s="2" t="n">
        <v>11816</v>
      </c>
      <c r="M409" t="n">
        <v>-18.2</v>
      </c>
      <c r="N409" t="inlineStr">
        <is>
          <t>20260730800214</t>
        </is>
      </c>
      <c r="O409">
        <f>HYPERLINK("https://dart.fss.or.kr/dsaf001/main.do?rcpNo=20260730800214", "공시열람")</f>
        <v/>
      </c>
    </row>
    <row r="410">
      <c r="A410" t="inlineStr">
        <is>
          <t>2026-07-30</t>
        </is>
      </c>
      <c r="B410" t="inlineStr">
        <is>
          <t>LG전자</t>
        </is>
      </c>
      <c r="C410" t="inlineStr">
        <is>
          <t>066570</t>
        </is>
      </c>
      <c r="D410" t="inlineStr">
        <is>
          <t>연결</t>
        </is>
      </c>
      <c r="E410" t="inlineStr">
        <is>
          <t>2026Q2</t>
        </is>
      </c>
      <c r="F410" s="2" t="n">
        <v>23826500</v>
      </c>
      <c r="G410" t="n">
        <v>0.4</v>
      </c>
      <c r="H410" t="n">
        <v>14.9</v>
      </c>
      <c r="I410" s="2" t="n">
        <v>1579100</v>
      </c>
      <c r="J410" t="n">
        <v>-5.7</v>
      </c>
      <c r="K410" t="n">
        <v>147</v>
      </c>
      <c r="L410" s="2" t="n">
        <v>781300</v>
      </c>
      <c r="M410" t="n">
        <v>28.1</v>
      </c>
      <c r="N410" t="inlineStr">
        <is>
          <t>20260730800391</t>
        </is>
      </c>
      <c r="O410">
        <f>HYPERLINK("https://dart.fss.or.kr/dsaf001/main.do?rcpNo=20260730800391", "공시열람")</f>
        <v/>
      </c>
    </row>
    <row r="411">
      <c r="A411" t="inlineStr">
        <is>
          <t>2026-07-30</t>
        </is>
      </c>
      <c r="B411" t="inlineStr">
        <is>
          <t>세아베스틸지주</t>
        </is>
      </c>
      <c r="C411" t="inlineStr">
        <is>
          <t>001430</t>
        </is>
      </c>
      <c r="D411" t="inlineStr">
        <is>
          <t>연결</t>
        </is>
      </c>
      <c r="E411" t="inlineStr">
        <is>
          <t>2026Q2</t>
        </is>
      </c>
      <c r="F411" s="2" t="n">
        <v>1136310</v>
      </c>
      <c r="G411" t="n">
        <v>17.4</v>
      </c>
      <c r="H411" t="n">
        <v>17.8</v>
      </c>
      <c r="I411" s="2" t="n">
        <v>60467</v>
      </c>
      <c r="J411" t="n">
        <v>94.5</v>
      </c>
      <c r="K411" t="n">
        <v>35.9</v>
      </c>
      <c r="L411" s="2" t="n">
        <v>35167</v>
      </c>
      <c r="M411" t="n">
        <v>93.40000000000001</v>
      </c>
      <c r="N411" t="inlineStr">
        <is>
          <t>20260730800231</t>
        </is>
      </c>
      <c r="O411">
        <f>HYPERLINK("https://dart.fss.or.kr/dsaf001/main.do?rcpNo=20260730800231", "공시열람")</f>
        <v/>
      </c>
    </row>
    <row r="412">
      <c r="A412" t="inlineStr">
        <is>
          <t>2026-07-30</t>
        </is>
      </c>
      <c r="B412" t="inlineStr">
        <is>
          <t>유한양행</t>
        </is>
      </c>
      <c r="C412" t="inlineStr">
        <is>
          <t>000100</t>
        </is>
      </c>
      <c r="D412" t="inlineStr">
        <is>
          <t>별도</t>
        </is>
      </c>
      <c r="E412" t="inlineStr">
        <is>
          <t>2026Q2</t>
        </is>
      </c>
      <c r="F412" s="2" t="n">
        <v>614035</v>
      </c>
      <c r="G412" t="n">
        <v>20.5</v>
      </c>
      <c r="H412" t="n">
        <v>10.4</v>
      </c>
      <c r="I412" s="2" t="n">
        <v>61442</v>
      </c>
      <c r="J412" t="n">
        <v>595.8</v>
      </c>
      <c r="K412" t="n">
        <v>34.7</v>
      </c>
      <c r="L412" s="2" t="n">
        <v>47617</v>
      </c>
      <c r="M412" t="n">
        <v>22.1</v>
      </c>
      <c r="N412" t="inlineStr">
        <is>
          <t>20260730800381</t>
        </is>
      </c>
      <c r="O412">
        <f>HYPERLINK("https://dart.fss.or.kr/dsaf001/main.do?rcpNo=20260730800381", "공시열람")</f>
        <v/>
      </c>
    </row>
    <row r="413">
      <c r="A413" t="inlineStr">
        <is>
          <t>2026-07-30</t>
        </is>
      </c>
      <c r="B413" t="inlineStr">
        <is>
          <t>키움증권</t>
        </is>
      </c>
      <c r="C413" t="inlineStr">
        <is>
          <t>039490</t>
        </is>
      </c>
      <c r="D413" t="inlineStr">
        <is>
          <t>연결</t>
        </is>
      </c>
      <c r="E413" t="inlineStr">
        <is>
          <t>2026Q2</t>
        </is>
      </c>
      <c r="F413" s="2" t="n">
        <v>16073176</v>
      </c>
      <c r="G413" t="n">
        <v>71.06</v>
      </c>
      <c r="H413" t="n">
        <v>256.73</v>
      </c>
      <c r="I413" s="2" t="n">
        <v>788950</v>
      </c>
      <c r="J413" t="n">
        <v>27</v>
      </c>
      <c r="K413" t="n">
        <v>93.23</v>
      </c>
      <c r="L413" s="2" t="n">
        <v>680567</v>
      </c>
      <c r="M413" t="n">
        <v>119.44</v>
      </c>
      <c r="N413" t="inlineStr">
        <is>
          <t>20260730800016</t>
        </is>
      </c>
      <c r="O413">
        <f>HYPERLINK("https://dart.fss.or.kr/dsaf001/main.do?rcpNo=20260730800016", "공시열람")</f>
        <v/>
      </c>
    </row>
    <row r="414">
      <c r="A414" t="inlineStr">
        <is>
          <t>2026-07-30</t>
        </is>
      </c>
      <c r="B414" t="inlineStr">
        <is>
          <t>한컴라이프케어</t>
        </is>
      </c>
      <c r="C414" t="inlineStr">
        <is>
          <t>372910</t>
        </is>
      </c>
      <c r="D414" t="inlineStr">
        <is>
          <t>연결</t>
        </is>
      </c>
      <c r="E414" t="inlineStr">
        <is>
          <t>2026Q2</t>
        </is>
      </c>
      <c r="F414" s="2" t="n">
        <v>55074</v>
      </c>
      <c r="G414" t="n">
        <v>819.6</v>
      </c>
      <c r="H414" t="n">
        <v>103.3</v>
      </c>
      <c r="I414" s="2" t="n">
        <v>7609</v>
      </c>
      <c r="J414" t="inlineStr"/>
      <c r="K414" t="n">
        <v>167.7</v>
      </c>
      <c r="L414" s="2" t="n">
        <v>6819</v>
      </c>
      <c r="M414" t="n">
        <v>12076.8</v>
      </c>
      <c r="N414" t="inlineStr">
        <is>
          <t>20260730800076</t>
        </is>
      </c>
      <c r="O414">
        <f>HYPERLINK("https://dart.fss.or.kr/dsaf001/main.do?rcpNo=20260730800076", "공시열람")</f>
        <v/>
      </c>
    </row>
    <row r="415">
      <c r="A415" t="inlineStr">
        <is>
          <t>2026-07-30</t>
        </is>
      </c>
      <c r="B415" t="inlineStr">
        <is>
          <t>삼성전자</t>
        </is>
      </c>
      <c r="C415" t="inlineStr">
        <is>
          <t>005930</t>
        </is>
      </c>
      <c r="D415" t="inlineStr">
        <is>
          <t>연결</t>
        </is>
      </c>
      <c r="E415" t="inlineStr">
        <is>
          <t>2026Q2</t>
        </is>
      </c>
      <c r="F415" s="2" t="n">
        <v>171499500</v>
      </c>
      <c r="G415" t="n">
        <v>28.11</v>
      </c>
      <c r="H415" t="n">
        <v>130</v>
      </c>
      <c r="I415" s="2" t="n">
        <v>89492400</v>
      </c>
      <c r="J415" t="n">
        <v>56.37</v>
      </c>
      <c r="K415" t="n">
        <v>1813.83</v>
      </c>
      <c r="L415" s="2" t="n">
        <v>71624500</v>
      </c>
      <c r="M415" t="n">
        <v>1299.9</v>
      </c>
      <c r="N415" t="inlineStr">
        <is>
          <t>20260730800077</t>
        </is>
      </c>
      <c r="O415">
        <f>HYPERLINK("https://dart.fss.or.kr/dsaf001/main.do?rcpNo=20260730800077", "공시열람")</f>
        <v/>
      </c>
    </row>
    <row r="416">
      <c r="A416" t="inlineStr">
        <is>
          <t>2026-07-30</t>
        </is>
      </c>
      <c r="B416" t="inlineStr">
        <is>
          <t>삼성전자</t>
        </is>
      </c>
      <c r="C416" t="inlineStr">
        <is>
          <t>005930</t>
        </is>
      </c>
      <c r="D416" t="inlineStr">
        <is>
          <t>연결</t>
        </is>
      </c>
      <c r="E416" t="inlineStr">
        <is>
          <t>2026Q2</t>
        </is>
      </c>
      <c r="F416" s="2" t="n">
        <v>172</v>
      </c>
      <c r="G416" t="n">
        <v>28.11</v>
      </c>
      <c r="H416" t="n">
        <v>130</v>
      </c>
      <c r="I416" s="2" t="n">
        <v>89</v>
      </c>
      <c r="J416" t="n">
        <v>56.37</v>
      </c>
      <c r="K416" t="n">
        <v>1813.83</v>
      </c>
      <c r="L416" s="2" t="inlineStr"/>
      <c r="M416" t="inlineStr"/>
      <c r="N416" t="inlineStr">
        <is>
          <t>20260730800103</t>
        </is>
      </c>
      <c r="O416">
        <f>HYPERLINK("https://dart.fss.or.kr/dsaf001/main.do?rcpNo=20260730800103", "공시열람")</f>
        <v/>
      </c>
    </row>
    <row r="417">
      <c r="A417" t="inlineStr">
        <is>
          <t>2026-07-30</t>
        </is>
      </c>
      <c r="B417" t="inlineStr">
        <is>
          <t>포스코스틸리온</t>
        </is>
      </c>
      <c r="C417" t="inlineStr">
        <is>
          <t>058430</t>
        </is>
      </c>
      <c r="D417" t="inlineStr">
        <is>
          <t>별도</t>
        </is>
      </c>
      <c r="E417" t="inlineStr">
        <is>
          <t>2026Q2</t>
        </is>
      </c>
      <c r="F417" s="2" t="n">
        <v>293200</v>
      </c>
      <c r="G417" t="n">
        <v>7</v>
      </c>
      <c r="H417" t="n">
        <v>5.8</v>
      </c>
      <c r="I417" s="2" t="n">
        <v>9200</v>
      </c>
      <c r="J417" t="n">
        <v>55.9</v>
      </c>
      <c r="K417" t="n">
        <v>114</v>
      </c>
      <c r="L417" s="2" t="n">
        <v>6700</v>
      </c>
      <c r="M417" t="n">
        <v>131</v>
      </c>
      <c r="N417" t="inlineStr">
        <is>
          <t>20260730800113</t>
        </is>
      </c>
      <c r="O417">
        <f>HYPERLINK("https://dart.fss.or.kr/dsaf001/main.do?rcpNo=20260730800113", "공시열람")</f>
        <v/>
      </c>
    </row>
    <row r="418">
      <c r="A418" t="inlineStr">
        <is>
          <t>2026-07-30</t>
        </is>
      </c>
      <c r="B418" t="inlineStr">
        <is>
          <t>LG에너지솔루션</t>
        </is>
      </c>
      <c r="C418" t="inlineStr">
        <is>
          <t>373220</t>
        </is>
      </c>
      <c r="D418" t="inlineStr">
        <is>
          <t>연결</t>
        </is>
      </c>
      <c r="E418" t="inlineStr">
        <is>
          <t>2026Q2</t>
        </is>
      </c>
      <c r="F418" s="2" t="n">
        <v>7560200</v>
      </c>
      <c r="G418" t="n">
        <v>15.3</v>
      </c>
      <c r="H418" t="n">
        <v>24.8</v>
      </c>
      <c r="I418" s="2" t="n">
        <v>113300</v>
      </c>
      <c r="J418" t="inlineStr"/>
      <c r="K418" t="n">
        <v>-77</v>
      </c>
      <c r="L418" s="2" t="n">
        <v>-328600</v>
      </c>
      <c r="M418" t="inlineStr"/>
      <c r="N418" t="inlineStr">
        <is>
          <t>20260730800128</t>
        </is>
      </c>
      <c r="O418">
        <f>HYPERLINK("https://dart.fss.or.kr/dsaf001/main.do?rcpNo=20260730800128", "공시열람")</f>
        <v/>
      </c>
    </row>
    <row r="419">
      <c r="A419" t="inlineStr">
        <is>
          <t>2026-07-30</t>
        </is>
      </c>
      <c r="B419" t="inlineStr">
        <is>
          <t>한컴</t>
        </is>
      </c>
      <c r="C419" t="inlineStr">
        <is>
          <t>030520</t>
        </is>
      </c>
      <c r="D419" t="inlineStr">
        <is>
          <t>별도</t>
        </is>
      </c>
      <c r="E419" t="inlineStr">
        <is>
          <t>2026Q2</t>
        </is>
      </c>
      <c r="F419" s="2" t="n">
        <v>52079</v>
      </c>
      <c r="G419" t="n">
        <v>12</v>
      </c>
      <c r="H419" t="n">
        <v>11.9</v>
      </c>
      <c r="I419" s="2" t="n">
        <v>13383</v>
      </c>
      <c r="J419" t="n">
        <v>-24.1</v>
      </c>
      <c r="K419" t="n">
        <v>-22</v>
      </c>
      <c r="L419" s="2" t="n">
        <v>25984</v>
      </c>
      <c r="M419" t="n">
        <v>38</v>
      </c>
      <c r="N419" t="inlineStr">
        <is>
          <t>20260730900131</t>
        </is>
      </c>
      <c r="O419">
        <f>HYPERLINK("https://dart.fss.or.kr/dsaf001/main.do?rcpNo=20260730900131", "공시열람")</f>
        <v/>
      </c>
    </row>
    <row r="420">
      <c r="A420" t="inlineStr">
        <is>
          <t>2026-07-30</t>
        </is>
      </c>
      <c r="B420" t="inlineStr">
        <is>
          <t>한컴</t>
        </is>
      </c>
      <c r="C420" t="inlineStr">
        <is>
          <t>030520</t>
        </is>
      </c>
      <c r="D420" t="inlineStr">
        <is>
          <t>연결</t>
        </is>
      </c>
      <c r="E420" t="inlineStr">
        <is>
          <t>2026Q2</t>
        </is>
      </c>
      <c r="F420" s="2" t="n">
        <v>119952</v>
      </c>
      <c r="G420" t="n">
        <v>88.59999999999999</v>
      </c>
      <c r="H420" t="n">
        <v>38.8</v>
      </c>
      <c r="I420" s="2" t="n">
        <v>14337</v>
      </c>
      <c r="J420" t="n">
        <v>67.40000000000001</v>
      </c>
      <c r="K420" t="n">
        <v>-12.6</v>
      </c>
      <c r="L420" s="2" t="n">
        <v>24144</v>
      </c>
      <c r="M420" t="n">
        <v>60.1</v>
      </c>
      <c r="N420" t="inlineStr">
        <is>
          <t>20260730900129</t>
        </is>
      </c>
      <c r="O420">
        <f>HYPERLINK("https://dart.fss.or.kr/dsaf001/main.do?rcpNo=20260730900129", "공시열람")</f>
        <v/>
      </c>
    </row>
    <row r="421">
      <c r="A421" t="inlineStr">
        <is>
          <t>2026-07-30</t>
        </is>
      </c>
      <c r="B421" t="inlineStr">
        <is>
          <t>누보</t>
        </is>
      </c>
      <c r="C421" t="inlineStr">
        <is>
          <t>332290</t>
        </is>
      </c>
      <c r="D421" t="inlineStr">
        <is>
          <t>연결</t>
        </is>
      </c>
      <c r="E421" t="inlineStr">
        <is>
          <t>2026Q2</t>
        </is>
      </c>
      <c r="F421" s="2" t="n">
        <v>51870</v>
      </c>
      <c r="G421" t="n">
        <v>64.09999999999999</v>
      </c>
      <c r="H421" t="n">
        <v>46.7</v>
      </c>
      <c r="I421" s="2" t="n">
        <v>3705</v>
      </c>
      <c r="J421" t="n">
        <v>167.9</v>
      </c>
      <c r="K421" t="n">
        <v>11.5</v>
      </c>
      <c r="L421" s="2" t="n">
        <v>3696</v>
      </c>
      <c r="M421" t="n">
        <v>383</v>
      </c>
      <c r="N421" t="inlineStr">
        <is>
          <t>20260730900153</t>
        </is>
      </c>
      <c r="O421">
        <f>HYPERLINK("https://dart.fss.or.kr/dsaf001/main.do?rcpNo=20260730900153", "공시열람")</f>
        <v/>
      </c>
    </row>
    <row r="422">
      <c r="A422" t="inlineStr">
        <is>
          <t>2026-07-30</t>
        </is>
      </c>
      <c r="B422" t="inlineStr">
        <is>
          <t>롯데이노베이트</t>
        </is>
      </c>
      <c r="C422" t="inlineStr">
        <is>
          <t>286940</t>
        </is>
      </c>
      <c r="D422" t="inlineStr">
        <is>
          <t>연결</t>
        </is>
      </c>
      <c r="E422" t="inlineStr">
        <is>
          <t>2026Q2</t>
        </is>
      </c>
      <c r="F422" s="2" t="n">
        <v>274496</v>
      </c>
      <c r="G422" t="n">
        <v>-2.4</v>
      </c>
      <c r="H422" t="n">
        <v>-2.2</v>
      </c>
      <c r="I422" s="2" t="n">
        <v>12378</v>
      </c>
      <c r="J422" t="n">
        <v>27.1</v>
      </c>
      <c r="K422" t="n">
        <v>54.3</v>
      </c>
      <c r="L422" s="2" t="n">
        <v>8673</v>
      </c>
      <c r="M422" t="n">
        <v>229.3</v>
      </c>
      <c r="N422" t="inlineStr">
        <is>
          <t>20260730800162</t>
        </is>
      </c>
      <c r="O422">
        <f>HYPERLINK("https://dart.fss.or.kr/dsaf001/main.do?rcpNo=20260730800162", "공시열람")</f>
        <v/>
      </c>
    </row>
    <row r="423">
      <c r="A423" t="inlineStr">
        <is>
          <t>2026-07-30</t>
        </is>
      </c>
      <c r="B423" t="inlineStr">
        <is>
          <t>삼성에스디에스</t>
        </is>
      </c>
      <c r="C423" t="inlineStr">
        <is>
          <t>018260</t>
        </is>
      </c>
      <c r="D423" t="inlineStr">
        <is>
          <t>연결</t>
        </is>
      </c>
      <c r="E423" t="inlineStr">
        <is>
          <t>2026Q2</t>
        </is>
      </c>
      <c r="F423" s="2" t="n">
        <v>3717774</v>
      </c>
      <c r="G423" t="n">
        <v>10.9</v>
      </c>
      <c r="H423" t="n">
        <v>5.9</v>
      </c>
      <c r="I423" s="2" t="n">
        <v>231805</v>
      </c>
      <c r="J423" t="n">
        <v>195.9</v>
      </c>
      <c r="K423" t="n">
        <v>0.7</v>
      </c>
      <c r="L423" s="2" t="n">
        <v>184053</v>
      </c>
      <c r="M423" t="n">
        <v>4.6</v>
      </c>
      <c r="N423" t="inlineStr">
        <is>
          <t>20260730800152</t>
        </is>
      </c>
      <c r="O423">
        <f>HYPERLINK("https://dart.fss.or.kr/dsaf001/main.do?rcpNo=20260730800152", "공시열람")</f>
        <v/>
      </c>
    </row>
    <row r="424">
      <c r="A424" t="inlineStr">
        <is>
          <t>2026-07-30</t>
        </is>
      </c>
      <c r="B424" t="inlineStr">
        <is>
          <t>포스코엠텍</t>
        </is>
      </c>
      <c r="C424" t="inlineStr">
        <is>
          <t>009520</t>
        </is>
      </c>
      <c r="D424" t="inlineStr">
        <is>
          <t>별도</t>
        </is>
      </c>
      <c r="E424" t="inlineStr">
        <is>
          <t>2026Q2</t>
        </is>
      </c>
      <c r="F424" s="2" t="n">
        <v>107196</v>
      </c>
      <c r="G424" t="n">
        <v>3.73</v>
      </c>
      <c r="H424" t="n">
        <v>19.98</v>
      </c>
      <c r="I424" s="2" t="n">
        <v>9668</v>
      </c>
      <c r="J424" t="n">
        <v>290</v>
      </c>
      <c r="K424" t="inlineStr"/>
      <c r="L424" s="2" t="n">
        <v>7733</v>
      </c>
      <c r="M424" t="inlineStr"/>
      <c r="N424" t="inlineStr">
        <is>
          <t>20260730900173</t>
        </is>
      </c>
      <c r="O424">
        <f>HYPERLINK("https://dart.fss.or.kr/dsaf001/main.do?rcpNo=20260730900173", "공시열람")</f>
        <v/>
      </c>
    </row>
    <row r="425">
      <c r="A425" t="inlineStr">
        <is>
          <t>2026-07-30</t>
        </is>
      </c>
      <c r="B425" t="inlineStr">
        <is>
          <t>대한조선</t>
        </is>
      </c>
      <c r="C425" t="inlineStr">
        <is>
          <t>439260</t>
        </is>
      </c>
      <c r="D425" t="inlineStr">
        <is>
          <t>연결</t>
        </is>
      </c>
      <c r="E425" t="inlineStr">
        <is>
          <t>2026Q2</t>
        </is>
      </c>
      <c r="F425" s="2" t="n">
        <v>354400</v>
      </c>
      <c r="G425" t="n">
        <v>15</v>
      </c>
      <c r="H425" t="n">
        <v>19.7</v>
      </c>
      <c r="I425" s="2" t="n">
        <v>95200</v>
      </c>
      <c r="J425" t="n">
        <v>15.3</v>
      </c>
      <c r="K425" t="n">
        <v>52.3</v>
      </c>
      <c r="L425" s="2" t="n">
        <v>78700</v>
      </c>
      <c r="M425" t="n">
        <v>80.09999999999999</v>
      </c>
      <c r="N425" t="inlineStr">
        <is>
          <t>20260730800238</t>
        </is>
      </c>
      <c r="O425">
        <f>HYPERLINK("https://dart.fss.or.kr/dsaf001/main.do?rcpNo=20260730800238", "공시열람")</f>
        <v/>
      </c>
    </row>
    <row r="426">
      <c r="A426" t="inlineStr">
        <is>
          <t>2026-07-30</t>
        </is>
      </c>
      <c r="B426" t="inlineStr">
        <is>
          <t>평화산업</t>
        </is>
      </c>
      <c r="C426" t="inlineStr">
        <is>
          <t>090080</t>
        </is>
      </c>
      <c r="D426" t="inlineStr">
        <is>
          <t>연결</t>
        </is>
      </c>
      <c r="E426" t="inlineStr">
        <is>
          <t>2026Q2</t>
        </is>
      </c>
      <c r="F426" s="2" t="n">
        <v>172187</v>
      </c>
      <c r="G426" t="n">
        <v>5.91</v>
      </c>
      <c r="H426" t="n">
        <v>4.05</v>
      </c>
      <c r="I426" s="2" t="n">
        <v>8257</v>
      </c>
      <c r="J426" t="n">
        <v>61.87</v>
      </c>
      <c r="K426" t="n">
        <v>180.66</v>
      </c>
      <c r="L426" s="2" t="n">
        <v>7376</v>
      </c>
      <c r="M426" t="n">
        <v>184.13</v>
      </c>
      <c r="N426" t="inlineStr">
        <is>
          <t>20260730800367</t>
        </is>
      </c>
      <c r="O426">
        <f>HYPERLINK("https://dart.fss.or.kr/dsaf001/main.do?rcpNo=20260730800367", "공시열람")</f>
        <v/>
      </c>
    </row>
    <row r="427">
      <c r="A427" t="inlineStr">
        <is>
          <t>2026-07-30</t>
        </is>
      </c>
      <c r="B427" t="inlineStr">
        <is>
          <t>코스모화학</t>
        </is>
      </c>
      <c r="C427" t="inlineStr">
        <is>
          <t>005420</t>
        </is>
      </c>
      <c r="D427" t="inlineStr">
        <is>
          <t>별도</t>
        </is>
      </c>
      <c r="E427" t="inlineStr">
        <is>
          <t>2026Q2</t>
        </is>
      </c>
      <c r="F427" s="2" t="n">
        <v>67906</v>
      </c>
      <c r="G427" t="n">
        <v>12</v>
      </c>
      <c r="H427" t="n">
        <v>21.9</v>
      </c>
      <c r="I427" s="2" t="n">
        <v>2920</v>
      </c>
      <c r="J427" t="n">
        <v>-47.3</v>
      </c>
      <c r="K427" t="inlineStr"/>
      <c r="L427" s="2" t="n">
        <v>293</v>
      </c>
      <c r="M427" t="inlineStr"/>
      <c r="N427" t="inlineStr">
        <is>
          <t>20260730800222</t>
        </is>
      </c>
      <c r="O427">
        <f>HYPERLINK("https://dart.fss.or.kr/dsaf001/main.do?rcpNo=20260730800222", "공시열람")</f>
        <v/>
      </c>
    </row>
    <row r="428">
      <c r="A428" t="inlineStr">
        <is>
          <t>2026-07-30</t>
        </is>
      </c>
      <c r="B428" t="inlineStr">
        <is>
          <t>포스코인터내셔널</t>
        </is>
      </c>
      <c r="C428" t="inlineStr">
        <is>
          <t>047050</t>
        </is>
      </c>
      <c r="D428" t="inlineStr">
        <is>
          <t>연결</t>
        </is>
      </c>
      <c r="E428" t="inlineStr">
        <is>
          <t>2026Q2</t>
        </is>
      </c>
      <c r="F428" s="2" t="n">
        <v>9623200</v>
      </c>
      <c r="G428" t="n">
        <v>14.4</v>
      </c>
      <c r="H428" t="n">
        <v>18.4</v>
      </c>
      <c r="I428" s="2" t="n">
        <v>429000</v>
      </c>
      <c r="J428" t="n">
        <v>20</v>
      </c>
      <c r="K428" t="n">
        <v>26.9</v>
      </c>
      <c r="L428" s="2" t="n">
        <v>247300</v>
      </c>
      <c r="M428" t="n">
        <v>173.3</v>
      </c>
      <c r="N428" t="inlineStr">
        <is>
          <t>20260730800259</t>
        </is>
      </c>
      <c r="O428">
        <f>HYPERLINK("https://dart.fss.or.kr/dsaf001/main.do?rcpNo=20260730800259", "공시열람")</f>
        <v/>
      </c>
    </row>
    <row r="429">
      <c r="A429" t="inlineStr">
        <is>
          <t>2026-07-30</t>
        </is>
      </c>
      <c r="B429" t="inlineStr">
        <is>
          <t>콜마비앤에이치</t>
        </is>
      </c>
      <c r="C429" t="inlineStr">
        <is>
          <t>200130</t>
        </is>
      </c>
      <c r="D429" t="inlineStr">
        <is>
          <t>별도</t>
        </is>
      </c>
      <c r="E429" t="inlineStr">
        <is>
          <t>2026Q2</t>
        </is>
      </c>
      <c r="F429" s="2" t="n">
        <v>124991</v>
      </c>
      <c r="G429" t="n">
        <v>3.8</v>
      </c>
      <c r="H429" t="n">
        <v>-2.9</v>
      </c>
      <c r="I429" s="2" t="n">
        <v>11688</v>
      </c>
      <c r="J429" t="n">
        <v>30.7</v>
      </c>
      <c r="K429" t="n">
        <v>11.8</v>
      </c>
      <c r="L429" s="2" t="n">
        <v>9044</v>
      </c>
      <c r="M429" t="n">
        <v>12.9</v>
      </c>
      <c r="N429" t="inlineStr">
        <is>
          <t>20260730900282</t>
        </is>
      </c>
      <c r="O429">
        <f>HYPERLINK("https://dart.fss.or.kr/dsaf001/main.do?rcpNo=20260730900282", "공시열람")</f>
        <v/>
      </c>
    </row>
    <row r="430">
      <c r="A430" t="inlineStr">
        <is>
          <t>2026-07-30</t>
        </is>
      </c>
      <c r="B430" t="inlineStr">
        <is>
          <t>포스코퓨처엠</t>
        </is>
      </c>
      <c r="C430" t="inlineStr">
        <is>
          <t>003670</t>
        </is>
      </c>
      <c r="D430" t="inlineStr">
        <is>
          <t>별도</t>
        </is>
      </c>
      <c r="E430" t="inlineStr">
        <is>
          <t>2026Q2</t>
        </is>
      </c>
      <c r="F430" s="2" t="n">
        <v>614046</v>
      </c>
      <c r="G430" t="n">
        <v>-15.8</v>
      </c>
      <c r="H430" t="n">
        <v>6</v>
      </c>
      <c r="I430" s="2" t="n">
        <v>26999</v>
      </c>
      <c r="J430" t="n">
        <v>127.5</v>
      </c>
      <c r="K430" t="inlineStr"/>
      <c r="L430" s="2" t="n">
        <v>11962</v>
      </c>
      <c r="M430" t="inlineStr"/>
      <c r="N430" t="inlineStr">
        <is>
          <t>20260730800286</t>
        </is>
      </c>
      <c r="O430">
        <f>HYPERLINK("https://dart.fss.or.kr/dsaf001/main.do?rcpNo=20260730800286", "공시열람")</f>
        <v/>
      </c>
    </row>
    <row r="431">
      <c r="A431" t="inlineStr">
        <is>
          <t>2026-07-30</t>
        </is>
      </c>
      <c r="B431" t="inlineStr">
        <is>
          <t>제이브이엠</t>
        </is>
      </c>
      <c r="C431" t="inlineStr">
        <is>
          <t>054950</t>
        </is>
      </c>
      <c r="D431" t="inlineStr">
        <is>
          <t>연결</t>
        </is>
      </c>
      <c r="E431" t="inlineStr">
        <is>
          <t>2026Q2</t>
        </is>
      </c>
      <c r="F431" s="2" t="n">
        <v>49306</v>
      </c>
      <c r="G431" t="n">
        <v>8.4</v>
      </c>
      <c r="H431" t="n">
        <v>3.7</v>
      </c>
      <c r="I431" s="2" t="n">
        <v>13524</v>
      </c>
      <c r="J431" t="n">
        <v>45.5</v>
      </c>
      <c r="K431" t="n">
        <v>24</v>
      </c>
      <c r="L431" s="2" t="n">
        <v>11579</v>
      </c>
      <c r="M431" t="n">
        <v>30.1</v>
      </c>
      <c r="N431" t="inlineStr">
        <is>
          <t>20260730900293</t>
        </is>
      </c>
      <c r="O431">
        <f>HYPERLINK("https://dart.fss.or.kr/dsaf001/main.do?rcpNo=20260730900293", "공시열람")</f>
        <v/>
      </c>
    </row>
    <row r="432">
      <c r="A432" t="inlineStr">
        <is>
          <t>2026-07-30</t>
        </is>
      </c>
      <c r="B432" t="inlineStr">
        <is>
          <t>포스코퓨처엠</t>
        </is>
      </c>
      <c r="C432" t="inlineStr">
        <is>
          <t>003670</t>
        </is>
      </c>
      <c r="D432" t="inlineStr">
        <is>
          <t>연결</t>
        </is>
      </c>
      <c r="E432" t="inlineStr">
        <is>
          <t>2026Q2</t>
        </is>
      </c>
      <c r="F432" s="2" t="n">
        <v>679457</v>
      </c>
      <c r="G432" t="n">
        <v>-10.3</v>
      </c>
      <c r="H432" t="n">
        <v>2.8</v>
      </c>
      <c r="I432" s="2" t="n">
        <v>26689</v>
      </c>
      <c r="J432" t="n">
        <v>50.8</v>
      </c>
      <c r="K432" t="n">
        <v>3351.2</v>
      </c>
      <c r="L432" s="2" t="n">
        <v>24655</v>
      </c>
      <c r="M432" t="inlineStr"/>
      <c r="N432" t="inlineStr">
        <is>
          <t>20260730800288</t>
        </is>
      </c>
      <c r="O432">
        <f>HYPERLINK("https://dart.fss.or.kr/dsaf001/main.do?rcpNo=20260730800288", "공시열람")</f>
        <v/>
      </c>
    </row>
    <row r="433">
      <c r="A433" t="inlineStr">
        <is>
          <t>2026-07-30</t>
        </is>
      </c>
      <c r="B433" t="inlineStr">
        <is>
          <t>삼성전기</t>
        </is>
      </c>
      <c r="C433" t="inlineStr">
        <is>
          <t>009150</t>
        </is>
      </c>
      <c r="D433" t="inlineStr">
        <is>
          <t>연결</t>
        </is>
      </c>
      <c r="E433" t="inlineStr">
        <is>
          <t>2026Q2</t>
        </is>
      </c>
      <c r="F433" s="2" t="n">
        <v>3457205</v>
      </c>
      <c r="G433" t="n">
        <v>7.7</v>
      </c>
      <c r="H433" t="n">
        <v>24.2</v>
      </c>
      <c r="I433" s="2" t="n">
        <v>440369</v>
      </c>
      <c r="J433" t="n">
        <v>57</v>
      </c>
      <c r="K433" t="n">
        <v>106.7</v>
      </c>
      <c r="L433" s="2" t="n">
        <v>328301</v>
      </c>
      <c r="M433" t="n">
        <v>139.2</v>
      </c>
      <c r="N433" t="inlineStr">
        <is>
          <t>20260730800303</t>
        </is>
      </c>
      <c r="O433">
        <f>HYPERLINK("https://dart.fss.or.kr/dsaf001/main.do?rcpNo=20260730800303", "공시열람")</f>
        <v/>
      </c>
    </row>
    <row r="434">
      <c r="A434" t="inlineStr">
        <is>
          <t>2026-07-30</t>
        </is>
      </c>
      <c r="B434" t="inlineStr">
        <is>
          <t>한화비전</t>
        </is>
      </c>
      <c r="C434" t="inlineStr">
        <is>
          <t>489790</t>
        </is>
      </c>
      <c r="D434" t="inlineStr">
        <is>
          <t>연결</t>
        </is>
      </c>
      <c r="E434" t="inlineStr">
        <is>
          <t>2026Q2</t>
        </is>
      </c>
      <c r="F434" s="2" t="n">
        <v>542289</v>
      </c>
      <c r="G434" t="n">
        <v>22.86</v>
      </c>
      <c r="H434" t="n">
        <v>18.62</v>
      </c>
      <c r="I434" s="2" t="n">
        <v>65578</v>
      </c>
      <c r="J434" t="n">
        <v>196.83</v>
      </c>
      <c r="K434" t="n">
        <v>11.6</v>
      </c>
      <c r="L434" s="2" t="n">
        <v>75295</v>
      </c>
      <c r="M434" t="inlineStr"/>
      <c r="N434" t="inlineStr">
        <is>
          <t>20260730800327</t>
        </is>
      </c>
      <c r="O434">
        <f>HYPERLINK("https://dart.fss.or.kr/dsaf001/main.do?rcpNo=20260730800327", "공시열람")</f>
        <v/>
      </c>
    </row>
    <row r="435">
      <c r="A435" t="inlineStr">
        <is>
          <t>2026-07-30</t>
        </is>
      </c>
      <c r="B435" t="inlineStr">
        <is>
          <t>지씨셀</t>
        </is>
      </c>
      <c r="C435" t="inlineStr">
        <is>
          <t>144510</t>
        </is>
      </c>
      <c r="D435" t="inlineStr">
        <is>
          <t>연결</t>
        </is>
      </c>
      <c r="E435" t="inlineStr">
        <is>
          <t>2026Q2</t>
        </is>
      </c>
      <c r="F435" s="2" t="n">
        <v>41604</v>
      </c>
      <c r="G435" t="n">
        <v>11.3</v>
      </c>
      <c r="H435" t="n">
        <v>-3.1</v>
      </c>
      <c r="I435" s="2" t="n">
        <v>-1009</v>
      </c>
      <c r="J435" t="n">
        <v>80.3</v>
      </c>
      <c r="K435" t="n">
        <v>70.09999999999999</v>
      </c>
      <c r="L435" s="2" t="n">
        <v>2175</v>
      </c>
      <c r="M435" t="inlineStr"/>
      <c r="N435" t="inlineStr">
        <is>
          <t>20260730900334</t>
        </is>
      </c>
      <c r="O435">
        <f>HYPERLINK("https://dart.fss.or.kr/dsaf001/main.do?rcpNo=20260730900334", "공시열람")</f>
        <v/>
      </c>
    </row>
    <row r="436">
      <c r="A436" t="inlineStr">
        <is>
          <t>2026-07-30</t>
        </is>
      </c>
      <c r="B436" t="inlineStr">
        <is>
          <t>삼성SDI</t>
        </is>
      </c>
      <c r="C436" t="inlineStr">
        <is>
          <t>006400</t>
        </is>
      </c>
      <c r="D436" t="inlineStr">
        <is>
          <t>연결</t>
        </is>
      </c>
      <c r="E436" t="inlineStr">
        <is>
          <t>2026Q2</t>
        </is>
      </c>
      <c r="F436" s="2" t="n">
        <v>3768800</v>
      </c>
      <c r="G436" t="n">
        <v>5.4</v>
      </c>
      <c r="H436" t="n">
        <v>18.5</v>
      </c>
      <c r="I436" s="2" t="n">
        <v>203800</v>
      </c>
      <c r="J436" t="inlineStr"/>
      <c r="K436" t="inlineStr"/>
      <c r="L436" s="2" t="n">
        <v>471600</v>
      </c>
      <c r="M436" t="inlineStr"/>
      <c r="N436" t="inlineStr">
        <is>
          <t>20260730800336</t>
        </is>
      </c>
      <c r="O436">
        <f>HYPERLINK("https://dart.fss.or.kr/dsaf001/main.do?rcpNo=20260730800336", "공시열람")</f>
        <v/>
      </c>
    </row>
    <row r="437">
      <c r="A437" t="inlineStr">
        <is>
          <t>2026-07-30</t>
        </is>
      </c>
      <c r="B437" t="inlineStr">
        <is>
          <t>바디텍메드</t>
        </is>
      </c>
      <c r="C437" t="inlineStr">
        <is>
          <t>206640</t>
        </is>
      </c>
      <c r="D437" t="inlineStr">
        <is>
          <t>연결</t>
        </is>
      </c>
      <c r="E437" t="inlineStr">
        <is>
          <t>2026Q2</t>
        </is>
      </c>
      <c r="F437" s="2" t="n">
        <v>50417</v>
      </c>
      <c r="G437" t="n">
        <v>17.67</v>
      </c>
      <c r="H437" t="n">
        <v>21.54</v>
      </c>
      <c r="I437" s="2" t="n">
        <v>8239</v>
      </c>
      <c r="J437" t="n">
        <v>21.09</v>
      </c>
      <c r="K437" t="n">
        <v>-10.45</v>
      </c>
      <c r="L437" s="2" t="n">
        <v>7405</v>
      </c>
      <c r="M437" t="n">
        <v>-0.7</v>
      </c>
      <c r="N437" t="inlineStr">
        <is>
          <t>20260730900343</t>
        </is>
      </c>
      <c r="O437">
        <f>HYPERLINK("https://dart.fss.or.kr/dsaf001/main.do?rcpNo=20260730900343", "공시열람")</f>
        <v/>
      </c>
    </row>
    <row r="438">
      <c r="A438" t="inlineStr">
        <is>
          <t>2026-07-30</t>
        </is>
      </c>
      <c r="B438" t="inlineStr">
        <is>
          <t>아모레퍼시픽</t>
        </is>
      </c>
      <c r="C438" t="inlineStr">
        <is>
          <t>090430</t>
        </is>
      </c>
      <c r="D438" t="inlineStr">
        <is>
          <t>연결</t>
        </is>
      </c>
      <c r="E438" t="inlineStr">
        <is>
          <t>2026Q2</t>
        </is>
      </c>
      <c r="F438" s="2" t="n">
        <v>1175899</v>
      </c>
      <c r="G438" t="n">
        <v>3.5</v>
      </c>
      <c r="H438" t="n">
        <v>17</v>
      </c>
      <c r="I438" s="2" t="n">
        <v>117338</v>
      </c>
      <c r="J438" t="n">
        <v>-7.4</v>
      </c>
      <c r="K438" t="n">
        <v>59.3</v>
      </c>
      <c r="L438" s="2" t="n">
        <v>93363</v>
      </c>
      <c r="M438" t="n">
        <v>148.1</v>
      </c>
      <c r="N438" t="inlineStr">
        <is>
          <t>20260730800354</t>
        </is>
      </c>
      <c r="O438">
        <f>HYPERLINK("https://dart.fss.or.kr/dsaf001/main.do?rcpNo=20260730800354", "공시열람")</f>
        <v/>
      </c>
    </row>
    <row r="439">
      <c r="A439" t="inlineStr">
        <is>
          <t>2026-07-30</t>
        </is>
      </c>
      <c r="B439" t="inlineStr">
        <is>
          <t>평화산업</t>
        </is>
      </c>
      <c r="C439" t="inlineStr">
        <is>
          <t>090080</t>
        </is>
      </c>
      <c r="D439" t="inlineStr">
        <is>
          <t>별도</t>
        </is>
      </c>
      <c r="E439" t="inlineStr">
        <is>
          <t>2026Q2</t>
        </is>
      </c>
      <c r="F439" s="2" t="n">
        <v>173919</v>
      </c>
      <c r="G439" t="n">
        <v>7.91</v>
      </c>
      <c r="H439" t="n">
        <v>6.49</v>
      </c>
      <c r="I439" s="2" t="n">
        <v>6757</v>
      </c>
      <c r="J439" t="n">
        <v>39.95</v>
      </c>
      <c r="K439" t="n">
        <v>184.63</v>
      </c>
      <c r="L439" s="2" t="n">
        <v>6001</v>
      </c>
      <c r="M439" t="n">
        <v>190.32</v>
      </c>
      <c r="N439" t="inlineStr">
        <is>
          <t>20260730800366</t>
        </is>
      </c>
      <c r="O439">
        <f>HYPERLINK("https://dart.fss.or.kr/dsaf001/main.do?rcpNo=20260730800366", "공시열람")</f>
        <v/>
      </c>
    </row>
    <row r="440">
      <c r="A440" t="inlineStr">
        <is>
          <t>2026-07-30</t>
        </is>
      </c>
      <c r="B440" t="inlineStr">
        <is>
          <t>POSCO홀딩스</t>
        </is>
      </c>
      <c r="C440" t="inlineStr">
        <is>
          <t>005490</t>
        </is>
      </c>
      <c r="D440" t="inlineStr">
        <is>
          <t>연결</t>
        </is>
      </c>
      <c r="E440" t="inlineStr">
        <is>
          <t>2026Q2</t>
        </is>
      </c>
      <c r="F440" s="2" t="n">
        <v>19</v>
      </c>
      <c r="G440" t="n">
        <v>7.7</v>
      </c>
      <c r="H440" t="n">
        <v>9.699999999999999</v>
      </c>
      <c r="I440" s="2" t="n">
        <v>1</v>
      </c>
      <c r="J440" t="n">
        <v>15.9</v>
      </c>
      <c r="K440" t="n">
        <v>34.9</v>
      </c>
      <c r="L440" s="2" t="n">
        <v>1</v>
      </c>
      <c r="M440" t="n">
        <v>808</v>
      </c>
      <c r="N440" t="inlineStr">
        <is>
          <t>20260730800403</t>
        </is>
      </c>
      <c r="O440">
        <f>HYPERLINK("https://dart.fss.or.kr/dsaf001/main.do?rcpNo=20260730800403", "공시열람")</f>
        <v/>
      </c>
    </row>
    <row r="441">
      <c r="A441" t="inlineStr">
        <is>
          <t>2026-07-30</t>
        </is>
      </c>
      <c r="B441" t="inlineStr">
        <is>
          <t>포스코스틸리온</t>
        </is>
      </c>
      <c r="C441" t="inlineStr">
        <is>
          <t>058430</t>
        </is>
      </c>
      <c r="D441" t="inlineStr">
        <is>
          <t>연결</t>
        </is>
      </c>
      <c r="E441" t="inlineStr">
        <is>
          <t>2026Q2</t>
        </is>
      </c>
      <c r="F441" s="2" t="n">
        <v>298200</v>
      </c>
      <c r="G441" t="n">
        <v>6.8</v>
      </c>
      <c r="H441" t="n">
        <v>5</v>
      </c>
      <c r="I441" s="2" t="n">
        <v>9600</v>
      </c>
      <c r="J441" t="n">
        <v>52.4</v>
      </c>
      <c r="K441" t="n">
        <v>74.5</v>
      </c>
      <c r="L441" s="2" t="n">
        <v>7000</v>
      </c>
      <c r="M441" t="n">
        <v>75</v>
      </c>
      <c r="N441" t="inlineStr">
        <is>
          <t>20260730800115</t>
        </is>
      </c>
      <c r="O441">
        <f>HYPERLINK("https://dart.fss.or.kr/dsaf001/main.do?rcpNo=20260730800115", "공시열람")</f>
        <v/>
      </c>
    </row>
    <row r="442">
      <c r="A442" t="inlineStr">
        <is>
          <t>2026-07-29</t>
        </is>
      </c>
      <c r="B442" t="inlineStr">
        <is>
          <t>환인제약</t>
        </is>
      </c>
      <c r="C442" t="inlineStr">
        <is>
          <t>016580</t>
        </is>
      </c>
      <c r="D442" t="inlineStr">
        <is>
          <t>연결</t>
        </is>
      </c>
      <c r="E442" t="inlineStr">
        <is>
          <t>2026Q2</t>
        </is>
      </c>
      <c r="F442" s="2" t="n">
        <v>71419</v>
      </c>
      <c r="G442" t="n">
        <v>0.3</v>
      </c>
      <c r="H442" t="n">
        <v>11.4</v>
      </c>
      <c r="I442" s="2" t="n">
        <v>7894</v>
      </c>
      <c r="J442" t="n">
        <v>-15.8</v>
      </c>
      <c r="K442" t="n">
        <v>192.3</v>
      </c>
      <c r="L442" s="2" t="n">
        <v>7651</v>
      </c>
      <c r="M442" t="n">
        <v>140</v>
      </c>
      <c r="N442" t="inlineStr">
        <is>
          <t>20260729800312</t>
        </is>
      </c>
      <c r="O442">
        <f>HYPERLINK("https://dart.fss.or.kr/dsaf001/main.do?rcpNo=20260729800312", "공시열람")</f>
        <v/>
      </c>
    </row>
    <row r="443">
      <c r="A443" t="inlineStr">
        <is>
          <t>2026-07-29</t>
        </is>
      </c>
      <c r="B443" t="inlineStr">
        <is>
          <t>GS건설</t>
        </is>
      </c>
      <c r="C443" t="inlineStr">
        <is>
          <t>006360</t>
        </is>
      </c>
      <c r="D443" t="inlineStr">
        <is>
          <t>연결</t>
        </is>
      </c>
      <c r="E443" t="inlineStr">
        <is>
          <t>2026Q2</t>
        </is>
      </c>
      <c r="F443" s="2" t="n">
        <v>2779908</v>
      </c>
      <c r="G443" t="n">
        <v>15.8</v>
      </c>
      <c r="H443" t="n">
        <v>-13.02</v>
      </c>
      <c r="I443" s="2" t="n">
        <v>91354</v>
      </c>
      <c r="J443" t="n">
        <v>24.35</v>
      </c>
      <c r="K443" t="n">
        <v>-43.63</v>
      </c>
      <c r="L443" s="2" t="n">
        <v>14371</v>
      </c>
      <c r="M443" t="inlineStr"/>
      <c r="N443" t="inlineStr">
        <is>
          <t>20260729800146</t>
        </is>
      </c>
      <c r="O443">
        <f>HYPERLINK("https://dart.fss.or.kr/dsaf001/main.do?rcpNo=20260729800146", "공시열람")</f>
        <v/>
      </c>
    </row>
    <row r="444">
      <c r="A444" t="inlineStr">
        <is>
          <t>2026-07-29</t>
        </is>
      </c>
      <c r="B444" t="inlineStr">
        <is>
          <t>주성엔지니어링</t>
        </is>
      </c>
      <c r="C444" t="inlineStr">
        <is>
          <t>036930</t>
        </is>
      </c>
      <c r="D444" t="inlineStr">
        <is>
          <t>연결</t>
        </is>
      </c>
      <c r="E444" t="inlineStr">
        <is>
          <t>2026Q2</t>
        </is>
      </c>
      <c r="F444" s="2" t="n">
        <v>59882</v>
      </c>
      <c r="G444" t="n">
        <v>9.1</v>
      </c>
      <c r="H444" t="n">
        <v>-24</v>
      </c>
      <c r="I444" s="2" t="n">
        <v>1423</v>
      </c>
      <c r="J444" t="inlineStr"/>
      <c r="K444" t="n">
        <v>-78.40000000000001</v>
      </c>
      <c r="L444" s="2" t="n">
        <v>5501</v>
      </c>
      <c r="M444" t="n">
        <v>9.1</v>
      </c>
      <c r="N444" t="inlineStr">
        <is>
          <t>20260729900867</t>
        </is>
      </c>
      <c r="O444">
        <f>HYPERLINK("https://dart.fss.or.kr/dsaf001/main.do?rcpNo=20260729900867", "공시열람")</f>
        <v/>
      </c>
    </row>
    <row r="445">
      <c r="A445" t="inlineStr">
        <is>
          <t>2026-07-29</t>
        </is>
      </c>
      <c r="B445" t="inlineStr">
        <is>
          <t>한솔로지스틱스</t>
        </is>
      </c>
      <c r="C445" t="inlineStr">
        <is>
          <t>009180</t>
        </is>
      </c>
      <c r="D445" t="inlineStr">
        <is>
          <t>연결</t>
        </is>
      </c>
      <c r="E445" t="inlineStr">
        <is>
          <t>2026Q2</t>
        </is>
      </c>
      <c r="F445" s="2" t="n">
        <v>182813</v>
      </c>
      <c r="G445" t="n">
        <v>10.9</v>
      </c>
      <c r="H445" t="n">
        <v>2.7</v>
      </c>
      <c r="I445" s="2" t="n">
        <v>6118</v>
      </c>
      <c r="J445" t="n">
        <v>36.1</v>
      </c>
      <c r="K445" t="n">
        <v>-4.5</v>
      </c>
      <c r="L445" s="2" t="n">
        <v>3936</v>
      </c>
      <c r="M445" t="n">
        <v>-46.5</v>
      </c>
      <c r="N445" t="inlineStr">
        <is>
          <t>20260729800855</t>
        </is>
      </c>
      <c r="O445">
        <f>HYPERLINK("https://dart.fss.or.kr/dsaf001/main.do?rcpNo=20260729800855", "공시열람")</f>
        <v/>
      </c>
    </row>
    <row r="446">
      <c r="A446" t="inlineStr">
        <is>
          <t>2026-07-29</t>
        </is>
      </c>
      <c r="B446" t="inlineStr">
        <is>
          <t>엘컴텍</t>
        </is>
      </c>
      <c r="C446" t="inlineStr">
        <is>
          <t>037950</t>
        </is>
      </c>
      <c r="D446" t="inlineStr">
        <is>
          <t>연결</t>
        </is>
      </c>
      <c r="E446" t="inlineStr">
        <is>
          <t>2026Q2</t>
        </is>
      </c>
      <c r="F446" s="2" t="n">
        <v>20689</v>
      </c>
      <c r="G446" t="n">
        <v>15.5</v>
      </c>
      <c r="H446" t="n">
        <v>72</v>
      </c>
      <c r="I446" s="2" t="n">
        <v>1808</v>
      </c>
      <c r="J446" t="n">
        <v>21.3</v>
      </c>
      <c r="K446" t="n">
        <v>167.5</v>
      </c>
      <c r="L446" s="2" t="n">
        <v>1876</v>
      </c>
      <c r="M446" t="inlineStr"/>
      <c r="N446" t="inlineStr">
        <is>
          <t>20260729900762</t>
        </is>
      </c>
      <c r="O446">
        <f>HYPERLINK("https://dart.fss.or.kr/dsaf001/main.do?rcpNo=20260729900762", "공시열람")</f>
        <v/>
      </c>
    </row>
    <row r="447">
      <c r="A447" t="inlineStr">
        <is>
          <t>2026-07-29</t>
        </is>
      </c>
      <c r="B447" t="inlineStr">
        <is>
          <t>매드업</t>
        </is>
      </c>
      <c r="C447" t="inlineStr">
        <is>
          <t>0039P0</t>
        </is>
      </c>
      <c r="D447" t="inlineStr">
        <is>
          <t>연결</t>
        </is>
      </c>
      <c r="E447" t="inlineStr">
        <is>
          <t>2026Q2</t>
        </is>
      </c>
      <c r="F447" s="2" t="n">
        <v>18262</v>
      </c>
      <c r="G447" t="n">
        <v>32.7</v>
      </c>
      <c r="H447" t="n">
        <v>58.6</v>
      </c>
      <c r="I447" s="2" t="n">
        <v>3790</v>
      </c>
      <c r="J447" t="n">
        <v>1041.3</v>
      </c>
      <c r="K447" t="n">
        <v>126.6</v>
      </c>
      <c r="L447" s="2" t="n">
        <v>4239</v>
      </c>
      <c r="M447" t="n">
        <v>505.2</v>
      </c>
      <c r="N447" t="inlineStr">
        <is>
          <t>20260729900143</t>
        </is>
      </c>
      <c r="O447">
        <f>HYPERLINK("https://dart.fss.or.kr/dsaf001/main.do?rcpNo=20260729900143", "공시열람")</f>
        <v/>
      </c>
    </row>
    <row r="448">
      <c r="A448" t="inlineStr">
        <is>
          <t>2026-07-29</t>
        </is>
      </c>
      <c r="B448" t="inlineStr">
        <is>
          <t>대웅제약</t>
        </is>
      </c>
      <c r="C448" t="inlineStr">
        <is>
          <t>069620</t>
        </is>
      </c>
      <c r="D448" t="inlineStr">
        <is>
          <t>별도</t>
        </is>
      </c>
      <c r="E448" t="inlineStr">
        <is>
          <t>2026Q2</t>
        </is>
      </c>
      <c r="F448" s="2" t="n">
        <v>400195</v>
      </c>
      <c r="G448" t="n">
        <v>19.2</v>
      </c>
      <c r="H448" t="n">
        <v>10</v>
      </c>
      <c r="I448" s="2" t="n">
        <v>77109</v>
      </c>
      <c r="J448" t="n">
        <v>181</v>
      </c>
      <c r="K448" t="n">
        <v>23.4</v>
      </c>
      <c r="L448" s="2" t="n">
        <v>69403</v>
      </c>
      <c r="M448" t="n">
        <v>41.9</v>
      </c>
      <c r="N448" t="inlineStr">
        <is>
          <t>20260729800126</t>
        </is>
      </c>
      <c r="O448">
        <f>HYPERLINK("https://dart.fss.or.kr/dsaf001/main.do?rcpNo=20260729800126", "공시열람")</f>
        <v/>
      </c>
    </row>
    <row r="449">
      <c r="A449" t="inlineStr">
        <is>
          <t>2026-07-29</t>
        </is>
      </c>
      <c r="B449" t="inlineStr">
        <is>
          <t>SK하이닉스</t>
        </is>
      </c>
      <c r="C449" t="inlineStr">
        <is>
          <t>000660</t>
        </is>
      </c>
      <c r="D449" t="inlineStr">
        <is>
          <t>연결</t>
        </is>
      </c>
      <c r="E449" t="inlineStr">
        <is>
          <t>2026Q2</t>
        </is>
      </c>
      <c r="F449" s="2" t="n">
        <v>79318746</v>
      </c>
      <c r="G449" t="n">
        <v>50.9</v>
      </c>
      <c r="H449" t="n">
        <v>256.8</v>
      </c>
      <c r="I449" s="2" t="n">
        <v>60542608</v>
      </c>
      <c r="J449" t="n">
        <v>61</v>
      </c>
      <c r="K449" t="n">
        <v>557.2</v>
      </c>
      <c r="L449" s="2" t="n">
        <v>93922593</v>
      </c>
      <c r="M449" t="n">
        <v>1242.5</v>
      </c>
      <c r="N449" t="inlineStr">
        <is>
          <t>20260729800013</t>
        </is>
      </c>
      <c r="O449">
        <f>HYPERLINK("https://dart.fss.or.kr/dsaf001/main.do?rcpNo=20260729800013", "공시열람")</f>
        <v/>
      </c>
    </row>
    <row r="450">
      <c r="A450" t="inlineStr">
        <is>
          <t>2026-07-29</t>
        </is>
      </c>
      <c r="B450" t="inlineStr">
        <is>
          <t>엘디티</t>
        </is>
      </c>
      <c r="C450" t="inlineStr">
        <is>
          <t>096870</t>
        </is>
      </c>
      <c r="D450" t="inlineStr">
        <is>
          <t>별도</t>
        </is>
      </c>
      <c r="E450" t="inlineStr">
        <is>
          <t>2026Q2</t>
        </is>
      </c>
      <c r="F450" s="2" t="n">
        <v>3854</v>
      </c>
      <c r="G450" t="n">
        <v>130.2</v>
      </c>
      <c r="H450" t="n">
        <v>22.3</v>
      </c>
      <c r="I450" s="2" t="n">
        <v>874</v>
      </c>
      <c r="J450" t="inlineStr"/>
      <c r="K450" t="n">
        <v>142.9</v>
      </c>
      <c r="L450" s="2" t="n">
        <v>949</v>
      </c>
      <c r="M450" t="n">
        <v>28.1</v>
      </c>
      <c r="N450" t="inlineStr">
        <is>
          <t>20260729900348</t>
        </is>
      </c>
      <c r="O450">
        <f>HYPERLINK("https://dart.fss.or.kr/dsaf001/main.do?rcpNo=20260729900348", "공시열람")</f>
        <v/>
      </c>
    </row>
    <row r="451">
      <c r="A451" t="inlineStr">
        <is>
          <t>2026-07-29</t>
        </is>
      </c>
      <c r="B451" t="inlineStr">
        <is>
          <t>현대코퍼레이션</t>
        </is>
      </c>
      <c r="C451" t="inlineStr">
        <is>
          <t>011760</t>
        </is>
      </c>
      <c r="D451" t="inlineStr">
        <is>
          <t>연결</t>
        </is>
      </c>
      <c r="E451" t="inlineStr">
        <is>
          <t>2026Q2</t>
        </is>
      </c>
      <c r="F451" s="2" t="n">
        <v>2816433</v>
      </c>
      <c r="G451" t="n">
        <v>35.88</v>
      </c>
      <c r="H451" t="n">
        <v>46.8</v>
      </c>
      <c r="I451" s="2" t="n">
        <v>62937</v>
      </c>
      <c r="J451" t="n">
        <v>36.63</v>
      </c>
      <c r="K451" t="n">
        <v>81.64</v>
      </c>
      <c r="L451" s="2" t="n">
        <v>40297</v>
      </c>
      <c r="M451" t="n">
        <v>154.75</v>
      </c>
      <c r="N451" t="inlineStr">
        <is>
          <t>20260729800795</t>
        </is>
      </c>
      <c r="O451">
        <f>HYPERLINK("https://dart.fss.or.kr/dsaf001/main.do?rcpNo=20260729800795", "공시열람")</f>
        <v/>
      </c>
    </row>
    <row r="452">
      <c r="A452" t="inlineStr">
        <is>
          <t>2026-07-29</t>
        </is>
      </c>
      <c r="B452" t="inlineStr">
        <is>
          <t>메쥬</t>
        </is>
      </c>
      <c r="C452" t="inlineStr">
        <is>
          <t>0088M0</t>
        </is>
      </c>
      <c r="D452" t="inlineStr">
        <is>
          <t>별도</t>
        </is>
      </c>
      <c r="E452" t="inlineStr">
        <is>
          <t>2026Q2</t>
        </is>
      </c>
      <c r="F452" s="2" t="n">
        <v>5668</v>
      </c>
      <c r="G452" t="n">
        <v>45</v>
      </c>
      <c r="H452" t="n">
        <v>104.2</v>
      </c>
      <c r="I452" s="2" t="n">
        <v>875</v>
      </c>
      <c r="J452" t="n">
        <v>-8.6</v>
      </c>
      <c r="K452" t="n">
        <v>73</v>
      </c>
      <c r="L452" s="2" t="n">
        <v>1098</v>
      </c>
      <c r="M452" t="n">
        <v>333.9</v>
      </c>
      <c r="N452" t="inlineStr">
        <is>
          <t>20260729900374</t>
        </is>
      </c>
      <c r="O452">
        <f>HYPERLINK("https://dart.fss.or.kr/dsaf001/main.do?rcpNo=20260729900374", "공시열람")</f>
        <v/>
      </c>
    </row>
    <row r="453">
      <c r="A453" t="inlineStr">
        <is>
          <t>2026-07-29</t>
        </is>
      </c>
      <c r="B453" t="inlineStr">
        <is>
          <t>HD건설기계</t>
        </is>
      </c>
      <c r="C453" t="inlineStr">
        <is>
          <t>267270</t>
        </is>
      </c>
      <c r="D453" t="inlineStr">
        <is>
          <t>연결</t>
        </is>
      </c>
      <c r="E453" t="inlineStr">
        <is>
          <t>2026Q2</t>
        </is>
      </c>
      <c r="F453" s="2" t="n">
        <v>2434200</v>
      </c>
      <c r="G453" t="n">
        <v>5.6</v>
      </c>
      <c r="H453" t="n">
        <v>151.5</v>
      </c>
      <c r="I453" s="2" t="n">
        <v>248900</v>
      </c>
      <c r="J453" t="n">
        <v>30.5</v>
      </c>
      <c r="K453" t="n">
        <v>522.3</v>
      </c>
      <c r="L453" s="2" t="n">
        <v>180700</v>
      </c>
      <c r="M453" t="n">
        <v>30016.7</v>
      </c>
      <c r="N453" t="inlineStr">
        <is>
          <t>20260729800368</t>
        </is>
      </c>
      <c r="O453">
        <f>HYPERLINK("https://dart.fss.or.kr/dsaf001/main.do?rcpNo=20260729800368", "공시열람")</f>
        <v/>
      </c>
    </row>
    <row r="454">
      <c r="A454" t="inlineStr">
        <is>
          <t>2026-07-29</t>
        </is>
      </c>
      <c r="B454" t="inlineStr">
        <is>
          <t>KG스틸</t>
        </is>
      </c>
      <c r="C454" t="inlineStr">
        <is>
          <t>016380</t>
        </is>
      </c>
      <c r="D454" t="inlineStr">
        <is>
          <t>별도</t>
        </is>
      </c>
      <c r="E454" t="inlineStr">
        <is>
          <t>2026Q2</t>
        </is>
      </c>
      <c r="F454" s="2" t="n">
        <v>788300</v>
      </c>
      <c r="G454" t="n">
        <v>9.02</v>
      </c>
      <c r="H454" t="n">
        <v>1.57</v>
      </c>
      <c r="I454" s="2" t="n">
        <v>33300</v>
      </c>
      <c r="J454" t="n">
        <v>52.7</v>
      </c>
      <c r="K454" t="n">
        <v>-23.81</v>
      </c>
      <c r="L454" s="2" t="n">
        <v>92500</v>
      </c>
      <c r="M454" t="n">
        <v>92.26000000000001</v>
      </c>
      <c r="N454" t="inlineStr">
        <is>
          <t>20260729800419</t>
        </is>
      </c>
      <c r="O454">
        <f>HYPERLINK("https://dart.fss.or.kr/dsaf001/main.do?rcpNo=20260729800419", "공시열람")</f>
        <v/>
      </c>
    </row>
    <row r="455">
      <c r="A455" t="inlineStr">
        <is>
          <t>2026-07-29</t>
        </is>
      </c>
      <c r="B455" t="inlineStr">
        <is>
          <t>KG스틸</t>
        </is>
      </c>
      <c r="C455" t="inlineStr">
        <is>
          <t>016380</t>
        </is>
      </c>
      <c r="D455" t="inlineStr">
        <is>
          <t>연결</t>
        </is>
      </c>
      <c r="E455" t="inlineStr">
        <is>
          <t>2026Q2</t>
        </is>
      </c>
      <c r="F455" s="2" t="n">
        <v>896400</v>
      </c>
      <c r="G455" t="n">
        <v>11.31</v>
      </c>
      <c r="H455" t="n">
        <v>11.34</v>
      </c>
      <c r="I455" s="2" t="n">
        <v>43100</v>
      </c>
      <c r="J455" t="n">
        <v>100.39</v>
      </c>
      <c r="K455" t="n">
        <v>16.86</v>
      </c>
      <c r="L455" s="2" t="n">
        <v>93400</v>
      </c>
      <c r="M455" t="n">
        <v>123.75</v>
      </c>
      <c r="N455" t="inlineStr">
        <is>
          <t>20260729800422</t>
        </is>
      </c>
      <c r="O455">
        <f>HYPERLINK("https://dart.fss.or.kr/dsaf001/main.do?rcpNo=20260729800422", "공시열람")</f>
        <v/>
      </c>
    </row>
    <row r="456">
      <c r="A456" t="inlineStr">
        <is>
          <t>2026-07-29</t>
        </is>
      </c>
      <c r="B456" t="inlineStr">
        <is>
          <t>현대오토에버</t>
        </is>
      </c>
      <c r="C456" t="inlineStr">
        <is>
          <t>307950</t>
        </is>
      </c>
      <c r="D456" t="inlineStr">
        <is>
          <t>연결</t>
        </is>
      </c>
      <c r="E456" t="inlineStr">
        <is>
          <t>2026Q2</t>
        </is>
      </c>
      <c r="F456" s="2" t="n">
        <v>1250739</v>
      </c>
      <c r="G456" t="n">
        <v>33.7</v>
      </c>
      <c r="H456" t="n">
        <v>20</v>
      </c>
      <c r="I456" s="2" t="n">
        <v>90547</v>
      </c>
      <c r="J456" t="n">
        <v>327.6</v>
      </c>
      <c r="K456" t="n">
        <v>11.3</v>
      </c>
      <c r="L456" s="2" t="n">
        <v>69590</v>
      </c>
      <c r="M456" t="n">
        <v>16.5</v>
      </c>
      <c r="N456" t="inlineStr">
        <is>
          <t>20260729800444</t>
        </is>
      </c>
      <c r="O456">
        <f>HYPERLINK("https://dart.fss.or.kr/dsaf001/main.do?rcpNo=20260729800444", "공시열람")</f>
        <v/>
      </c>
    </row>
    <row r="457">
      <c r="A457" t="inlineStr">
        <is>
          <t>2026-07-29</t>
        </is>
      </c>
      <c r="B457" t="inlineStr">
        <is>
          <t>HD현대중공업</t>
        </is>
      </c>
      <c r="C457" t="inlineStr">
        <is>
          <t>329180</t>
        </is>
      </c>
      <c r="D457" t="inlineStr">
        <is>
          <t>연결</t>
        </is>
      </c>
      <c r="E457" t="inlineStr">
        <is>
          <t>2026Q2</t>
        </is>
      </c>
      <c r="F457" s="2" t="n">
        <v>6332200</v>
      </c>
      <c r="G457" t="n">
        <v>7</v>
      </c>
      <c r="H457" t="n">
        <v>52.7</v>
      </c>
      <c r="I457" s="2" t="n">
        <v>1039900</v>
      </c>
      <c r="J457" t="n">
        <v>14.9</v>
      </c>
      <c r="K457" t="n">
        <v>120.6</v>
      </c>
      <c r="L457" s="2" t="n">
        <v>822100</v>
      </c>
      <c r="M457" t="n">
        <v>289.8</v>
      </c>
      <c r="N457" t="inlineStr">
        <is>
          <t>20260729800445</t>
        </is>
      </c>
      <c r="O457">
        <f>HYPERLINK("https://dart.fss.or.kr/dsaf001/main.do?rcpNo=20260729800445", "공시열람")</f>
        <v/>
      </c>
    </row>
    <row r="458">
      <c r="A458" t="inlineStr">
        <is>
          <t>2026-07-29</t>
        </is>
      </c>
      <c r="B458" t="inlineStr">
        <is>
          <t>HD한국조선해양</t>
        </is>
      </c>
      <c r="C458" t="inlineStr">
        <is>
          <t>009540</t>
        </is>
      </c>
      <c r="D458" t="inlineStr">
        <is>
          <t>별도</t>
        </is>
      </c>
      <c r="E458" t="inlineStr">
        <is>
          <t>2026Q2</t>
        </is>
      </c>
      <c r="F458" s="2" t="n">
        <v>2371400</v>
      </c>
      <c r="G458" t="n">
        <v>11.6</v>
      </c>
      <c r="H458" t="n">
        <v>11.9</v>
      </c>
      <c r="I458" s="2" t="n">
        <v>534100</v>
      </c>
      <c r="J458" t="n">
        <v>35.1</v>
      </c>
      <c r="K458" t="n">
        <v>43.7</v>
      </c>
      <c r="L458" s="2" t="n">
        <v>413600</v>
      </c>
      <c r="M458" t="n">
        <v>111.6</v>
      </c>
      <c r="N458" t="inlineStr">
        <is>
          <t>20260729800454</t>
        </is>
      </c>
      <c r="O458">
        <f>HYPERLINK("https://dart.fss.or.kr/dsaf001/main.do?rcpNo=20260729800454", "공시열람")</f>
        <v/>
      </c>
    </row>
    <row r="459">
      <c r="A459" t="inlineStr">
        <is>
          <t>2026-07-29</t>
        </is>
      </c>
      <c r="B459" t="inlineStr">
        <is>
          <t>HD현대중공업</t>
        </is>
      </c>
      <c r="C459" t="inlineStr">
        <is>
          <t>329180</t>
        </is>
      </c>
      <c r="D459" t="inlineStr">
        <is>
          <t>별도</t>
        </is>
      </c>
      <c r="E459" t="inlineStr">
        <is>
          <t>2026Q2</t>
        </is>
      </c>
      <c r="F459" s="2" t="n">
        <v>6313600</v>
      </c>
      <c r="G459" t="n">
        <v>7</v>
      </c>
      <c r="H459" t="n">
        <v>52.3</v>
      </c>
      <c r="I459" s="2" t="n">
        <v>1035700</v>
      </c>
      <c r="J459" t="n">
        <v>15.1</v>
      </c>
      <c r="K459" t="n">
        <v>120.7</v>
      </c>
      <c r="L459" s="2" t="n">
        <v>817900</v>
      </c>
      <c r="M459" t="n">
        <v>291.2</v>
      </c>
      <c r="N459" t="inlineStr">
        <is>
          <t>20260729800459</t>
        </is>
      </c>
      <c r="O459">
        <f>HYPERLINK("https://dart.fss.or.kr/dsaf001/main.do?rcpNo=20260729800459", "공시열람")</f>
        <v/>
      </c>
    </row>
    <row r="460">
      <c r="A460" t="inlineStr">
        <is>
          <t>2026-07-29</t>
        </is>
      </c>
      <c r="B460" t="inlineStr">
        <is>
          <t>HD한국조선해양</t>
        </is>
      </c>
      <c r="C460" t="inlineStr">
        <is>
          <t>009540</t>
        </is>
      </c>
      <c r="D460" t="inlineStr">
        <is>
          <t>연결</t>
        </is>
      </c>
      <c r="E460" t="inlineStr">
        <is>
          <t>2026Q2</t>
        </is>
      </c>
      <c r="F460" s="2" t="n">
        <v>8927000</v>
      </c>
      <c r="G460" t="n">
        <v>9.699999999999999</v>
      </c>
      <c r="H460" t="n">
        <v>20.2</v>
      </c>
      <c r="I460" s="2" t="n">
        <v>1645100</v>
      </c>
      <c r="J460" t="n">
        <v>21.3</v>
      </c>
      <c r="K460" t="n">
        <v>72.5</v>
      </c>
      <c r="L460" s="2" t="n">
        <v>1594200</v>
      </c>
      <c r="M460" t="n">
        <v>256.6</v>
      </c>
      <c r="N460" t="inlineStr">
        <is>
          <t>20260729800462</t>
        </is>
      </c>
      <c r="O460">
        <f>HYPERLINK("https://dart.fss.or.kr/dsaf001/main.do?rcpNo=20260729800462", "공시열람")</f>
        <v/>
      </c>
    </row>
    <row r="461">
      <c r="A461" t="inlineStr">
        <is>
          <t>2026-07-29</t>
        </is>
      </c>
      <c r="B461" t="inlineStr">
        <is>
          <t>HD한국조선해양</t>
        </is>
      </c>
      <c r="C461" t="inlineStr">
        <is>
          <t>009540</t>
        </is>
      </c>
      <c r="D461" t="inlineStr">
        <is>
          <t>별도</t>
        </is>
      </c>
      <c r="E461" t="inlineStr">
        <is>
          <t>2026Q2</t>
        </is>
      </c>
      <c r="F461" s="2" t="n">
        <v>345400</v>
      </c>
      <c r="G461" t="n">
        <v>-56.3</v>
      </c>
      <c r="H461" t="n">
        <v>146.2</v>
      </c>
      <c r="I461" s="2" t="n">
        <v>-200</v>
      </c>
      <c r="J461" t="inlineStr"/>
      <c r="K461" t="n">
        <v>97.8</v>
      </c>
      <c r="L461" s="2" t="n">
        <v>207200</v>
      </c>
      <c r="M461" t="inlineStr"/>
      <c r="N461" t="inlineStr">
        <is>
          <t>20260729800460</t>
        </is>
      </c>
      <c r="O461">
        <f>HYPERLINK("https://dart.fss.or.kr/dsaf001/main.do?rcpNo=20260729800460", "공시열람")</f>
        <v/>
      </c>
    </row>
    <row r="462">
      <c r="A462" t="inlineStr">
        <is>
          <t>2026-07-29</t>
        </is>
      </c>
      <c r="B462" t="inlineStr">
        <is>
          <t>한화솔루션</t>
        </is>
      </c>
      <c r="C462" t="inlineStr">
        <is>
          <t>009830</t>
        </is>
      </c>
      <c r="D462" t="inlineStr">
        <is>
          <t>연결</t>
        </is>
      </c>
      <c r="E462" t="inlineStr">
        <is>
          <t>2026Q2</t>
        </is>
      </c>
      <c r="F462" s="2" t="n">
        <v>4582655</v>
      </c>
      <c r="G462" t="n">
        <v>18.05</v>
      </c>
      <c r="H462" t="n">
        <v>47.01</v>
      </c>
      <c r="I462" s="2" t="n">
        <v>306534</v>
      </c>
      <c r="J462" t="n">
        <v>231</v>
      </c>
      <c r="K462" t="n">
        <v>200.33</v>
      </c>
      <c r="L462" s="2" t="n">
        <v>292871</v>
      </c>
      <c r="M462" t="inlineStr"/>
      <c r="N462" t="inlineStr">
        <is>
          <t>20260729800486</t>
        </is>
      </c>
      <c r="O462">
        <f>HYPERLINK("https://dart.fss.or.kr/dsaf001/main.do?rcpNo=20260729800486", "공시열람")</f>
        <v/>
      </c>
    </row>
    <row r="463">
      <c r="A463" t="inlineStr">
        <is>
          <t>2026-07-29</t>
        </is>
      </c>
      <c r="B463" t="inlineStr">
        <is>
          <t>넥센타이어</t>
        </is>
      </c>
      <c r="C463" t="inlineStr">
        <is>
          <t>002350</t>
        </is>
      </c>
      <c r="D463" t="inlineStr">
        <is>
          <t>연결</t>
        </is>
      </c>
      <c r="E463" t="inlineStr">
        <is>
          <t>2026Q2</t>
        </is>
      </c>
      <c r="F463" s="2" t="n">
        <v>891293</v>
      </c>
      <c r="G463" t="n">
        <v>6.32</v>
      </c>
      <c r="H463" t="n">
        <v>10.77</v>
      </c>
      <c r="I463" s="2" t="n">
        <v>34334</v>
      </c>
      <c r="J463" t="n">
        <v>-36.66</v>
      </c>
      <c r="K463" t="n">
        <v>-19.46</v>
      </c>
      <c r="L463" s="2" t="n">
        <v>216</v>
      </c>
      <c r="M463" t="n">
        <v>-98.88</v>
      </c>
      <c r="N463" t="inlineStr">
        <is>
          <t>20260729800589</t>
        </is>
      </c>
      <c r="O463">
        <f>HYPERLINK("https://dart.fss.or.kr/dsaf001/main.do?rcpNo=20260729800589", "공시열람")</f>
        <v/>
      </c>
    </row>
    <row r="464">
      <c r="A464" t="inlineStr">
        <is>
          <t>2026-07-29</t>
        </is>
      </c>
      <c r="B464" t="inlineStr">
        <is>
          <t>삼성물산</t>
        </is>
      </c>
      <c r="C464" t="inlineStr">
        <is>
          <t>028260</t>
        </is>
      </c>
      <c r="D464" t="inlineStr">
        <is>
          <t>연결</t>
        </is>
      </c>
      <c r="E464" t="inlineStr">
        <is>
          <t>2026Q2</t>
        </is>
      </c>
      <c r="F464" s="2" t="n">
        <v>11995056</v>
      </c>
      <c r="G464" t="n">
        <v>14.6</v>
      </c>
      <c r="H464" t="n">
        <v>19.7</v>
      </c>
      <c r="I464" s="2" t="n">
        <v>1031736</v>
      </c>
      <c r="J464" t="n">
        <v>43.2</v>
      </c>
      <c r="K464" t="n">
        <v>37.1</v>
      </c>
      <c r="L464" s="2" t="n">
        <v>915544</v>
      </c>
      <c r="M464" t="n">
        <v>73.90000000000001</v>
      </c>
      <c r="N464" t="inlineStr">
        <is>
          <t>20260729800656</t>
        </is>
      </c>
      <c r="O464">
        <f>HYPERLINK("https://dart.fss.or.kr/dsaf001/main.do?rcpNo=20260729800656", "공시열람")</f>
        <v/>
      </c>
    </row>
    <row r="465">
      <c r="A465" t="inlineStr">
        <is>
          <t>2026-07-29</t>
        </is>
      </c>
      <c r="B465" t="inlineStr">
        <is>
          <t>한국항공우주</t>
        </is>
      </c>
      <c r="C465" t="inlineStr">
        <is>
          <t>047810</t>
        </is>
      </c>
      <c r="D465" t="inlineStr">
        <is>
          <t>연결</t>
        </is>
      </c>
      <c r="E465" t="inlineStr">
        <is>
          <t>2026Q2</t>
        </is>
      </c>
      <c r="F465" s="2" t="n">
        <v>1167900</v>
      </c>
      <c r="G465" t="n">
        <v>6.9</v>
      </c>
      <c r="H465" t="n">
        <v>41</v>
      </c>
      <c r="I465" s="2" t="n">
        <v>48400</v>
      </c>
      <c r="J465" t="n">
        <v>-27.9</v>
      </c>
      <c r="K465" t="n">
        <v>-43.1</v>
      </c>
      <c r="L465" s="2" t="n">
        <v>37000</v>
      </c>
      <c r="M465" t="n">
        <v>-35.2</v>
      </c>
      <c r="N465" t="inlineStr">
        <is>
          <t>20260729800654</t>
        </is>
      </c>
      <c r="O465">
        <f>HYPERLINK("https://dart.fss.or.kr/dsaf001/main.do?rcpNo=20260729800654", "공시열람")</f>
        <v/>
      </c>
    </row>
    <row r="466">
      <c r="A466" t="inlineStr">
        <is>
          <t>2026-07-29</t>
        </is>
      </c>
      <c r="B466" t="inlineStr">
        <is>
          <t>크래프톤</t>
        </is>
      </c>
      <c r="C466" t="inlineStr">
        <is>
          <t>259960</t>
        </is>
      </c>
      <c r="D466" t="inlineStr">
        <is>
          <t>연결</t>
        </is>
      </c>
      <c r="E466" t="inlineStr">
        <is>
          <t>2026Q2</t>
        </is>
      </c>
      <c r="F466" s="2" t="n">
        <v>1290200</v>
      </c>
      <c r="G466" t="n">
        <v>-5.9</v>
      </c>
      <c r="H466" t="n">
        <v>94.90000000000001</v>
      </c>
      <c r="I466" s="2" t="n">
        <v>410900</v>
      </c>
      <c r="J466" t="n">
        <v>-26.8</v>
      </c>
      <c r="K466" t="n">
        <v>67</v>
      </c>
      <c r="L466" s="2" t="n">
        <v>-29900</v>
      </c>
      <c r="M466" t="inlineStr"/>
      <c r="N466" t="inlineStr">
        <is>
          <t>20260729800661</t>
        </is>
      </c>
      <c r="O466">
        <f>HYPERLINK("https://dart.fss.or.kr/dsaf001/main.do?rcpNo=20260729800661", "공시열람")</f>
        <v/>
      </c>
    </row>
    <row r="467">
      <c r="A467" t="inlineStr">
        <is>
          <t>2026-07-29</t>
        </is>
      </c>
      <c r="B467" t="inlineStr">
        <is>
          <t>한올바이오파마</t>
        </is>
      </c>
      <c r="C467" t="inlineStr">
        <is>
          <t>009420</t>
        </is>
      </c>
      <c r="D467" t="inlineStr">
        <is>
          <t>연결</t>
        </is>
      </c>
      <c r="E467" t="inlineStr">
        <is>
          <t>2026Q2</t>
        </is>
      </c>
      <c r="F467" s="2" t="n">
        <v>44276</v>
      </c>
      <c r="G467" t="n">
        <v>10.6</v>
      </c>
      <c r="H467" t="n">
        <v>8.800000000000001</v>
      </c>
      <c r="I467" s="2" t="n">
        <v>5598</v>
      </c>
      <c r="J467" t="n">
        <v>567.4</v>
      </c>
      <c r="K467" t="n">
        <v>388.5</v>
      </c>
      <c r="L467" s="2" t="n">
        <v>-19229</v>
      </c>
      <c r="M467" t="inlineStr"/>
      <c r="N467" t="inlineStr">
        <is>
          <t>20260729800663</t>
        </is>
      </c>
      <c r="O467">
        <f>HYPERLINK("https://dart.fss.or.kr/dsaf001/main.do?rcpNo=20260729800663", "공시열람")</f>
        <v/>
      </c>
    </row>
    <row r="468">
      <c r="A468" t="inlineStr">
        <is>
          <t>2026-07-29</t>
        </is>
      </c>
      <c r="B468" t="inlineStr">
        <is>
          <t>엔비티</t>
        </is>
      </c>
      <c r="C468" t="inlineStr">
        <is>
          <t>236810</t>
        </is>
      </c>
      <c r="D468" t="inlineStr">
        <is>
          <t>연결</t>
        </is>
      </c>
      <c r="E468" t="inlineStr">
        <is>
          <t>2026Q2</t>
        </is>
      </c>
      <c r="F468" s="2" t="n">
        <v>25547</v>
      </c>
      <c r="G468" t="n">
        <v>15.68</v>
      </c>
      <c r="H468" t="n">
        <v>18.93</v>
      </c>
      <c r="I468" s="2" t="n">
        <v>482</v>
      </c>
      <c r="J468" t="inlineStr"/>
      <c r="K468" t="inlineStr"/>
      <c r="L468" s="2" t="n">
        <v>475</v>
      </c>
      <c r="M468" t="inlineStr"/>
      <c r="N468" t="inlineStr">
        <is>
          <t>20260729900724</t>
        </is>
      </c>
      <c r="O468">
        <f>HYPERLINK("https://dart.fss.or.kr/dsaf001/main.do?rcpNo=20260729900724", "공시열람")</f>
        <v/>
      </c>
    </row>
    <row r="469">
      <c r="A469" t="inlineStr">
        <is>
          <t>2026-07-29</t>
        </is>
      </c>
      <c r="B469" t="inlineStr">
        <is>
          <t>야스</t>
        </is>
      </c>
      <c r="C469" t="inlineStr">
        <is>
          <t>255440</t>
        </is>
      </c>
      <c r="D469" t="inlineStr">
        <is>
          <t>별도</t>
        </is>
      </c>
      <c r="E469" t="inlineStr">
        <is>
          <t>2026Q2</t>
        </is>
      </c>
      <c r="F469" s="2" t="n">
        <v>87220</v>
      </c>
      <c r="G469" t="n">
        <v>167.1</v>
      </c>
      <c r="H469" t="n">
        <v>1373</v>
      </c>
      <c r="I469" s="2" t="n">
        <v>26222</v>
      </c>
      <c r="J469" t="n">
        <v>384.1</v>
      </c>
      <c r="K469" t="inlineStr"/>
      <c r="L469" s="2" t="n">
        <v>25447</v>
      </c>
      <c r="M469" t="inlineStr"/>
      <c r="N469" t="inlineStr">
        <is>
          <t>20260729900997</t>
        </is>
      </c>
      <c r="O469">
        <f>HYPERLINK("https://dart.fss.or.kr/dsaf001/main.do?rcpNo=20260729900997", "공시열람")</f>
        <v/>
      </c>
    </row>
    <row r="470">
      <c r="A470" t="inlineStr">
        <is>
          <t>2026-07-29</t>
        </is>
      </c>
      <c r="B470" t="inlineStr">
        <is>
          <t>LG생활건강</t>
        </is>
      </c>
      <c r="C470" t="inlineStr">
        <is>
          <t>051900</t>
        </is>
      </c>
      <c r="D470" t="inlineStr">
        <is>
          <t>연결</t>
        </is>
      </c>
      <c r="E470" t="inlineStr">
        <is>
          <t>2026Q2</t>
        </is>
      </c>
      <c r="F470" s="2" t="n">
        <v>1657400</v>
      </c>
      <c r="G470" t="n">
        <v>5.1</v>
      </c>
      <c r="H470" t="n">
        <v>3.3</v>
      </c>
      <c r="I470" s="2" t="n">
        <v>102800</v>
      </c>
      <c r="J470" t="n">
        <v>-4.7</v>
      </c>
      <c r="K470" t="n">
        <v>87.5</v>
      </c>
      <c r="L470" s="2" t="n">
        <v>77600</v>
      </c>
      <c r="M470" t="n">
        <v>101.2</v>
      </c>
      <c r="N470" t="inlineStr">
        <is>
          <t>20260729800683</t>
        </is>
      </c>
      <c r="O470">
        <f>HYPERLINK("https://dart.fss.or.kr/dsaf001/main.do?rcpNo=20260729800683", "공시열람")</f>
        <v/>
      </c>
    </row>
    <row r="471">
      <c r="A471" t="inlineStr">
        <is>
          <t>2026-07-29</t>
        </is>
      </c>
      <c r="B471" t="inlineStr">
        <is>
          <t>자이에스앤디</t>
        </is>
      </c>
      <c r="C471" t="inlineStr">
        <is>
          <t>317400</t>
        </is>
      </c>
      <c r="D471" t="inlineStr">
        <is>
          <t>연결</t>
        </is>
      </c>
      <c r="E471" t="inlineStr">
        <is>
          <t>2026Q2</t>
        </is>
      </c>
      <c r="F471" s="2" t="n">
        <v>303337</v>
      </c>
      <c r="G471" t="n">
        <v>12.24</v>
      </c>
      <c r="H471" t="n">
        <v>-9.98</v>
      </c>
      <c r="I471" s="2" t="n">
        <v>9036</v>
      </c>
      <c r="J471" t="n">
        <v>-20.34</v>
      </c>
      <c r="K471" t="inlineStr"/>
      <c r="L471" s="2" t="n">
        <v>9852</v>
      </c>
      <c r="M471" t="n">
        <v>127.84</v>
      </c>
      <c r="N471" t="inlineStr">
        <is>
          <t>20260729800160</t>
        </is>
      </c>
      <c r="O471">
        <f>HYPERLINK("https://dart.fss.or.kr/dsaf001/main.do?rcpNo=20260729800160", "공시열람")</f>
        <v/>
      </c>
    </row>
    <row r="472">
      <c r="A472" t="inlineStr">
        <is>
          <t>2026-07-29</t>
        </is>
      </c>
      <c r="B472" t="inlineStr">
        <is>
          <t>토비스</t>
        </is>
      </c>
      <c r="C472" t="inlineStr">
        <is>
          <t>051360</t>
        </is>
      </c>
      <c r="D472" t="inlineStr">
        <is>
          <t>연결</t>
        </is>
      </c>
      <c r="E472" t="inlineStr">
        <is>
          <t>2026Q2</t>
        </is>
      </c>
      <c r="F472" s="2" t="n">
        <v>188093</v>
      </c>
      <c r="G472" t="n">
        <v>10.8</v>
      </c>
      <c r="H472" t="n">
        <v>13.1</v>
      </c>
      <c r="I472" s="2" t="n">
        <v>15814</v>
      </c>
      <c r="J472" t="n">
        <v>1.9</v>
      </c>
      <c r="K472" t="n">
        <v>-13.7</v>
      </c>
      <c r="L472" s="2" t="n">
        <v>14010</v>
      </c>
      <c r="M472" t="n">
        <v>25.3</v>
      </c>
      <c r="N472" t="inlineStr">
        <is>
          <t>20260729900234</t>
        </is>
      </c>
      <c r="O472">
        <f>HYPERLINK("https://dart.fss.or.kr/dsaf001/main.do?rcpNo=20260729900234", "공시열람")</f>
        <v/>
      </c>
    </row>
    <row r="473">
      <c r="A473" t="inlineStr">
        <is>
          <t>2026-07-29</t>
        </is>
      </c>
      <c r="B473" t="inlineStr">
        <is>
          <t>FSN</t>
        </is>
      </c>
      <c r="C473" t="inlineStr">
        <is>
          <t>214270</t>
        </is>
      </c>
      <c r="D473" t="inlineStr">
        <is>
          <t>연결</t>
        </is>
      </c>
      <c r="E473" t="inlineStr">
        <is>
          <t>2026Q2</t>
        </is>
      </c>
      <c r="F473" s="2" t="n">
        <v>76708</v>
      </c>
      <c r="G473" t="n">
        <v>29.43</v>
      </c>
      <c r="H473" t="n">
        <v>6.38</v>
      </c>
      <c r="I473" s="2" t="n">
        <v>11974</v>
      </c>
      <c r="J473" t="n">
        <v>534.0700000000001</v>
      </c>
      <c r="K473" t="n">
        <v>26.04</v>
      </c>
      <c r="L473" s="2" t="inlineStr"/>
      <c r="M473" t="inlineStr"/>
      <c r="N473" t="inlineStr">
        <is>
          <t>20260729900288</t>
        </is>
      </c>
      <c r="O473">
        <f>HYPERLINK("https://dart.fss.or.kr/dsaf001/main.do?rcpNo=20260729900288", "공시열람")</f>
        <v/>
      </c>
    </row>
    <row r="474">
      <c r="A474" t="inlineStr">
        <is>
          <t>2026-07-29</t>
        </is>
      </c>
      <c r="B474" t="inlineStr">
        <is>
          <t>송원산업</t>
        </is>
      </c>
      <c r="C474" t="inlineStr">
        <is>
          <t>004430</t>
        </is>
      </c>
      <c r="D474" t="inlineStr">
        <is>
          <t>연결</t>
        </is>
      </c>
      <c r="E474" t="inlineStr">
        <is>
          <t>2026Q2</t>
        </is>
      </c>
      <c r="F474" s="2" t="n">
        <v>328509</v>
      </c>
      <c r="G474" t="n">
        <v>22</v>
      </c>
      <c r="H474" t="n">
        <v>23.8</v>
      </c>
      <c r="I474" s="2" t="n">
        <v>39811</v>
      </c>
      <c r="J474" t="n">
        <v>49.9</v>
      </c>
      <c r="K474" t="n">
        <v>363.3</v>
      </c>
      <c r="L474" s="2" t="n">
        <v>29619</v>
      </c>
      <c r="M474" t="inlineStr"/>
      <c r="N474" t="inlineStr">
        <is>
          <t>20260729800297</t>
        </is>
      </c>
      <c r="O474">
        <f>HYPERLINK("https://dart.fss.or.kr/dsaf001/main.do?rcpNo=20260729800297", "공시열람")</f>
        <v/>
      </c>
    </row>
    <row r="475">
      <c r="A475" t="inlineStr">
        <is>
          <t>2026-07-29</t>
        </is>
      </c>
      <c r="B475" t="inlineStr">
        <is>
          <t>보락</t>
        </is>
      </c>
      <c r="C475" t="inlineStr">
        <is>
          <t>002760</t>
        </is>
      </c>
      <c r="D475" t="inlineStr">
        <is>
          <t>별도</t>
        </is>
      </c>
      <c r="E475" t="inlineStr">
        <is>
          <t>2026Q2</t>
        </is>
      </c>
      <c r="F475" s="2" t="n">
        <v>12491</v>
      </c>
      <c r="G475" t="n">
        <v>11.46</v>
      </c>
      <c r="H475" t="n">
        <v>-9.050000000000001</v>
      </c>
      <c r="I475" s="2" t="n">
        <v>683</v>
      </c>
      <c r="J475" t="n">
        <v>22.62</v>
      </c>
      <c r="K475" t="n">
        <v>-23.34</v>
      </c>
      <c r="L475" s="2" t="n">
        <v>931</v>
      </c>
      <c r="M475" t="n">
        <v>-11.33</v>
      </c>
      <c r="N475" t="inlineStr">
        <is>
          <t>20260729800269</t>
        </is>
      </c>
      <c r="O475">
        <f>HYPERLINK("https://dart.fss.or.kr/dsaf001/main.do?rcpNo=20260729800269", "공시열람")</f>
        <v/>
      </c>
    </row>
    <row r="476">
      <c r="A476" t="inlineStr">
        <is>
          <t>2026-07-29</t>
        </is>
      </c>
      <c r="B476" t="inlineStr">
        <is>
          <t>쎄트렉아이</t>
        </is>
      </c>
      <c r="C476" t="inlineStr">
        <is>
          <t>099320</t>
        </is>
      </c>
      <c r="D476" t="inlineStr">
        <is>
          <t>연결</t>
        </is>
      </c>
      <c r="E476" t="inlineStr">
        <is>
          <t>2026Q2</t>
        </is>
      </c>
      <c r="F476" s="2" t="n">
        <v>51141</v>
      </c>
      <c r="G476" t="n">
        <v>37.5</v>
      </c>
      <c r="H476" t="n">
        <v>15</v>
      </c>
      <c r="I476" s="2" t="n">
        <v>1367</v>
      </c>
      <c r="J476" t="inlineStr"/>
      <c r="K476" t="n">
        <v>-32.5</v>
      </c>
      <c r="L476" s="2" t="n">
        <v>-215</v>
      </c>
      <c r="M476" t="inlineStr"/>
      <c r="N476" t="inlineStr">
        <is>
          <t>20260729900268</t>
        </is>
      </c>
      <c r="O476">
        <f>HYPERLINK("https://dart.fss.or.kr/dsaf001/main.do?rcpNo=20260729900268", "공시열람")</f>
        <v/>
      </c>
    </row>
    <row r="477">
      <c r="A477" t="inlineStr">
        <is>
          <t>2026-07-29</t>
        </is>
      </c>
      <c r="B477" t="inlineStr">
        <is>
          <t>HK이노엔</t>
        </is>
      </c>
      <c r="C477" t="inlineStr">
        <is>
          <t>195940</t>
        </is>
      </c>
      <c r="D477" t="inlineStr">
        <is>
          <t>별도</t>
        </is>
      </c>
      <c r="E477" t="inlineStr">
        <is>
          <t>2026Q2</t>
        </is>
      </c>
      <c r="F477" s="2" t="n">
        <v>267225</v>
      </c>
      <c r="G477" t="n">
        <v>3.3</v>
      </c>
      <c r="H477" t="n">
        <v>1.6</v>
      </c>
      <c r="I477" s="2" t="n">
        <v>30009</v>
      </c>
      <c r="J477" t="n">
        <v>-9.6</v>
      </c>
      <c r="K477" t="n">
        <v>53.6</v>
      </c>
      <c r="L477" s="2" t="n">
        <v>13674</v>
      </c>
      <c r="M477" t="n">
        <v>13.6</v>
      </c>
      <c r="N477" t="inlineStr">
        <is>
          <t>20260729900265</t>
        </is>
      </c>
      <c r="O477">
        <f>HYPERLINK("https://dart.fss.or.kr/dsaf001/main.do?rcpNo=20260729900265", "공시열람")</f>
        <v/>
      </c>
    </row>
    <row r="478">
      <c r="A478" t="inlineStr">
        <is>
          <t>2026-07-29</t>
        </is>
      </c>
      <c r="B478" t="inlineStr">
        <is>
          <t>안랩</t>
        </is>
      </c>
      <c r="C478" t="inlineStr">
        <is>
          <t>053800</t>
        </is>
      </c>
      <c r="D478" t="inlineStr">
        <is>
          <t>별도</t>
        </is>
      </c>
      <c r="E478" t="inlineStr">
        <is>
          <t>2026Q2</t>
        </is>
      </c>
      <c r="F478" s="2" t="n">
        <v>64334</v>
      </c>
      <c r="G478" t="n">
        <v>22.9</v>
      </c>
      <c r="H478" t="n">
        <v>17.1</v>
      </c>
      <c r="I478" s="2" t="n">
        <v>7584</v>
      </c>
      <c r="J478" t="n">
        <v>55.2</v>
      </c>
      <c r="K478" t="n">
        <v>14.1</v>
      </c>
      <c r="L478" s="2" t="n">
        <v>8738</v>
      </c>
      <c r="M478" t="n">
        <v>-42.6</v>
      </c>
      <c r="N478" t="inlineStr">
        <is>
          <t>20260729900195</t>
        </is>
      </c>
      <c r="O478">
        <f>HYPERLINK("https://dart.fss.or.kr/dsaf001/main.do?rcpNo=20260729900195", "공시열람")</f>
        <v/>
      </c>
    </row>
    <row r="479">
      <c r="A479" t="inlineStr">
        <is>
          <t>2026-07-29</t>
        </is>
      </c>
      <c r="B479" t="inlineStr">
        <is>
          <t>해성디에스</t>
        </is>
      </c>
      <c r="C479" t="inlineStr">
        <is>
          <t>195870</t>
        </is>
      </c>
      <c r="D479" t="inlineStr">
        <is>
          <t>연결</t>
        </is>
      </c>
      <c r="E479" t="inlineStr">
        <is>
          <t>2026Q2</t>
        </is>
      </c>
      <c r="F479" s="2" t="n">
        <v>211100</v>
      </c>
      <c r="G479" t="n">
        <v>11.9</v>
      </c>
      <c r="H479" t="n">
        <v>34.1</v>
      </c>
      <c r="I479" s="2" t="n">
        <v>24900</v>
      </c>
      <c r="J479" t="n">
        <v>126.5</v>
      </c>
      <c r="K479" t="n">
        <v>202.2</v>
      </c>
      <c r="L479" s="2" t="n">
        <v>19100</v>
      </c>
      <c r="M479" t="inlineStr"/>
      <c r="N479" t="inlineStr">
        <is>
          <t>20260729800239</t>
        </is>
      </c>
      <c r="O479">
        <f>HYPERLINK("https://dart.fss.or.kr/dsaf001/main.do?rcpNo=20260729800239", "공시열람")</f>
        <v/>
      </c>
    </row>
    <row r="480">
      <c r="A480" t="inlineStr">
        <is>
          <t>2026-07-29</t>
        </is>
      </c>
      <c r="B480" t="inlineStr">
        <is>
          <t>안랩</t>
        </is>
      </c>
      <c r="C480" t="inlineStr">
        <is>
          <t>053800</t>
        </is>
      </c>
      <c r="D480" t="inlineStr">
        <is>
          <t>연결</t>
        </is>
      </c>
      <c r="E480" t="inlineStr">
        <is>
          <t>2026Q2</t>
        </is>
      </c>
      <c r="F480" s="2" t="n">
        <v>71309</v>
      </c>
      <c r="G480" t="n">
        <v>20.7</v>
      </c>
      <c r="H480" t="n">
        <v>14.5</v>
      </c>
      <c r="I480" s="2" t="n">
        <v>5382</v>
      </c>
      <c r="J480" t="n">
        <v>179.3</v>
      </c>
      <c r="K480" t="n">
        <v>55.6</v>
      </c>
      <c r="L480" s="2" t="n">
        <v>6413</v>
      </c>
      <c r="M480" t="n">
        <v>-52</v>
      </c>
      <c r="N480" t="inlineStr">
        <is>
          <t>20260729900196</t>
        </is>
      </c>
      <c r="O480">
        <f>HYPERLINK("https://dart.fss.or.kr/dsaf001/main.do?rcpNo=20260729900196", "공시열람")</f>
        <v/>
      </c>
    </row>
    <row r="481">
      <c r="A481" t="inlineStr">
        <is>
          <t>2026-07-28</t>
        </is>
      </c>
      <c r="B481" t="inlineStr">
        <is>
          <t>에스폴리텍</t>
        </is>
      </c>
      <c r="C481" t="inlineStr">
        <is>
          <t>050760</t>
        </is>
      </c>
      <c r="D481" t="inlineStr">
        <is>
          <t>별도</t>
        </is>
      </c>
      <c r="E481" t="inlineStr">
        <is>
          <t>2026Q2</t>
        </is>
      </c>
      <c r="F481" s="2" t="n">
        <v>19713</v>
      </c>
      <c r="G481" t="n">
        <v>12.6</v>
      </c>
      <c r="H481" t="n">
        <v>14.8</v>
      </c>
      <c r="I481" s="2" t="n">
        <v>1349</v>
      </c>
      <c r="J481" t="n">
        <v>331.2</v>
      </c>
      <c r="K481" t="inlineStr"/>
      <c r="L481" s="2" t="n">
        <v>1381</v>
      </c>
      <c r="M481" t="inlineStr"/>
      <c r="N481" t="inlineStr">
        <is>
          <t>20260728900259</t>
        </is>
      </c>
      <c r="O481">
        <f>HYPERLINK("https://dart.fss.or.kr/dsaf001/main.do?rcpNo=20260728900259", "공시열람")</f>
        <v/>
      </c>
    </row>
    <row r="482">
      <c r="A482" t="inlineStr">
        <is>
          <t>2026-07-28</t>
        </is>
      </c>
      <c r="B482" t="inlineStr">
        <is>
          <t>BNK금융지주</t>
        </is>
      </c>
      <c r="C482" t="inlineStr">
        <is>
          <t>138930</t>
        </is>
      </c>
      <c r="D482" t="inlineStr">
        <is>
          <t>연결</t>
        </is>
      </c>
      <c r="E482" t="inlineStr">
        <is>
          <t>2026Q2</t>
        </is>
      </c>
      <c r="F482" s="2" t="n">
        <v>1052463</v>
      </c>
      <c r="G482" t="n">
        <v>-6.56</v>
      </c>
      <c r="H482" t="n">
        <v>13.5</v>
      </c>
      <c r="I482" s="2" t="n">
        <v>94699</v>
      </c>
      <c r="J482" t="n">
        <v>-36.58</v>
      </c>
      <c r="K482" t="n">
        <v>-42.8</v>
      </c>
      <c r="L482" s="2" t="n">
        <v>93174</v>
      </c>
      <c r="M482" t="n">
        <v>-43.91</v>
      </c>
      <c r="N482" t="inlineStr">
        <is>
          <t>20260728800412</t>
        </is>
      </c>
      <c r="O482">
        <f>HYPERLINK("https://dart.fss.or.kr/dsaf001/main.do?rcpNo=20260728800412", "공시열람")</f>
        <v/>
      </c>
    </row>
    <row r="483">
      <c r="A483" t="inlineStr">
        <is>
          <t>2026-07-28</t>
        </is>
      </c>
      <c r="B483" t="inlineStr">
        <is>
          <t>HDC현대EP</t>
        </is>
      </c>
      <c r="C483" t="inlineStr">
        <is>
          <t>089470</t>
        </is>
      </c>
      <c r="D483" t="inlineStr">
        <is>
          <t>연결</t>
        </is>
      </c>
      <c r="E483" t="inlineStr">
        <is>
          <t>2026Q2</t>
        </is>
      </c>
      <c r="F483" s="2" t="n">
        <v>301412</v>
      </c>
      <c r="G483" t="n">
        <v>18.3</v>
      </c>
      <c r="H483" t="n">
        <v>16.6</v>
      </c>
      <c r="I483" s="2" t="n">
        <v>12833</v>
      </c>
      <c r="J483" t="n">
        <v>65.3</v>
      </c>
      <c r="K483" t="n">
        <v>-4.6</v>
      </c>
      <c r="L483" s="2" t="n">
        <v>8054</v>
      </c>
      <c r="M483" t="n">
        <v>22.5</v>
      </c>
      <c r="N483" t="inlineStr">
        <is>
          <t>20260728800598</t>
        </is>
      </c>
      <c r="O483">
        <f>HYPERLINK("https://dart.fss.or.kr/dsaf001/main.do?rcpNo=20260728800598", "공시열람")</f>
        <v/>
      </c>
    </row>
    <row r="484">
      <c r="A484" t="inlineStr">
        <is>
          <t>2026-07-28</t>
        </is>
      </c>
      <c r="B484" t="inlineStr">
        <is>
          <t>한미약품</t>
        </is>
      </c>
      <c r="C484" t="inlineStr">
        <is>
          <t>128940</t>
        </is>
      </c>
      <c r="D484" t="inlineStr">
        <is>
          <t>연결</t>
        </is>
      </c>
      <c r="E484" t="inlineStr">
        <is>
          <t>2026Q2</t>
        </is>
      </c>
      <c r="F484" s="2" t="n">
        <v>467247</v>
      </c>
      <c r="G484" t="n">
        <v>18.9</v>
      </c>
      <c r="H484" t="n">
        <v>29.3</v>
      </c>
      <c r="I484" s="2" t="n">
        <v>131093</v>
      </c>
      <c r="J484" t="n">
        <v>144.4</v>
      </c>
      <c r="K484" t="n">
        <v>116.9</v>
      </c>
      <c r="L484" s="2" t="n">
        <v>84082</v>
      </c>
      <c r="M484" t="n">
        <v>95.5</v>
      </c>
      <c r="N484" t="inlineStr">
        <is>
          <t>20260728800599</t>
        </is>
      </c>
      <c r="O484">
        <f>HYPERLINK("https://dart.fss.or.kr/dsaf001/main.do?rcpNo=20260728800599", "공시열람")</f>
        <v/>
      </c>
    </row>
    <row r="485">
      <c r="A485" t="inlineStr">
        <is>
          <t>2026-07-28</t>
        </is>
      </c>
      <c r="B485" t="inlineStr">
        <is>
          <t>한미사이언스</t>
        </is>
      </c>
      <c r="C485" t="inlineStr">
        <is>
          <t>008930</t>
        </is>
      </c>
      <c r="D485" t="inlineStr">
        <is>
          <t>연결</t>
        </is>
      </c>
      <c r="E485" t="inlineStr">
        <is>
          <t>2026Q2</t>
        </is>
      </c>
      <c r="F485" s="2" t="n">
        <v>367856</v>
      </c>
      <c r="G485" t="n">
        <v>4</v>
      </c>
      <c r="H485" t="n">
        <v>8.699999999999999</v>
      </c>
      <c r="I485" s="2" t="n">
        <v>59138</v>
      </c>
      <c r="J485" t="n">
        <v>76.2</v>
      </c>
      <c r="K485" t="n">
        <v>70.90000000000001</v>
      </c>
      <c r="L485" s="2" t="n">
        <v>43667</v>
      </c>
      <c r="M485" t="n">
        <v>54.2</v>
      </c>
      <c r="N485" t="inlineStr">
        <is>
          <t>20260728800732</t>
        </is>
      </c>
      <c r="O485">
        <f>HYPERLINK("https://dart.fss.or.kr/dsaf001/main.do?rcpNo=20260728800732", "공시열람")</f>
        <v/>
      </c>
    </row>
    <row r="486">
      <c r="A486" t="inlineStr">
        <is>
          <t>2026-07-28</t>
        </is>
      </c>
      <c r="B486" t="inlineStr">
        <is>
          <t>진흥기업</t>
        </is>
      </c>
      <c r="C486" t="inlineStr">
        <is>
          <t>002780</t>
        </is>
      </c>
      <c r="D486" t="inlineStr">
        <is>
          <t>별도</t>
        </is>
      </c>
      <c r="E486" t="inlineStr">
        <is>
          <t>2026Q2</t>
        </is>
      </c>
      <c r="F486" s="2" t="n">
        <v>220256</v>
      </c>
      <c r="G486" t="n">
        <v>19.96</v>
      </c>
      <c r="H486" t="n">
        <v>61.05</v>
      </c>
      <c r="I486" s="2" t="n">
        <v>507</v>
      </c>
      <c r="J486" t="n">
        <v>-95.44</v>
      </c>
      <c r="K486" t="n">
        <v>110.72</v>
      </c>
      <c r="L486" s="2" t="n">
        <v>698</v>
      </c>
      <c r="M486" t="inlineStr"/>
      <c r="N486" t="inlineStr">
        <is>
          <t>20260728800858</t>
        </is>
      </c>
      <c r="O486">
        <f>HYPERLINK("https://dart.fss.or.kr/dsaf001/main.do?rcpNo=20260728800858", "공시열람")</f>
        <v/>
      </c>
    </row>
    <row r="487">
      <c r="A487" t="inlineStr">
        <is>
          <t>2026-07-28</t>
        </is>
      </c>
      <c r="B487" t="inlineStr">
        <is>
          <t>고영</t>
        </is>
      </c>
      <c r="C487" t="inlineStr">
        <is>
          <t>098460</t>
        </is>
      </c>
      <c r="D487" t="inlineStr">
        <is>
          <t>연결</t>
        </is>
      </c>
      <c r="E487" t="inlineStr">
        <is>
          <t>2026Q2</t>
        </is>
      </c>
      <c r="F487" s="2" t="n">
        <v>88759</v>
      </c>
      <c r="G487" t="n">
        <v>22</v>
      </c>
      <c r="H487" t="n">
        <v>70.40000000000001</v>
      </c>
      <c r="I487" s="2" t="n">
        <v>14553</v>
      </c>
      <c r="J487" t="n">
        <v>47.7</v>
      </c>
      <c r="K487" t="n">
        <v>479.1</v>
      </c>
      <c r="L487" s="2" t="n">
        <v>15724</v>
      </c>
      <c r="M487" t="inlineStr"/>
      <c r="N487" t="inlineStr">
        <is>
          <t>20260728900559</t>
        </is>
      </c>
      <c r="O487">
        <f>HYPERLINK("https://dart.fss.or.kr/dsaf001/main.do?rcpNo=20260728900559", "공시열람")</f>
        <v/>
      </c>
    </row>
    <row r="488">
      <c r="A488" t="inlineStr">
        <is>
          <t>2026-07-28</t>
        </is>
      </c>
      <c r="B488" t="inlineStr">
        <is>
          <t>BNK금융지주</t>
        </is>
      </c>
      <c r="C488" t="inlineStr">
        <is>
          <t>138930</t>
        </is>
      </c>
      <c r="D488" t="inlineStr">
        <is>
          <t>연결</t>
        </is>
      </c>
      <c r="E488" t="inlineStr">
        <is>
          <t>2026Q2</t>
        </is>
      </c>
      <c r="F488" s="2" t="n">
        <v>3597262</v>
      </c>
      <c r="G488" t="n">
        <v>6.06</v>
      </c>
      <c r="H488" t="n">
        <v>38.3</v>
      </c>
      <c r="I488" s="2" t="n">
        <v>235654</v>
      </c>
      <c r="J488" t="n">
        <v>-16.76</v>
      </c>
      <c r="K488" t="n">
        <v>-7.9</v>
      </c>
      <c r="L488" s="2" t="n">
        <v>205691</v>
      </c>
      <c r="M488" t="n">
        <v>-34.59</v>
      </c>
      <c r="N488" t="inlineStr">
        <is>
          <t>20260728800461</t>
        </is>
      </c>
      <c r="O488">
        <f>HYPERLINK("https://dart.fss.or.kr/dsaf001/main.do?rcpNo=20260728800461", "공시열람")</f>
        <v/>
      </c>
    </row>
    <row r="489">
      <c r="A489" t="inlineStr">
        <is>
          <t>2026-07-28</t>
        </is>
      </c>
      <c r="B489" t="inlineStr">
        <is>
          <t>HD현대마린엔진</t>
        </is>
      </c>
      <c r="C489" t="inlineStr">
        <is>
          <t>071970</t>
        </is>
      </c>
      <c r="D489" t="inlineStr">
        <is>
          <t>연결</t>
        </is>
      </c>
      <c r="E489" t="inlineStr">
        <is>
          <t>2026Q2</t>
        </is>
      </c>
      <c r="F489" s="2" t="n">
        <v>128119</v>
      </c>
      <c r="G489" t="n">
        <v>-4</v>
      </c>
      <c r="H489" t="n">
        <v>29.1</v>
      </c>
      <c r="I489" s="2" t="n">
        <v>31285</v>
      </c>
      <c r="J489" t="n">
        <v>-3.9</v>
      </c>
      <c r="K489" t="n">
        <v>79.2</v>
      </c>
      <c r="L489" s="2" t="n">
        <v>31873</v>
      </c>
      <c r="M489" t="n">
        <v>92.5</v>
      </c>
      <c r="N489" t="inlineStr">
        <is>
          <t>20260728800414</t>
        </is>
      </c>
      <c r="O489">
        <f>HYPERLINK("https://dart.fss.or.kr/dsaf001/main.do?rcpNo=20260728800414", "공시열람")</f>
        <v/>
      </c>
    </row>
    <row r="490">
      <c r="A490" t="inlineStr">
        <is>
          <t>2026-07-28</t>
        </is>
      </c>
      <c r="B490" t="inlineStr">
        <is>
          <t>영화금속</t>
        </is>
      </c>
      <c r="C490" t="inlineStr">
        <is>
          <t>012280</t>
        </is>
      </c>
      <c r="D490" t="inlineStr">
        <is>
          <t>별도</t>
        </is>
      </c>
      <c r="E490" t="inlineStr">
        <is>
          <t>2026Q2</t>
        </is>
      </c>
      <c r="F490" s="2" t="n">
        <v>92150</v>
      </c>
      <c r="G490" t="n">
        <v>2.3</v>
      </c>
      <c r="H490" t="n">
        <v>-5</v>
      </c>
      <c r="I490" s="2" t="n">
        <v>4212</v>
      </c>
      <c r="J490" t="n">
        <v>35.9</v>
      </c>
      <c r="K490" t="n">
        <v>-37.2</v>
      </c>
      <c r="L490" s="2" t="n">
        <v>3593</v>
      </c>
      <c r="M490" t="n">
        <v>5.1</v>
      </c>
      <c r="N490" t="inlineStr">
        <is>
          <t>20260728800468</t>
        </is>
      </c>
      <c r="O490">
        <f>HYPERLINK("https://dart.fss.or.kr/dsaf001/main.do?rcpNo=20260728800468", "공시열람")</f>
        <v/>
      </c>
    </row>
    <row r="491">
      <c r="A491" t="inlineStr">
        <is>
          <t>2026-07-28</t>
        </is>
      </c>
      <c r="B491" t="inlineStr">
        <is>
          <t>하이브</t>
        </is>
      </c>
      <c r="C491" t="inlineStr">
        <is>
          <t>352820</t>
        </is>
      </c>
      <c r="D491" t="inlineStr">
        <is>
          <t>연결</t>
        </is>
      </c>
      <c r="E491" t="inlineStr">
        <is>
          <t>2026Q2</t>
        </is>
      </c>
      <c r="F491" s="2" t="n">
        <v>1450000</v>
      </c>
      <c r="G491" t="n">
        <v>107.6</v>
      </c>
      <c r="H491" t="n">
        <v>105.5</v>
      </c>
      <c r="I491" s="2" t="n">
        <v>170900</v>
      </c>
      <c r="J491" t="inlineStr"/>
      <c r="K491" t="n">
        <v>159.3</v>
      </c>
      <c r="L491" s="2" t="n">
        <v>109800</v>
      </c>
      <c r="M491" t="n">
        <v>613</v>
      </c>
      <c r="N491" t="inlineStr">
        <is>
          <t>20260728800448</t>
        </is>
      </c>
      <c r="O491">
        <f>HYPERLINK("https://dart.fss.or.kr/dsaf001/main.do?rcpNo=20260728800448", "공시열람")</f>
        <v/>
      </c>
    </row>
    <row r="492">
      <c r="A492" t="inlineStr">
        <is>
          <t>2026-07-28</t>
        </is>
      </c>
      <c r="B492" t="inlineStr">
        <is>
          <t>앤씨앤</t>
        </is>
      </c>
      <c r="C492" t="inlineStr">
        <is>
          <t>092600</t>
        </is>
      </c>
      <c r="D492" t="inlineStr">
        <is>
          <t>연결</t>
        </is>
      </c>
      <c r="E492" t="inlineStr">
        <is>
          <t>2026Q2</t>
        </is>
      </c>
      <c r="F492" s="2" t="n">
        <v>17953</v>
      </c>
      <c r="G492" t="n">
        <v>10.7</v>
      </c>
      <c r="H492" t="n">
        <v>-26.7</v>
      </c>
      <c r="I492" s="2" t="n">
        <v>623</v>
      </c>
      <c r="J492" t="inlineStr"/>
      <c r="K492" t="inlineStr"/>
      <c r="L492" s="2" t="n">
        <v>436</v>
      </c>
      <c r="M492" t="inlineStr"/>
      <c r="N492" t="inlineStr">
        <is>
          <t>20260728900219</t>
        </is>
      </c>
      <c r="O492">
        <f>HYPERLINK("https://dart.fss.or.kr/dsaf001/main.do?rcpNo=20260728900219", "공시열람")</f>
        <v/>
      </c>
    </row>
    <row r="493">
      <c r="A493" t="inlineStr">
        <is>
          <t>2026-07-28</t>
        </is>
      </c>
      <c r="B493" t="inlineStr">
        <is>
          <t>HD현대일렉트릭</t>
        </is>
      </c>
      <c r="C493" t="inlineStr">
        <is>
          <t>267260</t>
        </is>
      </c>
      <c r="D493" t="inlineStr">
        <is>
          <t>연결</t>
        </is>
      </c>
      <c r="E493" t="inlineStr">
        <is>
          <t>2026Q2</t>
        </is>
      </c>
      <c r="F493" s="2" t="n">
        <v>1141800</v>
      </c>
      <c r="G493" t="n">
        <v>10.2</v>
      </c>
      <c r="H493" t="n">
        <v>26</v>
      </c>
      <c r="I493" s="2" t="n">
        <v>287000</v>
      </c>
      <c r="J493" t="n">
        <v>11.1</v>
      </c>
      <c r="K493" t="n">
        <v>37.3</v>
      </c>
      <c r="L493" s="2" t="n">
        <v>206100</v>
      </c>
      <c r="M493" t="n">
        <v>45.2</v>
      </c>
      <c r="N493" t="inlineStr">
        <is>
          <t>20260728800429</t>
        </is>
      </c>
      <c r="O493">
        <f>HYPERLINK("https://dart.fss.or.kr/dsaf001/main.do?rcpNo=20260728800429", "공시열람")</f>
        <v/>
      </c>
    </row>
    <row r="494">
      <c r="A494" t="inlineStr">
        <is>
          <t>2026-07-28</t>
        </is>
      </c>
      <c r="B494" t="inlineStr">
        <is>
          <t>BNK금융지주</t>
        </is>
      </c>
      <c r="C494" t="inlineStr">
        <is>
          <t>138930</t>
        </is>
      </c>
      <c r="D494" t="inlineStr">
        <is>
          <t>연결</t>
        </is>
      </c>
      <c r="E494" t="inlineStr">
        <is>
          <t>2026Q2</t>
        </is>
      </c>
      <c r="F494" s="2" t="n">
        <v>678520</v>
      </c>
      <c r="G494" t="n">
        <v>2.47</v>
      </c>
      <c r="H494" t="n">
        <v>-2.25</v>
      </c>
      <c r="I494" s="2" t="n">
        <v>111753</v>
      </c>
      <c r="J494" t="n">
        <v>33.75</v>
      </c>
      <c r="K494" t="n">
        <v>9.98</v>
      </c>
      <c r="L494" s="2" t="n">
        <v>87508</v>
      </c>
      <c r="M494" t="n">
        <v>-1.87</v>
      </c>
      <c r="N494" t="inlineStr">
        <is>
          <t>20260728800399</t>
        </is>
      </c>
      <c r="O494">
        <f>HYPERLINK("https://dart.fss.or.kr/dsaf001/main.do?rcpNo=20260728800399", "공시열람")</f>
        <v/>
      </c>
    </row>
    <row r="495">
      <c r="A495" t="inlineStr">
        <is>
          <t>2026-07-28</t>
        </is>
      </c>
      <c r="B495" t="inlineStr">
        <is>
          <t>DS단석</t>
        </is>
      </c>
      <c r="C495" t="inlineStr">
        <is>
          <t>017860</t>
        </is>
      </c>
      <c r="D495" t="inlineStr">
        <is>
          <t>연결</t>
        </is>
      </c>
      <c r="E495" t="inlineStr">
        <is>
          <t>2026Q2</t>
        </is>
      </c>
      <c r="F495" s="2" t="n">
        <v>310077</v>
      </c>
      <c r="G495" t="n">
        <v>11.5</v>
      </c>
      <c r="H495" t="n">
        <v>39.8</v>
      </c>
      <c r="I495" s="2" t="n">
        <v>6290</v>
      </c>
      <c r="J495" t="n">
        <v>43.1</v>
      </c>
      <c r="K495" t="inlineStr"/>
      <c r="L495" s="2" t="n">
        <v>2753</v>
      </c>
      <c r="M495" t="inlineStr"/>
      <c r="N495" t="inlineStr">
        <is>
          <t>20260728800382</t>
        </is>
      </c>
      <c r="O495">
        <f>HYPERLINK("https://dart.fss.or.kr/dsaf001/main.do?rcpNo=20260728800382", "공시열람")</f>
        <v/>
      </c>
    </row>
    <row r="496">
      <c r="A496" t="inlineStr">
        <is>
          <t>2026-07-28</t>
        </is>
      </c>
      <c r="B496" t="inlineStr">
        <is>
          <t>한화시스템</t>
        </is>
      </c>
      <c r="C496" t="inlineStr">
        <is>
          <t>272210</t>
        </is>
      </c>
      <c r="D496" t="inlineStr">
        <is>
          <t>연결</t>
        </is>
      </c>
      <c r="E496" t="inlineStr">
        <is>
          <t>2026Q2</t>
        </is>
      </c>
      <c r="F496" s="2" t="n">
        <v>1117552</v>
      </c>
      <c r="G496" t="n">
        <v>38.47</v>
      </c>
      <c r="H496" t="n">
        <v>45.48</v>
      </c>
      <c r="I496" s="2" t="n">
        <v>103670</v>
      </c>
      <c r="J496" t="n">
        <v>202.39</v>
      </c>
      <c r="K496" t="n">
        <v>218.83</v>
      </c>
      <c r="L496" s="2" t="n">
        <v>52743</v>
      </c>
      <c r="M496" t="n">
        <v>13.73</v>
      </c>
      <c r="N496" t="inlineStr">
        <is>
          <t>20260728800345</t>
        </is>
      </c>
      <c r="O496">
        <f>HYPERLINK("https://dart.fss.or.kr/dsaf001/main.do?rcpNo=20260728800345", "공시열람")</f>
        <v/>
      </c>
    </row>
    <row r="497">
      <c r="A497" t="inlineStr">
        <is>
          <t>2026-07-28</t>
        </is>
      </c>
      <c r="B497" t="inlineStr">
        <is>
          <t>KG모빌리티</t>
        </is>
      </c>
      <c r="C497" t="inlineStr">
        <is>
          <t>003620</t>
        </is>
      </c>
      <c r="D497" t="inlineStr">
        <is>
          <t>별도</t>
        </is>
      </c>
      <c r="E497" t="inlineStr">
        <is>
          <t>2026Q2</t>
        </is>
      </c>
      <c r="F497" s="2" t="n">
        <v>1182300</v>
      </c>
      <c r="G497" t="n">
        <v>4</v>
      </c>
      <c r="H497" t="n">
        <v>14.1</v>
      </c>
      <c r="I497" s="2" t="n">
        <v>8800</v>
      </c>
      <c r="J497" t="n">
        <v>-59.4</v>
      </c>
      <c r="K497" t="n">
        <v>-50.8</v>
      </c>
      <c r="L497" s="2" t="n">
        <v>17600</v>
      </c>
      <c r="M497" t="n">
        <v>604</v>
      </c>
      <c r="N497" t="inlineStr">
        <is>
          <t>20260728800329</t>
        </is>
      </c>
      <c r="O497">
        <f>HYPERLINK("https://dart.fss.or.kr/dsaf001/main.do?rcpNo=20260728800329", "공시열람")</f>
        <v/>
      </c>
    </row>
    <row r="498">
      <c r="A498" t="inlineStr">
        <is>
          <t>2026-07-28</t>
        </is>
      </c>
      <c r="B498" t="inlineStr">
        <is>
          <t>BNK금융지주</t>
        </is>
      </c>
      <c r="C498" t="inlineStr">
        <is>
          <t>138930</t>
        </is>
      </c>
      <c r="D498" t="inlineStr">
        <is>
          <t>연결</t>
        </is>
      </c>
      <c r="E498" t="inlineStr">
        <is>
          <t>2026Q2</t>
        </is>
      </c>
      <c r="F498" s="2" t="n">
        <v>1331996</v>
      </c>
      <c r="G498" t="n">
        <v>18.86</v>
      </c>
      <c r="H498" t="n">
        <v>137.23</v>
      </c>
      <c r="I498" s="2" t="n">
        <v>38415</v>
      </c>
      <c r="J498" t="n">
        <v>270.27</v>
      </c>
      <c r="K498" t="n">
        <v>58.5</v>
      </c>
      <c r="L498" s="2" t="n">
        <v>36331</v>
      </c>
      <c r="M498" t="n">
        <v>116.1</v>
      </c>
      <c r="N498" t="inlineStr">
        <is>
          <t>20260728800292</t>
        </is>
      </c>
      <c r="O498">
        <f>HYPERLINK("https://dart.fss.or.kr/dsaf001/main.do?rcpNo=20260728800292", "공시열람")</f>
        <v/>
      </c>
    </row>
    <row r="499">
      <c r="A499" t="inlineStr">
        <is>
          <t>2026-07-28</t>
        </is>
      </c>
      <c r="B499" t="inlineStr">
        <is>
          <t>칩스앤미디어</t>
        </is>
      </c>
      <c r="C499" t="inlineStr">
        <is>
          <t>094360</t>
        </is>
      </c>
      <c r="D499" t="inlineStr">
        <is>
          <t>연결</t>
        </is>
      </c>
      <c r="E499" t="inlineStr">
        <is>
          <t>2026Q2</t>
        </is>
      </c>
      <c r="F499" s="2" t="n">
        <v>7092</v>
      </c>
      <c r="G499" t="n">
        <v>22.7</v>
      </c>
      <c r="H499" t="n">
        <v>7.2</v>
      </c>
      <c r="I499" s="2" t="n">
        <v>1127</v>
      </c>
      <c r="J499" t="n">
        <v>524.2</v>
      </c>
      <c r="K499" t="n">
        <v>-18.1</v>
      </c>
      <c r="L499" s="2" t="n">
        <v>2177</v>
      </c>
      <c r="M499" t="n">
        <v>171.4</v>
      </c>
      <c r="N499" t="inlineStr">
        <is>
          <t>20260728900271</t>
        </is>
      </c>
      <c r="O499">
        <f>HYPERLINK("https://dart.fss.or.kr/dsaf001/main.do?rcpNo=20260728900271", "공시열람")</f>
        <v/>
      </c>
    </row>
    <row r="500">
      <c r="A500" t="inlineStr">
        <is>
          <t>2026-07-28</t>
        </is>
      </c>
      <c r="B500" t="inlineStr">
        <is>
          <t>에스폴리텍</t>
        </is>
      </c>
      <c r="C500" t="inlineStr">
        <is>
          <t>050760</t>
        </is>
      </c>
      <c r="D500" t="inlineStr">
        <is>
          <t>연결</t>
        </is>
      </c>
      <c r="E500" t="inlineStr">
        <is>
          <t>2026Q2</t>
        </is>
      </c>
      <c r="F500" s="2" t="n">
        <v>19857</v>
      </c>
      <c r="G500" t="n">
        <v>12.5</v>
      </c>
      <c r="H500" t="n">
        <v>14.9</v>
      </c>
      <c r="I500" s="2" t="n">
        <v>1374</v>
      </c>
      <c r="J500" t="n">
        <v>319.7</v>
      </c>
      <c r="K500" t="inlineStr"/>
      <c r="L500" s="2" t="n">
        <v>1395</v>
      </c>
      <c r="M500" t="inlineStr"/>
      <c r="N500" t="inlineStr">
        <is>
          <t>20260728900258</t>
        </is>
      </c>
      <c r="O500">
        <f>HYPERLINK("https://dart.fss.or.kr/dsaf001/main.do?rcpNo=20260728900258", "공시열람")</f>
        <v/>
      </c>
    </row>
    <row r="501">
      <c r="A501" t="inlineStr">
        <is>
          <t>2026-07-28</t>
        </is>
      </c>
      <c r="B501" t="inlineStr">
        <is>
          <t>코스텍시스</t>
        </is>
      </c>
      <c r="C501" t="inlineStr">
        <is>
          <t>355150</t>
        </is>
      </c>
      <c r="D501" t="inlineStr">
        <is>
          <t>별도</t>
        </is>
      </c>
      <c r="E501" t="inlineStr">
        <is>
          <t>2026Q2</t>
        </is>
      </c>
      <c r="F501" s="2" t="n">
        <v>5343</v>
      </c>
      <c r="G501" t="n">
        <v>-1.9</v>
      </c>
      <c r="H501" t="n">
        <v>66.90000000000001</v>
      </c>
      <c r="I501" s="2" t="n">
        <v>1186</v>
      </c>
      <c r="J501" t="n">
        <v>4.8</v>
      </c>
      <c r="K501" t="inlineStr"/>
      <c r="L501" s="2" t="n">
        <v>902</v>
      </c>
      <c r="M501" t="inlineStr"/>
      <c r="N501" t="inlineStr">
        <is>
          <t>20260728900226</t>
        </is>
      </c>
      <c r="O501">
        <f>HYPERLINK("https://dart.fss.or.kr/dsaf001/main.do?rcpNo=20260728900226", "공시열람")</f>
        <v/>
      </c>
    </row>
    <row r="502">
      <c r="A502" t="inlineStr">
        <is>
          <t>2026-07-28</t>
        </is>
      </c>
      <c r="B502" t="inlineStr">
        <is>
          <t>PI첨단소재</t>
        </is>
      </c>
      <c r="C502" t="inlineStr">
        <is>
          <t>178920</t>
        </is>
      </c>
      <c r="D502" t="inlineStr">
        <is>
          <t>별도</t>
        </is>
      </c>
      <c r="E502" t="inlineStr">
        <is>
          <t>2026Q2</t>
        </is>
      </c>
      <c r="F502" s="2" t="n">
        <v>77501</v>
      </c>
      <c r="G502" t="n">
        <v>21</v>
      </c>
      <c r="H502" t="n">
        <v>6.9</v>
      </c>
      <c r="I502" s="2" t="n">
        <v>22983</v>
      </c>
      <c r="J502" t="n">
        <v>63.6</v>
      </c>
      <c r="K502" t="n">
        <v>42.1</v>
      </c>
      <c r="L502" s="2" t="n">
        <v>17471</v>
      </c>
      <c r="M502" t="n">
        <v>49.2</v>
      </c>
      <c r="N502" t="inlineStr">
        <is>
          <t>20260728800031</t>
        </is>
      </c>
      <c r="O502">
        <f>HYPERLINK("https://dart.fss.or.kr/dsaf001/main.do?rcpNo=20260728800031", "공시열람")</f>
        <v/>
      </c>
    </row>
    <row r="503">
      <c r="A503" t="inlineStr">
        <is>
          <t>2026-07-28</t>
        </is>
      </c>
      <c r="B503" t="inlineStr">
        <is>
          <t>세아메카닉스</t>
        </is>
      </c>
      <c r="C503" t="inlineStr">
        <is>
          <t>396300</t>
        </is>
      </c>
      <c r="D503" t="inlineStr">
        <is>
          <t>별도</t>
        </is>
      </c>
      <c r="E503" t="inlineStr">
        <is>
          <t>2026Q2</t>
        </is>
      </c>
      <c r="F503" s="2" t="n">
        <v>37449</v>
      </c>
      <c r="G503" t="n">
        <v>11.4</v>
      </c>
      <c r="H503" t="n">
        <v>104.6</v>
      </c>
      <c r="I503" s="2" t="n">
        <v>2041</v>
      </c>
      <c r="J503" t="n">
        <v>23.4</v>
      </c>
      <c r="K503" t="inlineStr"/>
      <c r="L503" s="2" t="n">
        <v>3194</v>
      </c>
      <c r="M503" t="inlineStr"/>
      <c r="N503" t="inlineStr">
        <is>
          <t>20260728900182</t>
        </is>
      </c>
      <c r="O503">
        <f>HYPERLINK("https://dart.fss.or.kr/dsaf001/main.do?rcpNo=20260728900182", "공시열람")</f>
        <v/>
      </c>
    </row>
    <row r="504">
      <c r="A504" t="inlineStr">
        <is>
          <t>2026-07-28</t>
        </is>
      </c>
      <c r="B504" t="inlineStr">
        <is>
          <t>코나아이</t>
        </is>
      </c>
      <c r="C504" t="inlineStr">
        <is>
          <t>052400</t>
        </is>
      </c>
      <c r="D504" t="inlineStr">
        <is>
          <t>연결</t>
        </is>
      </c>
      <c r="E504" t="inlineStr">
        <is>
          <t>2026Q2</t>
        </is>
      </c>
      <c r="F504" s="2" t="n">
        <v>84088</v>
      </c>
      <c r="G504" t="n">
        <v>9.300000000000001</v>
      </c>
      <c r="H504" t="n">
        <v>25.1</v>
      </c>
      <c r="I504" s="2" t="n">
        <v>21396</v>
      </c>
      <c r="J504" t="n">
        <v>-13.7</v>
      </c>
      <c r="K504" t="n">
        <v>24.3</v>
      </c>
      <c r="L504" s="2" t="n">
        <v>22189</v>
      </c>
      <c r="M504" t="n">
        <v>42.5</v>
      </c>
      <c r="N504" t="inlineStr">
        <is>
          <t>20260728900188</t>
        </is>
      </c>
      <c r="O504">
        <f>HYPERLINK("https://dart.fss.or.kr/dsaf001/main.do?rcpNo=20260728900188", "공시열람")</f>
        <v/>
      </c>
    </row>
    <row r="505">
      <c r="A505" t="inlineStr">
        <is>
          <t>2026-07-27</t>
        </is>
      </c>
      <c r="B505" t="inlineStr">
        <is>
          <t>나노씨엠에스</t>
        </is>
      </c>
      <c r="C505" t="inlineStr">
        <is>
          <t>247660</t>
        </is>
      </c>
      <c r="D505" t="inlineStr">
        <is>
          <t>별도</t>
        </is>
      </c>
      <c r="E505" t="inlineStr">
        <is>
          <t>2026Q2</t>
        </is>
      </c>
      <c r="F505" s="2" t="n">
        <v>2781</v>
      </c>
      <c r="G505" t="n">
        <v>19.43</v>
      </c>
      <c r="H505" t="n">
        <v>163.08</v>
      </c>
      <c r="I505" s="2" t="n">
        <v>834</v>
      </c>
      <c r="J505" t="n">
        <v>246.36</v>
      </c>
      <c r="K505" t="inlineStr"/>
      <c r="L505" s="2" t="n">
        <v>967</v>
      </c>
      <c r="M505" t="inlineStr"/>
      <c r="N505" t="inlineStr">
        <is>
          <t>20260727900704</t>
        </is>
      </c>
      <c r="O505">
        <f>HYPERLINK("https://dart.fss.or.kr/dsaf001/main.do?rcpNo=20260727900704", "공시열람")</f>
        <v/>
      </c>
    </row>
    <row r="506">
      <c r="A506" t="inlineStr">
        <is>
          <t>2026-07-27</t>
        </is>
      </c>
      <c r="B506" t="inlineStr">
        <is>
          <t>라온피플</t>
        </is>
      </c>
      <c r="C506" t="inlineStr">
        <is>
          <t>300120</t>
        </is>
      </c>
      <c r="D506" t="inlineStr">
        <is>
          <t>별도</t>
        </is>
      </c>
      <c r="E506" t="inlineStr">
        <is>
          <t>2026Q2</t>
        </is>
      </c>
      <c r="F506" s="2" t="n">
        <v>3529</v>
      </c>
      <c r="G506" t="n">
        <v>-14.8</v>
      </c>
      <c r="H506" t="n">
        <v>-16.4</v>
      </c>
      <c r="I506" s="2" t="n">
        <v>301</v>
      </c>
      <c r="J506" t="inlineStr"/>
      <c r="K506" t="inlineStr"/>
      <c r="L506" s="2" t="n">
        <v>1070</v>
      </c>
      <c r="M506" t="inlineStr"/>
      <c r="N506" t="inlineStr">
        <is>
          <t>20260727900162</t>
        </is>
      </c>
      <c r="O506">
        <f>HYPERLINK("https://dart.fss.or.kr/dsaf001/main.do?rcpNo=20260727900162", "공시열람")</f>
        <v/>
      </c>
    </row>
    <row r="507">
      <c r="A507" t="inlineStr">
        <is>
          <t>2026-07-27</t>
        </is>
      </c>
      <c r="B507" t="inlineStr">
        <is>
          <t>아이센스</t>
        </is>
      </c>
      <c r="C507" t="inlineStr">
        <is>
          <t>099190</t>
        </is>
      </c>
      <c r="D507" t="inlineStr">
        <is>
          <t>연결</t>
        </is>
      </c>
      <c r="E507" t="inlineStr">
        <is>
          <t>2026Q2</t>
        </is>
      </c>
      <c r="F507" s="2" t="n">
        <v>88458</v>
      </c>
      <c r="G507" t="n">
        <v>17.7</v>
      </c>
      <c r="H507" t="n">
        <v>15.2</v>
      </c>
      <c r="I507" s="2" t="n">
        <v>6287</v>
      </c>
      <c r="J507" t="n">
        <v>570.7</v>
      </c>
      <c r="K507" t="n">
        <v>274.1</v>
      </c>
      <c r="L507" s="2" t="n">
        <v>3464</v>
      </c>
      <c r="M507" t="n">
        <v>341.9</v>
      </c>
      <c r="N507" t="inlineStr">
        <is>
          <t>20260727900146</t>
        </is>
      </c>
      <c r="O507">
        <f>HYPERLINK("https://dart.fss.or.kr/dsaf001/main.do?rcpNo=20260727900146", "공시열람")</f>
        <v/>
      </c>
    </row>
    <row r="508">
      <c r="A508" t="inlineStr">
        <is>
          <t>2026-07-27</t>
        </is>
      </c>
      <c r="B508" t="inlineStr">
        <is>
          <t>RFHIC</t>
        </is>
      </c>
      <c r="C508" t="inlineStr">
        <is>
          <t>218410</t>
        </is>
      </c>
      <c r="D508" t="inlineStr">
        <is>
          <t>연결</t>
        </is>
      </c>
      <c r="E508" t="inlineStr">
        <is>
          <t>2026Q2</t>
        </is>
      </c>
      <c r="F508" s="2" t="n">
        <v>51501</v>
      </c>
      <c r="G508" t="n">
        <v>19.57</v>
      </c>
      <c r="H508" t="n">
        <v>15.37</v>
      </c>
      <c r="I508" s="2" t="n">
        <v>11186</v>
      </c>
      <c r="J508" t="n">
        <v>44.57</v>
      </c>
      <c r="K508" t="n">
        <v>34.69</v>
      </c>
      <c r="L508" s="2" t="n">
        <v>12063</v>
      </c>
      <c r="M508" t="n">
        <v>43.72</v>
      </c>
      <c r="N508" t="inlineStr">
        <is>
          <t>20260727900138</t>
        </is>
      </c>
      <c r="O508">
        <f>HYPERLINK("https://dart.fss.or.kr/dsaf001/main.do?rcpNo=20260727900138", "공시열람")</f>
        <v/>
      </c>
    </row>
    <row r="509">
      <c r="A509" t="inlineStr">
        <is>
          <t>2026-07-27</t>
        </is>
      </c>
      <c r="B509" t="inlineStr">
        <is>
          <t>플레이디</t>
        </is>
      </c>
      <c r="C509" t="inlineStr">
        <is>
          <t>237820</t>
        </is>
      </c>
      <c r="D509" t="inlineStr">
        <is>
          <t>별도</t>
        </is>
      </c>
      <c r="E509" t="inlineStr">
        <is>
          <t>2026Q2</t>
        </is>
      </c>
      <c r="F509" s="2" t="n">
        <v>7872</v>
      </c>
      <c r="G509" t="n">
        <v>4.7</v>
      </c>
      <c r="H509" t="n">
        <v>-19.6</v>
      </c>
      <c r="I509" s="2" t="n">
        <v>1257</v>
      </c>
      <c r="J509" t="n">
        <v>52.9</v>
      </c>
      <c r="K509" t="n">
        <v>-25.9</v>
      </c>
      <c r="L509" s="2" t="n">
        <v>1313</v>
      </c>
      <c r="M509" t="n">
        <v>-19.3</v>
      </c>
      <c r="N509" t="inlineStr">
        <is>
          <t>20260727900663</t>
        </is>
      </c>
      <c r="O509">
        <f>HYPERLINK("https://dart.fss.or.kr/dsaf001/main.do?rcpNo=20260727900663", "공시열람")</f>
        <v/>
      </c>
    </row>
    <row r="510">
      <c r="A510" t="inlineStr">
        <is>
          <t>2026-07-27</t>
        </is>
      </c>
      <c r="B510" t="inlineStr">
        <is>
          <t>RF머트리얼즈</t>
        </is>
      </c>
      <c r="C510" t="inlineStr">
        <is>
          <t>327260</t>
        </is>
      </c>
      <c r="D510" t="inlineStr">
        <is>
          <t>연결</t>
        </is>
      </c>
      <c r="E510" t="inlineStr">
        <is>
          <t>2026Q2</t>
        </is>
      </c>
      <c r="F510" s="2" t="n">
        <v>25060</v>
      </c>
      <c r="G510" t="n">
        <v>25.15</v>
      </c>
      <c r="H510" t="n">
        <v>51.3</v>
      </c>
      <c r="I510" s="2" t="n">
        <v>5290</v>
      </c>
      <c r="J510" t="n">
        <v>65.54000000000001</v>
      </c>
      <c r="K510" t="n">
        <v>182.44</v>
      </c>
      <c r="L510" s="2" t="n">
        <v>5235</v>
      </c>
      <c r="M510" t="n">
        <v>140.97</v>
      </c>
      <c r="N510" t="inlineStr">
        <is>
          <t>20260727900115</t>
        </is>
      </c>
      <c r="O510">
        <f>HYPERLINK("https://dart.fss.or.kr/dsaf001/main.do?rcpNo=20260727900115", "공시열람")</f>
        <v/>
      </c>
    </row>
    <row r="511">
      <c r="A511" t="inlineStr">
        <is>
          <t>2026-07-27</t>
        </is>
      </c>
      <c r="B511" t="inlineStr">
        <is>
          <t>비씨엔씨</t>
        </is>
      </c>
      <c r="C511" t="inlineStr">
        <is>
          <t>146320</t>
        </is>
      </c>
      <c r="D511" t="inlineStr">
        <is>
          <t>별도</t>
        </is>
      </c>
      <c r="E511" t="inlineStr">
        <is>
          <t>2026Q2</t>
        </is>
      </c>
      <c r="F511" s="2" t="n">
        <v>27272</v>
      </c>
      <c r="G511" t="n">
        <v>18.5</v>
      </c>
      <c r="H511" t="n">
        <v>26.4</v>
      </c>
      <c r="I511" s="2" t="n">
        <v>1673</v>
      </c>
      <c r="J511" t="n">
        <v>99</v>
      </c>
      <c r="K511" t="n">
        <v>0.2</v>
      </c>
      <c r="L511" s="2" t="n">
        <v>1753</v>
      </c>
      <c r="M511" t="n">
        <v>842.2</v>
      </c>
      <c r="N511" t="inlineStr">
        <is>
          <t>20260727900114</t>
        </is>
      </c>
      <c r="O511">
        <f>HYPERLINK("https://dart.fss.or.kr/dsaf001/main.do?rcpNo=20260727900114", "공시열람")</f>
        <v/>
      </c>
    </row>
    <row r="512">
      <c r="A512" t="inlineStr">
        <is>
          <t>2026-07-27</t>
        </is>
      </c>
      <c r="B512" t="inlineStr">
        <is>
          <t>지역난방공사</t>
        </is>
      </c>
      <c r="C512" t="inlineStr">
        <is>
          <t>071320</t>
        </is>
      </c>
      <c r="D512" t="inlineStr">
        <is>
          <t>별도</t>
        </is>
      </c>
      <c r="E512" t="inlineStr">
        <is>
          <t>2026Q2</t>
        </is>
      </c>
      <c r="F512" s="2" t="inlineStr"/>
      <c r="G512" t="inlineStr"/>
      <c r="H512" t="inlineStr"/>
      <c r="I512" s="2" t="inlineStr"/>
      <c r="J512" t="inlineStr"/>
      <c r="K512" t="inlineStr"/>
      <c r="L512" s="2" t="inlineStr"/>
      <c r="M512" t="inlineStr"/>
      <c r="N512" t="inlineStr">
        <is>
          <t>20260727800748</t>
        </is>
      </c>
      <c r="O512">
        <f>HYPERLINK("https://dart.fss.or.kr/dsaf001/main.do?rcpNo=20260727800748", "공시열람")</f>
        <v/>
      </c>
    </row>
    <row r="513">
      <c r="A513" t="inlineStr">
        <is>
          <t>2026-07-27</t>
        </is>
      </c>
      <c r="B513" t="inlineStr">
        <is>
          <t>HD현대마린솔루션</t>
        </is>
      </c>
      <c r="C513" t="inlineStr">
        <is>
          <t>443060</t>
        </is>
      </c>
      <c r="D513" t="inlineStr">
        <is>
          <t>연결</t>
        </is>
      </c>
      <c r="E513" t="inlineStr">
        <is>
          <t>2026Q2</t>
        </is>
      </c>
      <c r="F513" s="2" t="n">
        <v>580400</v>
      </c>
      <c r="G513" t="n">
        <v>1</v>
      </c>
      <c r="H513" t="n">
        <v>24.1</v>
      </c>
      <c r="I513" s="2" t="n">
        <v>97600</v>
      </c>
      <c r="J513" t="n">
        <v>4.5</v>
      </c>
      <c r="K513" t="n">
        <v>17.6</v>
      </c>
      <c r="L513" s="2" t="n">
        <v>83000</v>
      </c>
      <c r="M513" t="n">
        <v>56.6</v>
      </c>
      <c r="N513" t="inlineStr">
        <is>
          <t>20260727800323</t>
        </is>
      </c>
      <c r="O513">
        <f>HYPERLINK("https://dart.fss.or.kr/dsaf001/main.do?rcpNo=20260727800323", "공시열람")</f>
        <v/>
      </c>
    </row>
    <row r="514">
      <c r="A514" t="inlineStr">
        <is>
          <t>2026-07-27</t>
        </is>
      </c>
      <c r="B514" t="inlineStr">
        <is>
          <t>플레이디</t>
        </is>
      </c>
      <c r="C514" t="inlineStr">
        <is>
          <t>237820</t>
        </is>
      </c>
      <c r="D514" t="inlineStr">
        <is>
          <t>연결</t>
        </is>
      </c>
      <c r="E514" t="inlineStr">
        <is>
          <t>2025Q3</t>
        </is>
      </c>
      <c r="F514" s="2" t="n">
        <v>11120</v>
      </c>
      <c r="G514" t="n">
        <v>23.7</v>
      </c>
      <c r="H514" t="n">
        <v>13.6</v>
      </c>
      <c r="I514" s="2" t="n">
        <v>89</v>
      </c>
      <c r="J514" t="inlineStr"/>
      <c r="K514" t="n">
        <v>-94.8</v>
      </c>
      <c r="L514" s="2" t="n">
        <v>161</v>
      </c>
      <c r="M514" t="n">
        <v>-90.09999999999999</v>
      </c>
      <c r="N514" t="inlineStr">
        <is>
          <t>20260727900660</t>
        </is>
      </c>
      <c r="O514">
        <f>HYPERLINK("https://dart.fss.or.kr/dsaf001/main.do?rcpNo=20260727900660", "공시열람")</f>
        <v/>
      </c>
    </row>
    <row r="515">
      <c r="A515" t="inlineStr">
        <is>
          <t>2026-07-27</t>
        </is>
      </c>
      <c r="B515" t="inlineStr">
        <is>
          <t>기업은행</t>
        </is>
      </c>
      <c r="C515" t="inlineStr">
        <is>
          <t>024110</t>
        </is>
      </c>
      <c r="D515" t="inlineStr">
        <is>
          <t>연결</t>
        </is>
      </c>
      <c r="E515" t="inlineStr">
        <is>
          <t>2026Q2</t>
        </is>
      </c>
      <c r="F515" s="2" t="n">
        <v>9664984</v>
      </c>
      <c r="G515" t="n">
        <v>-12.9</v>
      </c>
      <c r="H515" t="n">
        <v>-5.7</v>
      </c>
      <c r="I515" s="2" t="n">
        <v>915102</v>
      </c>
      <c r="J515" t="n">
        <v>-1.9</v>
      </c>
      <c r="K515" t="n">
        <v>-1.3</v>
      </c>
      <c r="L515" s="2" t="n">
        <v>689506</v>
      </c>
      <c r="M515" t="n">
        <v>-0.7</v>
      </c>
      <c r="N515" t="inlineStr">
        <is>
          <t>20260727800560</t>
        </is>
      </c>
      <c r="O515">
        <f>HYPERLINK("https://dart.fss.or.kr/dsaf001/main.do?rcpNo=20260727800560", "공시열람")</f>
        <v/>
      </c>
    </row>
    <row r="516">
      <c r="A516" t="inlineStr">
        <is>
          <t>2026-07-27</t>
        </is>
      </c>
      <c r="B516" t="inlineStr">
        <is>
          <t>에어부산</t>
        </is>
      </c>
      <c r="C516" t="inlineStr">
        <is>
          <t>298690</t>
        </is>
      </c>
      <c r="D516" t="inlineStr">
        <is>
          <t>별도</t>
        </is>
      </c>
      <c r="E516" t="inlineStr">
        <is>
          <t>2026Q2</t>
        </is>
      </c>
      <c r="F516" s="2" t="n">
        <v>235300</v>
      </c>
      <c r="G516" t="n">
        <v>-8.699999999999999</v>
      </c>
      <c r="H516" t="n">
        <v>37.3</v>
      </c>
      <c r="I516" s="2" t="n">
        <v>-35500</v>
      </c>
      <c r="J516" t="inlineStr"/>
      <c r="K516" t="n">
        <v>-219.2</v>
      </c>
      <c r="L516" s="2" t="n">
        <v>-61800</v>
      </c>
      <c r="M516" t="inlineStr"/>
      <c r="N516" t="inlineStr">
        <is>
          <t>20260727800462</t>
        </is>
      </c>
      <c r="O516">
        <f>HYPERLINK("https://dart.fss.or.kr/dsaf001/main.do?rcpNo=20260727800462", "공시열람")</f>
        <v/>
      </c>
    </row>
    <row r="517">
      <c r="A517" t="inlineStr">
        <is>
          <t>2026-07-27</t>
        </is>
      </c>
      <c r="B517" t="inlineStr">
        <is>
          <t>iM금융지주</t>
        </is>
      </c>
      <c r="C517" t="inlineStr">
        <is>
          <t>139130</t>
        </is>
      </c>
      <c r="D517" t="inlineStr">
        <is>
          <t>연결</t>
        </is>
      </c>
      <c r="E517" t="inlineStr">
        <is>
          <t>2026Q2</t>
        </is>
      </c>
      <c r="F517" s="2" t="n">
        <v>4171961</v>
      </c>
      <c r="G517" t="n">
        <v>24.3</v>
      </c>
      <c r="H517" t="n">
        <v>83.59999999999999</v>
      </c>
      <c r="I517" s="2" t="n">
        <v>182738</v>
      </c>
      <c r="J517" t="n">
        <v>-5.8</v>
      </c>
      <c r="K517" t="n">
        <v>-8</v>
      </c>
      <c r="L517" s="2" t="n">
        <v>144782</v>
      </c>
      <c r="M517" t="n">
        <v>-9.1</v>
      </c>
      <c r="N517" t="inlineStr">
        <is>
          <t>20260727800396</t>
        </is>
      </c>
      <c r="O517">
        <f>HYPERLINK("https://dart.fss.or.kr/dsaf001/main.do?rcpNo=20260727800396", "공시열람")</f>
        <v/>
      </c>
    </row>
    <row r="518">
      <c r="A518" t="inlineStr">
        <is>
          <t>2026-07-27</t>
        </is>
      </c>
      <c r="B518" t="inlineStr">
        <is>
          <t>iM금융지주</t>
        </is>
      </c>
      <c r="C518" t="inlineStr">
        <is>
          <t>139130</t>
        </is>
      </c>
      <c r="D518" t="inlineStr">
        <is>
          <t>연결</t>
        </is>
      </c>
      <c r="E518" t="inlineStr">
        <is>
          <t>2026Q2</t>
        </is>
      </c>
      <c r="F518" s="2" t="n">
        <v>1099130</v>
      </c>
      <c r="G518" t="n">
        <v>-10.4</v>
      </c>
      <c r="H518" t="n">
        <v>-8.4</v>
      </c>
      <c r="I518" s="2" t="n">
        <v>151514</v>
      </c>
      <c r="J518" t="n">
        <v>-1.8</v>
      </c>
      <c r="K518" t="n">
        <v>-7.2</v>
      </c>
      <c r="L518" s="2" t="n">
        <v>125131</v>
      </c>
      <c r="M518" t="n">
        <v>-4.7</v>
      </c>
      <c r="N518" t="inlineStr">
        <is>
          <t>20260727800390</t>
        </is>
      </c>
      <c r="O518">
        <f>HYPERLINK("https://dart.fss.or.kr/dsaf001/main.do?rcpNo=20260727800390", "공시열람")</f>
        <v/>
      </c>
    </row>
    <row r="519">
      <c r="A519" t="inlineStr">
        <is>
          <t>2026-07-27</t>
        </is>
      </c>
      <c r="B519" t="inlineStr">
        <is>
          <t>iM금융지주</t>
        </is>
      </c>
      <c r="C519" t="inlineStr">
        <is>
          <t>139130</t>
        </is>
      </c>
      <c r="D519" t="inlineStr">
        <is>
          <t>연결</t>
        </is>
      </c>
      <c r="E519" t="inlineStr">
        <is>
          <t>2026Q2</t>
        </is>
      </c>
      <c r="F519" s="2" t="n">
        <v>2578141</v>
      </c>
      <c r="G519" t="n">
        <v>55.3</v>
      </c>
      <c r="H519" t="n">
        <v>259.9</v>
      </c>
      <c r="I519" s="2" t="n">
        <v>27522</v>
      </c>
      <c r="J519" t="n">
        <v>13.7</v>
      </c>
      <c r="K519" t="n">
        <v>-16.3</v>
      </c>
      <c r="L519" s="2" t="n">
        <v>20922</v>
      </c>
      <c r="M519" t="n">
        <v>-21.8</v>
      </c>
      <c r="N519" t="inlineStr">
        <is>
          <t>20260727800388</t>
        </is>
      </c>
      <c r="O519">
        <f>HYPERLINK("https://dart.fss.or.kr/dsaf001/main.do?rcpNo=20260727800388", "공시열람")</f>
        <v/>
      </c>
    </row>
    <row r="520">
      <c r="A520" t="inlineStr">
        <is>
          <t>2026-07-27</t>
        </is>
      </c>
      <c r="B520" t="inlineStr">
        <is>
          <t>두산</t>
        </is>
      </c>
      <c r="C520" t="inlineStr">
        <is>
          <t>000150</t>
        </is>
      </c>
      <c r="D520" t="inlineStr">
        <is>
          <t>연결</t>
        </is>
      </c>
      <c r="E520" t="inlineStr">
        <is>
          <t>2026Q2</t>
        </is>
      </c>
      <c r="F520" s="2" t="n">
        <v>5586100</v>
      </c>
      <c r="G520" t="n">
        <v>11</v>
      </c>
      <c r="H520" t="n">
        <v>5</v>
      </c>
      <c r="I520" s="2" t="n">
        <v>488400</v>
      </c>
      <c r="J520" t="n">
        <v>42.7</v>
      </c>
      <c r="K520" t="n">
        <v>37.8</v>
      </c>
      <c r="L520" s="2" t="n">
        <v>535600</v>
      </c>
      <c r="M520" t="n">
        <v>129.7</v>
      </c>
      <c r="N520" t="inlineStr">
        <is>
          <t>20260727800362</t>
        </is>
      </c>
      <c r="O520">
        <f>HYPERLINK("https://dart.fss.or.kr/dsaf001/main.do?rcpNo=20260727800362", "공시열람")</f>
        <v/>
      </c>
    </row>
    <row r="521">
      <c r="A521" t="inlineStr">
        <is>
          <t>2026-07-27</t>
        </is>
      </c>
      <c r="B521" t="inlineStr">
        <is>
          <t>두산에너빌리티</t>
        </is>
      </c>
      <c r="C521" t="inlineStr">
        <is>
          <t>034020</t>
        </is>
      </c>
      <c r="D521" t="inlineStr">
        <is>
          <t>연결</t>
        </is>
      </c>
      <c r="E521" t="inlineStr">
        <is>
          <t>2026Q2</t>
        </is>
      </c>
      <c r="F521" s="2" t="n">
        <v>4724808</v>
      </c>
      <c r="G521" t="n">
        <v>11</v>
      </c>
      <c r="H521" t="n">
        <v>3</v>
      </c>
      <c r="I521" s="2" t="n">
        <v>314260</v>
      </c>
      <c r="J521" t="n">
        <v>35</v>
      </c>
      <c r="K521" t="n">
        <v>16</v>
      </c>
      <c r="L521" s="2" t="n">
        <v>226368</v>
      </c>
      <c r="M521" t="n">
        <v>14</v>
      </c>
      <c r="N521" t="inlineStr">
        <is>
          <t>20260727800357</t>
        </is>
      </c>
      <c r="O521">
        <f>HYPERLINK("https://dart.fss.or.kr/dsaf001/main.do?rcpNo=20260727800357", "공시열람")</f>
        <v/>
      </c>
    </row>
    <row r="522">
      <c r="A522" t="inlineStr">
        <is>
          <t>2026-07-27</t>
        </is>
      </c>
      <c r="B522" t="inlineStr">
        <is>
          <t>LG이노텍</t>
        </is>
      </c>
      <c r="C522" t="inlineStr">
        <is>
          <t>011070</t>
        </is>
      </c>
      <c r="D522" t="inlineStr">
        <is>
          <t>연결</t>
        </is>
      </c>
      <c r="E522" t="inlineStr">
        <is>
          <t>2026Q2</t>
        </is>
      </c>
      <c r="F522" s="2" t="n">
        <v>5527241</v>
      </c>
      <c r="G522" t="n">
        <v>-0.1</v>
      </c>
      <c r="H522" t="n">
        <v>40.5</v>
      </c>
      <c r="I522" s="2" t="n">
        <v>245754</v>
      </c>
      <c r="J522" t="n">
        <v>-16.8</v>
      </c>
      <c r="K522" t="n">
        <v>2057.3</v>
      </c>
      <c r="L522" s="2" t="n">
        <v>169667</v>
      </c>
      <c r="M522" t="inlineStr"/>
      <c r="N522" t="inlineStr">
        <is>
          <t>20260727800269</t>
        </is>
      </c>
      <c r="O522">
        <f>HYPERLINK("https://dart.fss.or.kr/dsaf001/main.do?rcpNo=20260727800269", "공시열람")</f>
        <v/>
      </c>
    </row>
    <row r="523">
      <c r="A523" t="inlineStr">
        <is>
          <t>2026-07-27</t>
        </is>
      </c>
      <c r="B523" t="inlineStr">
        <is>
          <t>에스티팜</t>
        </is>
      </c>
      <c r="C523" t="inlineStr">
        <is>
          <t>237690</t>
        </is>
      </c>
      <c r="D523" t="inlineStr">
        <is>
          <t>연결</t>
        </is>
      </c>
      <c r="E523" t="inlineStr">
        <is>
          <t>2026Q2</t>
        </is>
      </c>
      <c r="F523" s="2" t="n">
        <v>108484</v>
      </c>
      <c r="G523" t="n">
        <v>62</v>
      </c>
      <c r="H523" t="n">
        <v>58.9</v>
      </c>
      <c r="I523" s="2" t="n">
        <v>18307</v>
      </c>
      <c r="J523" t="n">
        <v>58.8</v>
      </c>
      <c r="K523" t="n">
        <v>41.7</v>
      </c>
      <c r="L523" s="2" t="n">
        <v>13151</v>
      </c>
      <c r="M523" t="n">
        <v>145</v>
      </c>
      <c r="N523" t="inlineStr">
        <is>
          <t>20260727900237</t>
        </is>
      </c>
      <c r="O523">
        <f>HYPERLINK("https://dart.fss.or.kr/dsaf001/main.do?rcpNo=20260727900237", "공시열람")</f>
        <v/>
      </c>
    </row>
    <row r="524">
      <c r="A524" t="inlineStr">
        <is>
          <t>2026-07-27</t>
        </is>
      </c>
      <c r="B524" t="inlineStr">
        <is>
          <t>동아에스티</t>
        </is>
      </c>
      <c r="C524" t="inlineStr">
        <is>
          <t>170900</t>
        </is>
      </c>
      <c r="D524" t="inlineStr">
        <is>
          <t>별도</t>
        </is>
      </c>
      <c r="E524" t="inlineStr">
        <is>
          <t>2026Q2</t>
        </is>
      </c>
      <c r="F524" s="2" t="n">
        <v>207847</v>
      </c>
      <c r="G524" t="n">
        <v>11.1</v>
      </c>
      <c r="H524" t="n">
        <v>17.2</v>
      </c>
      <c r="I524" s="2" t="n">
        <v>10859</v>
      </c>
      <c r="J524" t="n">
        <v>0.8</v>
      </c>
      <c r="K524" t="n">
        <v>170.4</v>
      </c>
      <c r="L524" s="2" t="n">
        <v>8014</v>
      </c>
      <c r="M524" t="inlineStr"/>
      <c r="N524" t="inlineStr">
        <is>
          <t>20260727800235</t>
        </is>
      </c>
      <c r="O524">
        <f>HYPERLINK("https://dart.fss.or.kr/dsaf001/main.do?rcpNo=20260727800235", "공시열람")</f>
        <v/>
      </c>
    </row>
    <row r="525">
      <c r="A525" t="inlineStr">
        <is>
          <t>2026-07-27</t>
        </is>
      </c>
      <c r="B525" t="inlineStr">
        <is>
          <t>동아쏘시오홀딩스</t>
        </is>
      </c>
      <c r="C525" t="inlineStr">
        <is>
          <t>000640</t>
        </is>
      </c>
      <c r="D525" t="inlineStr">
        <is>
          <t>연결</t>
        </is>
      </c>
      <c r="E525" t="inlineStr">
        <is>
          <t>2026Q2</t>
        </is>
      </c>
      <c r="F525" s="2" t="n">
        <v>412392</v>
      </c>
      <c r="G525" t="n">
        <v>17.49</v>
      </c>
      <c r="H525" t="n">
        <v>18.88</v>
      </c>
      <c r="I525" s="2" t="n">
        <v>38959</v>
      </c>
      <c r="J525" t="n">
        <v>103.57</v>
      </c>
      <c r="K525" t="n">
        <v>38.35</v>
      </c>
      <c r="L525" s="2" t="inlineStr"/>
      <c r="M525" t="inlineStr"/>
      <c r="N525" t="inlineStr">
        <is>
          <t>20260727800240</t>
        </is>
      </c>
      <c r="O525">
        <f>HYPERLINK("https://dart.fss.or.kr/dsaf001/main.do?rcpNo=20260727800240", "공시열람")</f>
        <v/>
      </c>
    </row>
    <row r="526">
      <c r="A526" t="inlineStr">
        <is>
          <t>2026-07-27</t>
        </is>
      </c>
      <c r="B526" t="inlineStr">
        <is>
          <t>한화오션</t>
        </is>
      </c>
      <c r="C526" t="inlineStr">
        <is>
          <t>042660</t>
        </is>
      </c>
      <c r="D526" t="inlineStr">
        <is>
          <t>연결</t>
        </is>
      </c>
      <c r="E526" t="inlineStr">
        <is>
          <t>2026Q2</t>
        </is>
      </c>
      <c r="F526" s="2" t="n">
        <v>5443200</v>
      </c>
      <c r="G526" t="n">
        <v>69.59999999999999</v>
      </c>
      <c r="H526" t="n">
        <v>65.2</v>
      </c>
      <c r="I526" s="2" t="n">
        <v>736100</v>
      </c>
      <c r="J526" t="n">
        <v>66.90000000000001</v>
      </c>
      <c r="K526" t="n">
        <v>98</v>
      </c>
      <c r="L526" s="2" t="n">
        <v>692600</v>
      </c>
      <c r="M526" t="n">
        <v>366.4</v>
      </c>
      <c r="N526" t="inlineStr">
        <is>
          <t>20260727800227</t>
        </is>
      </c>
      <c r="O526">
        <f>HYPERLINK("https://dart.fss.or.kr/dsaf001/main.do?rcpNo=20260727800227", "공시열람")</f>
        <v/>
      </c>
    </row>
    <row r="527">
      <c r="A527" t="inlineStr">
        <is>
          <t>2026-07-27</t>
        </is>
      </c>
      <c r="B527" t="inlineStr">
        <is>
          <t>SKC</t>
        </is>
      </c>
      <c r="C527" t="inlineStr">
        <is>
          <t>011790</t>
        </is>
      </c>
      <c r="D527" t="inlineStr">
        <is>
          <t>연결</t>
        </is>
      </c>
      <c r="E527" t="inlineStr">
        <is>
          <t>2026Q2</t>
        </is>
      </c>
      <c r="F527" s="2" t="n">
        <v>645400</v>
      </c>
      <c r="G527" t="n">
        <v>30</v>
      </c>
      <c r="H527" t="n">
        <v>38.3</v>
      </c>
      <c r="I527" s="2" t="n">
        <v>-14400</v>
      </c>
      <c r="J527" t="n">
        <v>49.8</v>
      </c>
      <c r="K527" t="n">
        <v>79</v>
      </c>
      <c r="L527" s="2" t="n">
        <v>-82200</v>
      </c>
      <c r="M527" t="n">
        <v>-1955</v>
      </c>
      <c r="N527" t="inlineStr">
        <is>
          <t>20260727800223</t>
        </is>
      </c>
      <c r="O527">
        <f>HYPERLINK("https://dart.fss.or.kr/dsaf001/main.do?rcpNo=20260727800223", "공시열람")</f>
        <v/>
      </c>
    </row>
    <row r="528">
      <c r="A528" t="inlineStr">
        <is>
          <t>2026-07-27</t>
        </is>
      </c>
      <c r="B528" t="inlineStr">
        <is>
          <t>한솔테크닉스</t>
        </is>
      </c>
      <c r="C528" t="inlineStr">
        <is>
          <t>004710</t>
        </is>
      </c>
      <c r="D528" t="inlineStr">
        <is>
          <t>연결</t>
        </is>
      </c>
      <c r="E528" t="inlineStr">
        <is>
          <t>2026Q2</t>
        </is>
      </c>
      <c r="F528" s="2" t="n">
        <v>335111</v>
      </c>
      <c r="G528" t="n">
        <v>6.1</v>
      </c>
      <c r="H528" t="n">
        <v>14.1</v>
      </c>
      <c r="I528" s="2" t="n">
        <v>14233</v>
      </c>
      <c r="J528" t="n">
        <v>0.9</v>
      </c>
      <c r="K528" t="n">
        <v>11.3</v>
      </c>
      <c r="L528" s="2" t="n">
        <v>10676</v>
      </c>
      <c r="M528" t="n">
        <v>25.6</v>
      </c>
      <c r="N528" t="inlineStr">
        <is>
          <t>20260727800208</t>
        </is>
      </c>
      <c r="O528">
        <f>HYPERLINK("https://dart.fss.or.kr/dsaf001/main.do?rcpNo=20260727800208", "공시열람")</f>
        <v/>
      </c>
    </row>
    <row r="529">
      <c r="A529" t="inlineStr">
        <is>
          <t>2026-07-27</t>
        </is>
      </c>
      <c r="B529" t="inlineStr">
        <is>
          <t>삼성카드</t>
        </is>
      </c>
      <c r="C529" t="inlineStr">
        <is>
          <t>029780</t>
        </is>
      </c>
      <c r="D529" t="inlineStr">
        <is>
          <t>연결</t>
        </is>
      </c>
      <c r="E529" t="inlineStr">
        <is>
          <t>2026Q2</t>
        </is>
      </c>
      <c r="F529" s="2" t="n">
        <v>1177500</v>
      </c>
      <c r="G529" t="n">
        <v>-8.4</v>
      </c>
      <c r="H529" t="n">
        <v>-6.3</v>
      </c>
      <c r="I529" s="2" t="n">
        <v>208600</v>
      </c>
      <c r="J529" t="n">
        <v>-0.7</v>
      </c>
      <c r="K529" t="n">
        <v>4.1</v>
      </c>
      <c r="L529" s="2" t="n">
        <v>154200</v>
      </c>
      <c r="M529" t="n">
        <v>2</v>
      </c>
      <c r="N529" t="inlineStr">
        <is>
          <t>20260727800185</t>
        </is>
      </c>
      <c r="O529">
        <f>HYPERLINK("https://dart.fss.or.kr/dsaf001/main.do?rcpNo=20260727800185", "공시열람")</f>
        <v/>
      </c>
    </row>
    <row r="530">
      <c r="A530" t="inlineStr">
        <is>
          <t>2026-07-27</t>
        </is>
      </c>
      <c r="B530" t="inlineStr">
        <is>
          <t>도이치모터스</t>
        </is>
      </c>
      <c r="C530" t="inlineStr">
        <is>
          <t>067990</t>
        </is>
      </c>
      <c r="D530" t="inlineStr">
        <is>
          <t>연결</t>
        </is>
      </c>
      <c r="E530" t="inlineStr">
        <is>
          <t>2026Q2</t>
        </is>
      </c>
      <c r="F530" s="2" t="n">
        <v>710941</v>
      </c>
      <c r="G530" t="n">
        <v>11.54</v>
      </c>
      <c r="H530" t="n">
        <v>8.56</v>
      </c>
      <c r="I530" s="2" t="n">
        <v>12907</v>
      </c>
      <c r="J530" t="n">
        <v>23.57</v>
      </c>
      <c r="K530" t="n">
        <v>-5.99</v>
      </c>
      <c r="L530" s="2" t="n">
        <v>2980</v>
      </c>
      <c r="M530" t="n">
        <v>4.26</v>
      </c>
      <c r="N530" t="inlineStr">
        <is>
          <t>20260727900092</t>
        </is>
      </c>
      <c r="O530">
        <f>HYPERLINK("https://dart.fss.or.kr/dsaf001/main.do?rcpNo=20260727900092", "공시열람")</f>
        <v/>
      </c>
    </row>
    <row r="531">
      <c r="A531" t="inlineStr">
        <is>
          <t>2026-07-27</t>
        </is>
      </c>
      <c r="B531" t="inlineStr">
        <is>
          <t>NI스틸</t>
        </is>
      </c>
      <c r="C531" t="inlineStr">
        <is>
          <t>008260</t>
        </is>
      </c>
      <c r="D531" t="inlineStr">
        <is>
          <t>별도</t>
        </is>
      </c>
      <c r="E531" t="inlineStr">
        <is>
          <t>2026Q2</t>
        </is>
      </c>
      <c r="F531" s="2" t="n">
        <v>76243</v>
      </c>
      <c r="G531" t="n">
        <v>34.65</v>
      </c>
      <c r="H531" t="n">
        <v>20.99</v>
      </c>
      <c r="I531" s="2" t="n">
        <v>7838</v>
      </c>
      <c r="J531" t="n">
        <v>20.6</v>
      </c>
      <c r="K531" t="n">
        <v>4.2</v>
      </c>
      <c r="L531" s="2" t="n">
        <v>4853</v>
      </c>
      <c r="M531" t="n">
        <v>-5.62</v>
      </c>
      <c r="N531" t="inlineStr">
        <is>
          <t>20260727800108</t>
        </is>
      </c>
      <c r="O531">
        <f>HYPERLINK("https://dart.fss.or.kr/dsaf001/main.do?rcpNo=20260727800108", "공시열람")</f>
        <v/>
      </c>
    </row>
    <row r="532">
      <c r="A532" t="inlineStr">
        <is>
          <t>2026-07-27</t>
        </is>
      </c>
      <c r="B532" t="inlineStr">
        <is>
          <t>바이오포트</t>
        </is>
      </c>
      <c r="C532" t="inlineStr">
        <is>
          <t>188040</t>
        </is>
      </c>
      <c r="D532" t="inlineStr">
        <is>
          <t>연결</t>
        </is>
      </c>
      <c r="E532" t="inlineStr">
        <is>
          <t>2026Q2</t>
        </is>
      </c>
      <c r="F532" s="2" t="n">
        <v>21804</v>
      </c>
      <c r="G532" t="n">
        <v>1.9</v>
      </c>
      <c r="H532" t="n">
        <v>13.4</v>
      </c>
      <c r="I532" s="2" t="n">
        <v>1526</v>
      </c>
      <c r="J532" t="n">
        <v>99.40000000000001</v>
      </c>
      <c r="K532" t="n">
        <v>104.2</v>
      </c>
      <c r="L532" s="2" t="n">
        <v>1683</v>
      </c>
      <c r="M532" t="inlineStr"/>
      <c r="N532" t="inlineStr">
        <is>
          <t>20260727900116</t>
        </is>
      </c>
      <c r="O532">
        <f>HYPERLINK("https://dart.fss.or.kr/dsaf001/main.do?rcpNo=20260727900116", "공시열람")</f>
        <v/>
      </c>
    </row>
    <row r="533">
      <c r="A533" t="inlineStr">
        <is>
          <t>2026-07-27</t>
        </is>
      </c>
      <c r="B533" t="inlineStr">
        <is>
          <t>동양생명</t>
        </is>
      </c>
      <c r="C533" t="inlineStr">
        <is>
          <t>082640</t>
        </is>
      </c>
      <c r="D533" t="inlineStr">
        <is>
          <t>연결</t>
        </is>
      </c>
      <c r="E533" t="inlineStr">
        <is>
          <t>2026Q2</t>
        </is>
      </c>
      <c r="F533" s="2" t="n">
        <v>1378872</v>
      </c>
      <c r="G533" t="n">
        <v>23.35</v>
      </c>
      <c r="H533" t="n">
        <v>25.74</v>
      </c>
      <c r="I533" s="2" t="n">
        <v>86840</v>
      </c>
      <c r="J533" t="n">
        <v>179.19</v>
      </c>
      <c r="K533" t="n">
        <v>109.81</v>
      </c>
      <c r="L533" s="2" t="n">
        <v>66906</v>
      </c>
      <c r="M533" t="n">
        <v>84.73</v>
      </c>
      <c r="N533" t="inlineStr">
        <is>
          <t>20260727800118</t>
        </is>
      </c>
      <c r="O533">
        <f>HYPERLINK("https://dart.fss.or.kr/dsaf001/main.do?rcpNo=20260727800118", "공시열람")</f>
        <v/>
      </c>
    </row>
    <row r="534">
      <c r="A534" t="inlineStr">
        <is>
          <t>2026-07-27</t>
        </is>
      </c>
      <c r="B534" t="inlineStr">
        <is>
          <t>ISC</t>
        </is>
      </c>
      <c r="C534" t="inlineStr">
        <is>
          <t>095340</t>
        </is>
      </c>
      <c r="D534" t="inlineStr">
        <is>
          <t>연결</t>
        </is>
      </c>
      <c r="E534" t="inlineStr">
        <is>
          <t>2026Q2</t>
        </is>
      </c>
      <c r="F534" s="2" t="n">
        <v>72929</v>
      </c>
      <c r="G534" t="n">
        <v>6.8</v>
      </c>
      <c r="H534" t="n">
        <v>41.2</v>
      </c>
      <c r="I534" s="2" t="n">
        <v>21321</v>
      </c>
      <c r="J534" t="n">
        <v>-9.699999999999999</v>
      </c>
      <c r="K534" t="n">
        <v>55.5</v>
      </c>
      <c r="L534" s="2" t="n">
        <v>19392</v>
      </c>
      <c r="M534" t="n">
        <v>67.90000000000001</v>
      </c>
      <c r="N534" t="inlineStr">
        <is>
          <t>20260727900088</t>
        </is>
      </c>
      <c r="O534">
        <f>HYPERLINK("https://dart.fss.or.kr/dsaf001/main.do?rcpNo=20260727900088", "공시열람")</f>
        <v/>
      </c>
    </row>
    <row r="535">
      <c r="A535" t="inlineStr">
        <is>
          <t>2026-07-27</t>
        </is>
      </c>
      <c r="B535" t="inlineStr">
        <is>
          <t>RF시스템즈</t>
        </is>
      </c>
      <c r="C535" t="inlineStr">
        <is>
          <t>474610</t>
        </is>
      </c>
      <c r="D535" t="inlineStr">
        <is>
          <t>별도</t>
        </is>
      </c>
      <c r="E535" t="inlineStr">
        <is>
          <t>2026Q2</t>
        </is>
      </c>
      <c r="F535" s="2" t="n">
        <v>11584</v>
      </c>
      <c r="G535" t="n">
        <v>15.79</v>
      </c>
      <c r="H535" t="n">
        <v>11.39</v>
      </c>
      <c r="I535" s="2" t="n">
        <v>1666</v>
      </c>
      <c r="J535" t="n">
        <v>48.46</v>
      </c>
      <c r="K535" t="n">
        <v>5.28</v>
      </c>
      <c r="L535" s="2" t="n">
        <v>2100</v>
      </c>
      <c r="M535" t="n">
        <v>8.49</v>
      </c>
      <c r="N535" t="inlineStr">
        <is>
          <t>20260727900094</t>
        </is>
      </c>
      <c r="O535">
        <f>HYPERLINK("https://dart.fss.or.kr/dsaf001/main.do?rcpNo=20260727900094", "공시열람")</f>
        <v/>
      </c>
    </row>
    <row r="536">
      <c r="A536" t="inlineStr">
        <is>
          <t>2026-07-27</t>
        </is>
      </c>
      <c r="B536" t="inlineStr">
        <is>
          <t>HDC랩스</t>
        </is>
      </c>
      <c r="C536" t="inlineStr">
        <is>
          <t>039570</t>
        </is>
      </c>
      <c r="D536" t="inlineStr">
        <is>
          <t>연결</t>
        </is>
      </c>
      <c r="E536" t="inlineStr">
        <is>
          <t>2026Q2</t>
        </is>
      </c>
      <c r="F536" s="2" t="n">
        <v>153733</v>
      </c>
      <c r="G536" t="n">
        <v>3.8</v>
      </c>
      <c r="H536" t="n">
        <v>-9.199999999999999</v>
      </c>
      <c r="I536" s="2" t="n">
        <v>5840</v>
      </c>
      <c r="J536" t="n">
        <v>-18.8</v>
      </c>
      <c r="K536" t="n">
        <v>58.8</v>
      </c>
      <c r="L536" s="2" t="n">
        <v>6914</v>
      </c>
      <c r="M536" t="n">
        <v>65.09999999999999</v>
      </c>
      <c r="N536" t="inlineStr">
        <is>
          <t>20260727800084</t>
        </is>
      </c>
      <c r="O536">
        <f>HYPERLINK("https://dart.fss.or.kr/dsaf001/main.do?rcpNo=20260727800084", "공시열람")</f>
        <v/>
      </c>
    </row>
    <row r="537">
      <c r="A537" t="inlineStr">
        <is>
          <t>2026-07-27</t>
        </is>
      </c>
      <c r="B537" t="inlineStr">
        <is>
          <t>셀트리온</t>
        </is>
      </c>
      <c r="C537" t="inlineStr">
        <is>
          <t>068270</t>
        </is>
      </c>
      <c r="D537" t="inlineStr">
        <is>
          <t>연결</t>
        </is>
      </c>
      <c r="E537" t="inlineStr">
        <is>
          <t>2026Q2</t>
        </is>
      </c>
      <c r="F537" s="2" t="n">
        <v>1393700</v>
      </c>
      <c r="G537" t="n">
        <v>21.72</v>
      </c>
      <c r="H537" t="n">
        <v>44.95</v>
      </c>
      <c r="I537" s="2" t="n">
        <v>451800</v>
      </c>
      <c r="J537" t="n">
        <v>40.35</v>
      </c>
      <c r="K537" t="n">
        <v>86.31</v>
      </c>
      <c r="L537" s="2" t="n">
        <v>371300</v>
      </c>
      <c r="M537" t="n">
        <v>486.57</v>
      </c>
      <c r="N537" t="inlineStr">
        <is>
          <t>20260727800078</t>
        </is>
      </c>
      <c r="O537">
        <f>HYPERLINK("https://dart.fss.or.kr/dsaf001/main.do?rcpNo=20260727800078", "공시열람")</f>
        <v/>
      </c>
    </row>
    <row r="538">
      <c r="A538" t="inlineStr">
        <is>
          <t>2026-07-27</t>
        </is>
      </c>
      <c r="B538" t="inlineStr">
        <is>
          <t>블루엠텍</t>
        </is>
      </c>
      <c r="C538" t="inlineStr">
        <is>
          <t>439580</t>
        </is>
      </c>
      <c r="D538" t="inlineStr">
        <is>
          <t>연결</t>
        </is>
      </c>
      <c r="E538" t="inlineStr">
        <is>
          <t>2026Q2</t>
        </is>
      </c>
      <c r="F538" s="2" t="n">
        <v>54967</v>
      </c>
      <c r="G538" t="n">
        <v>24.8</v>
      </c>
      <c r="H538" t="n">
        <v>20.4</v>
      </c>
      <c r="I538" s="2" t="n">
        <v>182</v>
      </c>
      <c r="J538" t="inlineStr"/>
      <c r="K538" t="inlineStr"/>
      <c r="L538" s="2" t="n">
        <v>1969</v>
      </c>
      <c r="M538" t="inlineStr"/>
      <c r="N538" t="inlineStr">
        <is>
          <t>20260727900065</t>
        </is>
      </c>
      <c r="O538">
        <f>HYPERLINK("https://dart.fss.or.kr/dsaf001/main.do?rcpNo=20260727900065", "공시열람")</f>
        <v/>
      </c>
    </row>
    <row r="539">
      <c r="A539" t="inlineStr">
        <is>
          <t>2026-07-24</t>
        </is>
      </c>
      <c r="B539" t="inlineStr">
        <is>
          <t>제일기획</t>
        </is>
      </c>
      <c r="C539" t="inlineStr">
        <is>
          <t>030000</t>
        </is>
      </c>
      <c r="D539" t="inlineStr">
        <is>
          <t>연결</t>
        </is>
      </c>
      <c r="E539" t="inlineStr">
        <is>
          <t>2026Q2</t>
        </is>
      </c>
      <c r="F539" s="2" t="n">
        <v>1074518</v>
      </c>
      <c r="G539" t="n">
        <v>5.6</v>
      </c>
      <c r="H539" t="n">
        <v>-3.96</v>
      </c>
      <c r="I539" s="2" t="n">
        <v>92694</v>
      </c>
      <c r="J539" t="n">
        <v>153.89</v>
      </c>
      <c r="K539" t="n">
        <v>0.63</v>
      </c>
      <c r="L539" s="2" t="n">
        <v>63537</v>
      </c>
      <c r="M539" t="n">
        <v>23.99</v>
      </c>
      <c r="N539" t="inlineStr">
        <is>
          <t>20260724800217</t>
        </is>
      </c>
      <c r="O539">
        <f>HYPERLINK("https://dart.fss.or.kr/dsaf001/main.do?rcpNo=20260724800217", "공시열람")</f>
        <v/>
      </c>
    </row>
    <row r="540">
      <c r="A540" t="inlineStr">
        <is>
          <t>2026-07-24</t>
        </is>
      </c>
      <c r="B540" t="inlineStr">
        <is>
          <t>현대위아</t>
        </is>
      </c>
      <c r="C540" t="inlineStr">
        <is>
          <t>011210</t>
        </is>
      </c>
      <c r="D540" t="inlineStr">
        <is>
          <t>연결</t>
        </is>
      </c>
      <c r="E540" t="inlineStr">
        <is>
          <t>2026Q2</t>
        </is>
      </c>
      <c r="F540" s="2" t="n">
        <v>2353744</v>
      </c>
      <c r="G540" t="n">
        <v>8</v>
      </c>
      <c r="H540" t="n">
        <v>8</v>
      </c>
      <c r="I540" s="2" t="n">
        <v>50386</v>
      </c>
      <c r="J540" t="n">
        <v>-2.3</v>
      </c>
      <c r="K540" t="n">
        <v>-10.6</v>
      </c>
      <c r="L540" s="2" t="n">
        <v>50579</v>
      </c>
      <c r="M540" t="n">
        <v>192.1</v>
      </c>
      <c r="N540" t="inlineStr">
        <is>
          <t>20260724800478</t>
        </is>
      </c>
      <c r="O540">
        <f>HYPERLINK("https://dart.fss.or.kr/dsaf001/main.do?rcpNo=20260724800478", "공시열람")</f>
        <v/>
      </c>
    </row>
    <row r="541">
      <c r="A541" t="inlineStr">
        <is>
          <t>2026-07-24</t>
        </is>
      </c>
      <c r="B541" t="inlineStr">
        <is>
          <t>삼성에피스홀딩스</t>
        </is>
      </c>
      <c r="C541" t="inlineStr">
        <is>
          <t>0126Z0</t>
        </is>
      </c>
      <c r="D541" t="inlineStr">
        <is>
          <t>연결</t>
        </is>
      </c>
      <c r="E541" t="inlineStr">
        <is>
          <t>2026Q2</t>
        </is>
      </c>
      <c r="F541" s="2" t="n">
        <v>391893</v>
      </c>
      <c r="G541" t="n">
        <v>-13.7</v>
      </c>
      <c r="H541" t="inlineStr"/>
      <c r="I541" s="2" t="n">
        <v>58737</v>
      </c>
      <c r="J541" t="n">
        <v>-35.1</v>
      </c>
      <c r="K541" t="inlineStr"/>
      <c r="L541" s="2" t="n">
        <v>85809</v>
      </c>
      <c r="M541" t="inlineStr"/>
      <c r="N541" t="inlineStr">
        <is>
          <t>20260724800532</t>
        </is>
      </c>
      <c r="O541">
        <f>HYPERLINK("https://dart.fss.or.kr/dsaf001/main.do?rcpNo=20260724800532", "공시열람")</f>
        <v/>
      </c>
    </row>
    <row r="542">
      <c r="A542" t="inlineStr">
        <is>
          <t>2026-07-24</t>
        </is>
      </c>
      <c r="B542" t="inlineStr">
        <is>
          <t>삼성에피스홀딩스</t>
        </is>
      </c>
      <c r="C542" t="inlineStr">
        <is>
          <t>0126Z0</t>
        </is>
      </c>
      <c r="D542" t="inlineStr">
        <is>
          <t>연결</t>
        </is>
      </c>
      <c r="E542" t="inlineStr">
        <is>
          <t>2026Q2</t>
        </is>
      </c>
      <c r="F542" s="2" t="n">
        <v>392154</v>
      </c>
      <c r="G542" t="n">
        <v>-13.8</v>
      </c>
      <c r="H542" t="n">
        <v>-2.2</v>
      </c>
      <c r="I542" s="2" t="n">
        <v>86564</v>
      </c>
      <c r="J542" t="n">
        <v>-39.9</v>
      </c>
      <c r="K542" t="n">
        <v>-3.6</v>
      </c>
      <c r="L542" s="2" t="n">
        <v>106733</v>
      </c>
      <c r="M542" t="n">
        <v>72.09999999999999</v>
      </c>
      <c r="N542" t="inlineStr">
        <is>
          <t>20260724800526</t>
        </is>
      </c>
      <c r="O542">
        <f>HYPERLINK("https://dart.fss.or.kr/dsaf001/main.do?rcpNo=20260724800526", "공시열람")</f>
        <v/>
      </c>
    </row>
    <row r="543">
      <c r="A543" t="inlineStr">
        <is>
          <t>2026-07-24</t>
        </is>
      </c>
      <c r="B543" t="inlineStr">
        <is>
          <t>우리금융지주</t>
        </is>
      </c>
      <c r="C543" t="inlineStr">
        <is>
          <t>316140</t>
        </is>
      </c>
      <c r="D543" t="inlineStr">
        <is>
          <t>연결</t>
        </is>
      </c>
      <c r="E543" t="inlineStr">
        <is>
          <t>2026Q2</t>
        </is>
      </c>
      <c r="F543" s="2" t="n">
        <v>9187787</v>
      </c>
      <c r="G543" t="n">
        <v>-23.44</v>
      </c>
      <c r="H543" t="n">
        <v>-25.03</v>
      </c>
      <c r="I543" s="2" t="n">
        <v>1082853</v>
      </c>
      <c r="J543" t="n">
        <v>63.1</v>
      </c>
      <c r="K543" t="n">
        <v>-1.7</v>
      </c>
      <c r="L543" s="2" t="n">
        <v>842782</v>
      </c>
      <c r="M543" t="n">
        <v>-8.06</v>
      </c>
      <c r="N543" t="inlineStr">
        <is>
          <t>20260724800494</t>
        </is>
      </c>
      <c r="O543">
        <f>HYPERLINK("https://dart.fss.or.kr/dsaf001/main.do?rcpNo=20260724800494", "공시열람")</f>
        <v/>
      </c>
    </row>
    <row r="544">
      <c r="A544" t="inlineStr">
        <is>
          <t>2026-07-24</t>
        </is>
      </c>
      <c r="B544" t="inlineStr">
        <is>
          <t>우리금융지주</t>
        </is>
      </c>
      <c r="C544" t="inlineStr">
        <is>
          <t>316140</t>
        </is>
      </c>
      <c r="D544" t="inlineStr">
        <is>
          <t>연결</t>
        </is>
      </c>
      <c r="E544" t="inlineStr">
        <is>
          <t>2026Q2</t>
        </is>
      </c>
      <c r="F544" s="2" t="n">
        <v>13165152</v>
      </c>
      <c r="G544" t="n">
        <v>-13.85</v>
      </c>
      <c r="H544" t="n">
        <v>-2.98</v>
      </c>
      <c r="I544" s="2" t="n">
        <v>1315751</v>
      </c>
      <c r="J544" t="n">
        <v>62.81</v>
      </c>
      <c r="K544" t="n">
        <v>18.7</v>
      </c>
      <c r="L544" s="2" t="n">
        <v>1026539</v>
      </c>
      <c r="M544" t="n">
        <v>9.24</v>
      </c>
      <c r="N544" t="inlineStr">
        <is>
          <t>20260724800491</t>
        </is>
      </c>
      <c r="O544">
        <f>HYPERLINK("https://dart.fss.or.kr/dsaf001/main.do?rcpNo=20260724800491", "공시열람")</f>
        <v/>
      </c>
    </row>
    <row r="545">
      <c r="A545" t="inlineStr">
        <is>
          <t>2026-07-24</t>
        </is>
      </c>
      <c r="B545" t="inlineStr">
        <is>
          <t>삼성중공업</t>
        </is>
      </c>
      <c r="C545" t="inlineStr">
        <is>
          <t>010140</t>
        </is>
      </c>
      <c r="D545" t="inlineStr">
        <is>
          <t>연결</t>
        </is>
      </c>
      <c r="E545" t="inlineStr">
        <is>
          <t>2026Q2</t>
        </is>
      </c>
      <c r="F545" s="2" t="n">
        <v>3230700</v>
      </c>
      <c r="G545" t="n">
        <v>11.3</v>
      </c>
      <c r="H545" t="n">
        <v>20.4</v>
      </c>
      <c r="I545" s="2" t="n">
        <v>325000</v>
      </c>
      <c r="J545" t="n">
        <v>19</v>
      </c>
      <c r="K545" t="n">
        <v>58.7</v>
      </c>
      <c r="L545" s="2" t="n">
        <v>222800</v>
      </c>
      <c r="M545" t="n">
        <v>4.9</v>
      </c>
      <c r="N545" t="inlineStr">
        <is>
          <t>20260724800489</t>
        </is>
      </c>
      <c r="O545">
        <f>HYPERLINK("https://dart.fss.or.kr/dsaf001/main.do?rcpNo=20260724800489", "공시열람")</f>
        <v/>
      </c>
    </row>
    <row r="546">
      <c r="A546" t="inlineStr">
        <is>
          <t>2026-07-24</t>
        </is>
      </c>
      <c r="B546" t="inlineStr">
        <is>
          <t>기아</t>
        </is>
      </c>
      <c r="C546" t="inlineStr">
        <is>
          <t>000270</t>
        </is>
      </c>
      <c r="D546" t="inlineStr">
        <is>
          <t>연결</t>
        </is>
      </c>
      <c r="E546" t="inlineStr">
        <is>
          <t>2026Q2</t>
        </is>
      </c>
      <c r="F546" s="2" t="n">
        <v>33037055</v>
      </c>
      <c r="G546" t="n">
        <v>12</v>
      </c>
      <c r="H546" t="n">
        <v>12.6</v>
      </c>
      <c r="I546" s="2" t="n">
        <v>2628559</v>
      </c>
      <c r="J546" t="n">
        <v>19.2</v>
      </c>
      <c r="K546" t="n">
        <v>-4.9</v>
      </c>
      <c r="L546" s="2" t="n">
        <v>2327742</v>
      </c>
      <c r="M546" t="n">
        <v>2.6</v>
      </c>
      <c r="N546" t="inlineStr">
        <is>
          <t>20260724800340</t>
        </is>
      </c>
      <c r="O546">
        <f>HYPERLINK("https://dart.fss.or.kr/dsaf001/main.do?rcpNo=20260724800340", "공시열람")</f>
        <v/>
      </c>
    </row>
    <row r="547">
      <c r="A547" t="inlineStr">
        <is>
          <t>2026-07-24</t>
        </is>
      </c>
      <c r="B547" t="inlineStr">
        <is>
          <t>하나금융지주</t>
        </is>
      </c>
      <c r="C547" t="inlineStr">
        <is>
          <t>086790</t>
        </is>
      </c>
      <c r="D547" t="inlineStr">
        <is>
          <t>연결</t>
        </is>
      </c>
      <c r="E547" t="inlineStr">
        <is>
          <t>2026Q2</t>
        </is>
      </c>
      <c r="F547" s="2" t="n">
        <v>11715844</v>
      </c>
      <c r="G547" t="n">
        <v>35.09</v>
      </c>
      <c r="H547" t="n">
        <v>164.02</v>
      </c>
      <c r="I547" s="2" t="n">
        <v>203673</v>
      </c>
      <c r="J547" t="n">
        <v>43.79</v>
      </c>
      <c r="K547" t="n">
        <v>783.27</v>
      </c>
      <c r="L547" s="2" t="n">
        <v>168746</v>
      </c>
      <c r="M547" t="n">
        <v>442.14</v>
      </c>
      <c r="N547" t="inlineStr">
        <is>
          <t>20260724800407</t>
        </is>
      </c>
      <c r="O547">
        <f>HYPERLINK("https://dart.fss.or.kr/dsaf001/main.do?rcpNo=20260724800407", "공시열람")</f>
        <v/>
      </c>
    </row>
    <row r="548">
      <c r="A548" t="inlineStr">
        <is>
          <t>2026-07-24</t>
        </is>
      </c>
      <c r="B548" t="inlineStr">
        <is>
          <t>하나금융지주</t>
        </is>
      </c>
      <c r="C548" t="inlineStr">
        <is>
          <t>086790</t>
        </is>
      </c>
      <c r="D548" t="inlineStr">
        <is>
          <t>연결</t>
        </is>
      </c>
      <c r="E548" t="inlineStr">
        <is>
          <t>2026Q2</t>
        </is>
      </c>
      <c r="F548" s="2" t="n">
        <v>13640336</v>
      </c>
      <c r="G548" t="n">
        <v>-26.71</v>
      </c>
      <c r="H548" t="n">
        <v>-23.66</v>
      </c>
      <c r="I548" s="2" t="n">
        <v>1327205</v>
      </c>
      <c r="J548" t="n">
        <v>-7.98</v>
      </c>
      <c r="K548" t="n">
        <v>-4.35</v>
      </c>
      <c r="L548" s="2" t="n">
        <v>1021285</v>
      </c>
      <c r="M548" t="n">
        <v>-6.87</v>
      </c>
      <c r="N548" t="inlineStr">
        <is>
          <t>20260724800403</t>
        </is>
      </c>
      <c r="O548">
        <f>HYPERLINK("https://dart.fss.or.kr/dsaf001/main.do?rcpNo=20260724800403", "공시열람")</f>
        <v/>
      </c>
    </row>
    <row r="549">
      <c r="A549" t="inlineStr">
        <is>
          <t>2026-07-24</t>
        </is>
      </c>
      <c r="B549" t="inlineStr">
        <is>
          <t>하나금융지주</t>
        </is>
      </c>
      <c r="C549" t="inlineStr">
        <is>
          <t>086790</t>
        </is>
      </c>
      <c r="D549" t="inlineStr">
        <is>
          <t>연결</t>
        </is>
      </c>
      <c r="E549" t="inlineStr">
        <is>
          <t>2026Q2</t>
        </is>
      </c>
      <c r="F549" s="2" t="n">
        <v>27258944</v>
      </c>
      <c r="G549" t="n">
        <v>-6.02</v>
      </c>
      <c r="H549" t="n">
        <v>13.67</v>
      </c>
      <c r="I549" s="2" t="n">
        <v>1594384</v>
      </c>
      <c r="J549" t="n">
        <v>-3.58</v>
      </c>
      <c r="K549" t="n">
        <v>6.77</v>
      </c>
      <c r="L549" s="2" t="n">
        <v>1206086</v>
      </c>
      <c r="M549" t="n">
        <v>1.8</v>
      </c>
      <c r="N549" t="inlineStr">
        <is>
          <t>20260724800401</t>
        </is>
      </c>
      <c r="O549">
        <f>HYPERLINK("https://dart.fss.or.kr/dsaf001/main.do?rcpNo=20260724800401", "공시열람")</f>
        <v/>
      </c>
    </row>
    <row r="550">
      <c r="A550" t="inlineStr">
        <is>
          <t>2026-07-24</t>
        </is>
      </c>
      <c r="B550" t="inlineStr">
        <is>
          <t>두산퓨얼셀</t>
        </is>
      </c>
      <c r="C550" t="inlineStr">
        <is>
          <t>336260</t>
        </is>
      </c>
      <c r="D550" t="inlineStr">
        <is>
          <t>연결</t>
        </is>
      </c>
      <c r="E550" t="inlineStr">
        <is>
          <t>2026Q2</t>
        </is>
      </c>
      <c r="F550" s="2" t="n">
        <v>44259</v>
      </c>
      <c r="G550" t="n">
        <v>-69.40000000000001</v>
      </c>
      <c r="H550" t="n">
        <v>-65.5</v>
      </c>
      <c r="I550" s="2" t="n">
        <v>-50914</v>
      </c>
      <c r="J550" t="n">
        <v>-3843.1</v>
      </c>
      <c r="K550" t="n">
        <v>-2559.6</v>
      </c>
      <c r="L550" s="2" t="n">
        <v>-55598</v>
      </c>
      <c r="M550" t="n">
        <v>-2055.9</v>
      </c>
      <c r="N550" t="inlineStr">
        <is>
          <t>20260724800675</t>
        </is>
      </c>
      <c r="O550">
        <f>HYPERLINK("https://dart.fss.or.kr/dsaf001/main.do?rcpNo=20260724800675", "공시열람")</f>
        <v/>
      </c>
    </row>
    <row r="551">
      <c r="A551" t="inlineStr">
        <is>
          <t>2026-07-24</t>
        </is>
      </c>
      <c r="B551" t="inlineStr">
        <is>
          <t>HD현대에너지솔루션</t>
        </is>
      </c>
      <c r="C551" t="inlineStr">
        <is>
          <t>322000</t>
        </is>
      </c>
      <c r="D551" t="inlineStr">
        <is>
          <t>연결</t>
        </is>
      </c>
      <c r="E551" t="inlineStr">
        <is>
          <t>2026Q2</t>
        </is>
      </c>
      <c r="F551" s="2" t="n">
        <v>165037</v>
      </c>
      <c r="G551" t="n">
        <v>3.2</v>
      </c>
      <c r="H551" t="n">
        <v>23.4</v>
      </c>
      <c r="I551" s="2" t="n">
        <v>36115</v>
      </c>
      <c r="J551" t="n">
        <v>24.4</v>
      </c>
      <c r="K551" t="n">
        <v>139.8</v>
      </c>
      <c r="L551" s="2" t="n">
        <v>30745</v>
      </c>
      <c r="M551" t="n">
        <v>169.8</v>
      </c>
      <c r="N551" t="inlineStr">
        <is>
          <t>20260724800306</t>
        </is>
      </c>
      <c r="O551">
        <f>HYPERLINK("https://dart.fss.or.kr/dsaf001/main.do?rcpNo=20260724800306", "공시열람")</f>
        <v/>
      </c>
    </row>
    <row r="552">
      <c r="A552" t="inlineStr">
        <is>
          <t>2026-07-24</t>
        </is>
      </c>
      <c r="B552" t="inlineStr">
        <is>
          <t>두산로보틱스</t>
        </is>
      </c>
      <c r="C552" t="inlineStr">
        <is>
          <t>454910</t>
        </is>
      </c>
      <c r="D552" t="inlineStr">
        <is>
          <t>연결</t>
        </is>
      </c>
      <c r="E552" t="inlineStr">
        <is>
          <t>2026Q2</t>
        </is>
      </c>
      <c r="F552" s="2" t="n">
        <v>17674</v>
      </c>
      <c r="G552" t="n">
        <v>15.6</v>
      </c>
      <c r="H552" t="n">
        <v>290</v>
      </c>
      <c r="I552" s="2" t="n">
        <v>-14417</v>
      </c>
      <c r="J552" t="n">
        <v>-19.5</v>
      </c>
      <c r="K552" t="n">
        <v>7.9</v>
      </c>
      <c r="L552" s="2" t="n">
        <v>-12792</v>
      </c>
      <c r="M552" t="n">
        <v>22.8</v>
      </c>
      <c r="N552" t="inlineStr">
        <is>
          <t>20260724800506</t>
        </is>
      </c>
      <c r="O552">
        <f>HYPERLINK("https://dart.fss.or.kr/dsaf001/main.do?rcpNo=20260724800506", "공시열람")</f>
        <v/>
      </c>
    </row>
    <row r="553">
      <c r="A553" t="inlineStr">
        <is>
          <t>2026-07-24</t>
        </is>
      </c>
      <c r="B553" t="inlineStr">
        <is>
          <t>현대로템</t>
        </is>
      </c>
      <c r="C553" t="inlineStr">
        <is>
          <t>064350</t>
        </is>
      </c>
      <c r="D553" t="inlineStr">
        <is>
          <t>연결</t>
        </is>
      </c>
      <c r="E553" t="inlineStr">
        <is>
          <t>2026Q2</t>
        </is>
      </c>
      <c r="F553" s="2" t="n">
        <v>1606051</v>
      </c>
      <c r="G553" t="n">
        <v>10.2</v>
      </c>
      <c r="H553" t="n">
        <v>13.3</v>
      </c>
      <c r="I553" s="2" t="n">
        <v>232383</v>
      </c>
      <c r="J553" t="n">
        <v>3.7</v>
      </c>
      <c r="K553" t="n">
        <v>-9.699999999999999</v>
      </c>
      <c r="L553" s="2" t="n">
        <v>186275</v>
      </c>
      <c r="M553" t="n">
        <v>-1.8</v>
      </c>
      <c r="N553" t="inlineStr">
        <is>
          <t>20260724800304</t>
        </is>
      </c>
      <c r="O553">
        <f>HYPERLINK("https://dart.fss.or.kr/dsaf001/main.do?rcpNo=20260724800304", "공시열람")</f>
        <v/>
      </c>
    </row>
    <row r="554">
      <c r="A554" t="inlineStr">
        <is>
          <t>2026-07-24</t>
        </is>
      </c>
      <c r="B554" t="inlineStr">
        <is>
          <t>바이오인프라</t>
        </is>
      </c>
      <c r="C554" t="inlineStr">
        <is>
          <t>199730</t>
        </is>
      </c>
      <c r="D554" t="inlineStr">
        <is>
          <t>별도</t>
        </is>
      </c>
      <c r="E554" t="inlineStr">
        <is>
          <t>2026Q2</t>
        </is>
      </c>
      <c r="F554" s="2" t="n">
        <v>8662</v>
      </c>
      <c r="G554" t="n">
        <v>57.5</v>
      </c>
      <c r="H554" t="n">
        <v>42.5</v>
      </c>
      <c r="I554" s="2" t="n">
        <v>227</v>
      </c>
      <c r="J554" t="inlineStr"/>
      <c r="K554" t="inlineStr"/>
      <c r="L554" s="2" t="n">
        <v>152</v>
      </c>
      <c r="M554" t="inlineStr"/>
      <c r="N554" t="inlineStr">
        <is>
          <t>20260724900802</t>
        </is>
      </c>
      <c r="O554">
        <f>HYPERLINK("https://dart.fss.or.kr/dsaf001/main.do?rcpNo=20260724900802", "공시열람")</f>
        <v/>
      </c>
    </row>
    <row r="555">
      <c r="A555" t="inlineStr">
        <is>
          <t>2026-07-24</t>
        </is>
      </c>
      <c r="B555" t="inlineStr">
        <is>
          <t>동국씨엠</t>
        </is>
      </c>
      <c r="C555" t="inlineStr">
        <is>
          <t>460850</t>
        </is>
      </c>
      <c r="D555" t="inlineStr">
        <is>
          <t>별도</t>
        </is>
      </c>
      <c r="E555" t="inlineStr">
        <is>
          <t>2026Q2</t>
        </is>
      </c>
      <c r="F555" s="2" t="n">
        <v>545127</v>
      </c>
      <c r="G555" t="n">
        <v>10.26</v>
      </c>
      <c r="H555" t="n">
        <v>8.6</v>
      </c>
      <c r="I555" s="2" t="n">
        <v>21114</v>
      </c>
      <c r="J555" t="n">
        <v>89.06999999999999</v>
      </c>
      <c r="K555" t="inlineStr"/>
      <c r="L555" s="2" t="n">
        <v>14606</v>
      </c>
      <c r="M555" t="inlineStr"/>
      <c r="N555" t="inlineStr">
        <is>
          <t>20260724800280</t>
        </is>
      </c>
      <c r="O555">
        <f>HYPERLINK("https://dart.fss.or.kr/dsaf001/main.do?rcpNo=20260724800280", "공시열람")</f>
        <v/>
      </c>
    </row>
    <row r="556">
      <c r="A556" t="inlineStr">
        <is>
          <t>2026-07-24</t>
        </is>
      </c>
      <c r="B556" t="inlineStr">
        <is>
          <t>동국제강</t>
        </is>
      </c>
      <c r="C556" t="inlineStr">
        <is>
          <t>460860</t>
        </is>
      </c>
      <c r="D556" t="inlineStr">
        <is>
          <t>별도</t>
        </is>
      </c>
      <c r="E556" t="inlineStr">
        <is>
          <t>2026Q2</t>
        </is>
      </c>
      <c r="F556" s="2" t="n">
        <v>995515</v>
      </c>
      <c r="G556" t="n">
        <v>16.14</v>
      </c>
      <c r="H556" t="n">
        <v>11.4</v>
      </c>
      <c r="I556" s="2" t="n">
        <v>45563</v>
      </c>
      <c r="J556" t="n">
        <v>112.5</v>
      </c>
      <c r="K556" t="n">
        <v>52.31</v>
      </c>
      <c r="L556" s="2" t="n">
        <v>11645</v>
      </c>
      <c r="M556" t="n">
        <v>26.81</v>
      </c>
      <c r="N556" t="inlineStr">
        <is>
          <t>20260724800275</t>
        </is>
      </c>
      <c r="O556">
        <f>HYPERLINK("https://dart.fss.or.kr/dsaf001/main.do?rcpNo=20260724800275", "공시열람")</f>
        <v/>
      </c>
    </row>
    <row r="557">
      <c r="A557" t="inlineStr">
        <is>
          <t>2026-07-24</t>
        </is>
      </c>
      <c r="B557" t="inlineStr">
        <is>
          <t>솔루스첨단소재</t>
        </is>
      </c>
      <c r="C557" t="inlineStr">
        <is>
          <t>336370</t>
        </is>
      </c>
      <c r="D557" t="inlineStr">
        <is>
          <t>연결</t>
        </is>
      </c>
      <c r="E557" t="inlineStr">
        <is>
          <t>2026Q2</t>
        </is>
      </c>
      <c r="F557" s="2" t="n">
        <v>101900</v>
      </c>
      <c r="G557" t="n">
        <v>15.68</v>
      </c>
      <c r="H557" t="n">
        <v>30.99</v>
      </c>
      <c r="I557" s="2" t="n">
        <v>-21300</v>
      </c>
      <c r="J557" t="n">
        <v>34.27</v>
      </c>
      <c r="K557" t="n">
        <v>-2.16</v>
      </c>
      <c r="L557" s="2" t="n">
        <v>59300</v>
      </c>
      <c r="M557" t="n">
        <v>213.32</v>
      </c>
      <c r="N557" t="inlineStr">
        <is>
          <t>20260724800264</t>
        </is>
      </c>
      <c r="O557">
        <f>HYPERLINK("https://dart.fss.or.kr/dsaf001/main.do?rcpNo=20260724800264", "공시열람")</f>
        <v/>
      </c>
    </row>
    <row r="558">
      <c r="A558" t="inlineStr">
        <is>
          <t>2026-07-24</t>
        </is>
      </c>
      <c r="B558" t="inlineStr">
        <is>
          <t>LX세미콘</t>
        </is>
      </c>
      <c r="C558" t="inlineStr">
        <is>
          <t>108320</t>
        </is>
      </c>
      <c r="D558" t="inlineStr">
        <is>
          <t>연결</t>
        </is>
      </c>
      <c r="E558" t="inlineStr">
        <is>
          <t>2026Q2</t>
        </is>
      </c>
      <c r="F558" s="2" t="n">
        <v>401153</v>
      </c>
      <c r="G558" t="n">
        <v>3.2</v>
      </c>
      <c r="H558" t="n">
        <v>6</v>
      </c>
      <c r="I558" s="2" t="n">
        <v>22006</v>
      </c>
      <c r="J558" t="n">
        <v>6.9</v>
      </c>
      <c r="K558" t="n">
        <v>115.1</v>
      </c>
      <c r="L558" s="2" t="n">
        <v>17887</v>
      </c>
      <c r="M558" t="n">
        <v>115</v>
      </c>
      <c r="N558" t="inlineStr">
        <is>
          <t>20260724800171</t>
        </is>
      </c>
      <c r="O558">
        <f>HYPERLINK("https://dart.fss.or.kr/dsaf001/main.do?rcpNo=20260724800171", "공시열람")</f>
        <v/>
      </c>
    </row>
    <row r="559">
      <c r="A559" t="inlineStr">
        <is>
          <t>2026-07-24</t>
        </is>
      </c>
      <c r="B559" t="inlineStr">
        <is>
          <t>인디에프</t>
        </is>
      </c>
      <c r="C559" t="inlineStr">
        <is>
          <t>014990</t>
        </is>
      </c>
      <c r="D559" t="inlineStr">
        <is>
          <t>연결</t>
        </is>
      </c>
      <c r="E559" t="inlineStr">
        <is>
          <t>2026Q2</t>
        </is>
      </c>
      <c r="F559" s="2" t="n">
        <v>28297</v>
      </c>
      <c r="G559" t="n">
        <v>16.4</v>
      </c>
      <c r="H559" t="n">
        <v>3.48</v>
      </c>
      <c r="I559" s="2" t="n">
        <v>2283</v>
      </c>
      <c r="J559" t="n">
        <v>360.3</v>
      </c>
      <c r="K559" t="n">
        <v>26.9</v>
      </c>
      <c r="L559" s="2" t="n">
        <v>1509</v>
      </c>
      <c r="M559" t="n">
        <v>10.07</v>
      </c>
      <c r="N559" t="inlineStr">
        <is>
          <t>20260724800161</t>
        </is>
      </c>
      <c r="O559">
        <f>HYPERLINK("https://dart.fss.or.kr/dsaf001/main.do?rcpNo=20260724800161", "공시열람")</f>
        <v/>
      </c>
    </row>
    <row r="560">
      <c r="A560" t="inlineStr">
        <is>
          <t>2026-07-24</t>
        </is>
      </c>
      <c r="B560" t="inlineStr">
        <is>
          <t>현대모비스</t>
        </is>
      </c>
      <c r="C560" t="inlineStr">
        <is>
          <t>012330</t>
        </is>
      </c>
      <c r="D560" t="inlineStr">
        <is>
          <t>연결</t>
        </is>
      </c>
      <c r="E560" t="inlineStr">
        <is>
          <t>2026Q2</t>
        </is>
      </c>
      <c r="F560" s="2" t="n">
        <v>16324696</v>
      </c>
      <c r="G560" t="n">
        <v>4.91</v>
      </c>
      <c r="H560" t="n">
        <v>2.44</v>
      </c>
      <c r="I560" s="2" t="n">
        <v>975158</v>
      </c>
      <c r="J560" t="n">
        <v>21.49</v>
      </c>
      <c r="K560" t="n">
        <v>12.09</v>
      </c>
      <c r="L560" s="2" t="n">
        <v>1060230</v>
      </c>
      <c r="M560" t="n">
        <v>13.47</v>
      </c>
      <c r="N560" t="inlineStr">
        <is>
          <t>20260724800096</t>
        </is>
      </c>
      <c r="O560">
        <f>HYPERLINK("https://dart.fss.or.kr/dsaf001/main.do?rcpNo=20260724800096", "공시열람")</f>
        <v/>
      </c>
    </row>
    <row r="561">
      <c r="A561" t="inlineStr">
        <is>
          <t>2026-07-24</t>
        </is>
      </c>
      <c r="B561" t="inlineStr">
        <is>
          <t>그래피</t>
        </is>
      </c>
      <c r="C561" t="inlineStr">
        <is>
          <t>318060</t>
        </is>
      </c>
      <c r="D561" t="inlineStr">
        <is>
          <t>연결</t>
        </is>
      </c>
      <c r="E561" t="inlineStr">
        <is>
          <t>2026Q2</t>
        </is>
      </c>
      <c r="F561" s="2" t="n">
        <v>6467</v>
      </c>
      <c r="G561" t="n">
        <v>92.90000000000001</v>
      </c>
      <c r="H561" t="n">
        <v>47.7</v>
      </c>
      <c r="I561" s="2" t="n">
        <v>-2999</v>
      </c>
      <c r="J561" t="n">
        <v>5.9</v>
      </c>
      <c r="K561" t="n">
        <v>-18.9</v>
      </c>
      <c r="L561" s="2" t="n">
        <v>-2877</v>
      </c>
      <c r="M561" t="n">
        <v>2</v>
      </c>
      <c r="N561" t="inlineStr">
        <is>
          <t>20260724900060</t>
        </is>
      </c>
      <c r="O561">
        <f>HYPERLINK("https://dart.fss.or.kr/dsaf001/main.do?rcpNo=20260724900060", "공시열람")</f>
        <v/>
      </c>
    </row>
    <row r="562">
      <c r="A562" t="inlineStr">
        <is>
          <t>2026-07-24</t>
        </is>
      </c>
      <c r="B562" t="inlineStr">
        <is>
          <t>코렌텍</t>
        </is>
      </c>
      <c r="C562" t="inlineStr">
        <is>
          <t>104540</t>
        </is>
      </c>
      <c r="D562" t="inlineStr">
        <is>
          <t>연결</t>
        </is>
      </c>
      <c r="E562" t="inlineStr">
        <is>
          <t>2026Q2</t>
        </is>
      </c>
      <c r="F562" s="2" t="n">
        <v>25795</v>
      </c>
      <c r="G562" t="n">
        <v>5</v>
      </c>
      <c r="H562" t="n">
        <v>10.1</v>
      </c>
      <c r="I562" s="2" t="n">
        <v>1455</v>
      </c>
      <c r="J562" t="n">
        <v>64.3</v>
      </c>
      <c r="K562" t="n">
        <v>6.3</v>
      </c>
      <c r="L562" s="2" t="n">
        <v>1119</v>
      </c>
      <c r="M562" t="inlineStr"/>
      <c r="N562" t="inlineStr">
        <is>
          <t>20260724900054</t>
        </is>
      </c>
      <c r="O562">
        <f>HYPERLINK("https://dart.fss.or.kr/dsaf001/main.do?rcpNo=20260724900054", "공시열람")</f>
        <v/>
      </c>
    </row>
    <row r="563">
      <c r="A563" t="inlineStr">
        <is>
          <t>2026-07-23</t>
        </is>
      </c>
      <c r="B563" t="inlineStr">
        <is>
          <t>JB금융지주</t>
        </is>
      </c>
      <c r="C563" t="inlineStr">
        <is>
          <t>175330</t>
        </is>
      </c>
      <c r="D563" t="inlineStr">
        <is>
          <t>연결</t>
        </is>
      </c>
      <c r="E563" t="inlineStr">
        <is>
          <t>2026Q2</t>
        </is>
      </c>
      <c r="F563" s="2" t="n">
        <v>397485</v>
      </c>
      <c r="G563" t="n">
        <v>19.5</v>
      </c>
      <c r="H563" t="n">
        <v>19.2</v>
      </c>
      <c r="I563" s="2" t="n">
        <v>138308</v>
      </c>
      <c r="J563" t="n">
        <v>47.2</v>
      </c>
      <c r="K563" t="n">
        <v>47.8</v>
      </c>
      <c r="L563" s="2" t="n">
        <v>104081</v>
      </c>
      <c r="M563" t="n">
        <v>42.1</v>
      </c>
      <c r="N563" t="inlineStr">
        <is>
          <t>20260723800601</t>
        </is>
      </c>
      <c r="O563">
        <f>HYPERLINK("https://dart.fss.or.kr/dsaf001/main.do?rcpNo=20260723800601", "공시열람")</f>
        <v/>
      </c>
    </row>
    <row r="564">
      <c r="A564" t="inlineStr">
        <is>
          <t>2026-07-23</t>
        </is>
      </c>
      <c r="B564" t="inlineStr">
        <is>
          <t>멀티캠퍼스</t>
        </is>
      </c>
      <c r="C564" t="inlineStr">
        <is>
          <t>067280</t>
        </is>
      </c>
      <c r="D564" t="inlineStr">
        <is>
          <t>연결</t>
        </is>
      </c>
      <c r="E564" t="inlineStr">
        <is>
          <t>2026Q2</t>
        </is>
      </c>
      <c r="F564" s="2" t="n">
        <v>87638</v>
      </c>
      <c r="G564" t="n">
        <v>8.6</v>
      </c>
      <c r="H564" t="n">
        <v>3.3</v>
      </c>
      <c r="I564" s="2" t="n">
        <v>8809</v>
      </c>
      <c r="J564" t="n">
        <v>1280.7</v>
      </c>
      <c r="K564" t="n">
        <v>0.2</v>
      </c>
      <c r="L564" s="2" t="n">
        <v>6864</v>
      </c>
      <c r="M564" t="n">
        <v>-3.5</v>
      </c>
      <c r="N564" t="inlineStr">
        <is>
          <t>20260723900706</t>
        </is>
      </c>
      <c r="O564">
        <f>HYPERLINK("https://dart.fss.or.kr/dsaf001/main.do?rcpNo=20260723900706", "공시열람")</f>
        <v/>
      </c>
    </row>
    <row r="565">
      <c r="A565" t="inlineStr">
        <is>
          <t>2026-07-23</t>
        </is>
      </c>
      <c r="B565" t="inlineStr">
        <is>
          <t>국도화학</t>
        </is>
      </c>
      <c r="C565" t="inlineStr">
        <is>
          <t>007690</t>
        </is>
      </c>
      <c r="D565" t="inlineStr">
        <is>
          <t>연결</t>
        </is>
      </c>
      <c r="E565" t="inlineStr">
        <is>
          <t>2026Q2</t>
        </is>
      </c>
      <c r="F565" s="2" t="n">
        <v>534254</v>
      </c>
      <c r="G565" t="n">
        <v>29.1</v>
      </c>
      <c r="H565" t="n">
        <v>53.2</v>
      </c>
      <c r="I565" s="2" t="n">
        <v>47954</v>
      </c>
      <c r="J565" t="n">
        <v>365.5</v>
      </c>
      <c r="K565" t="n">
        <v>184.8</v>
      </c>
      <c r="L565" s="2" t="n">
        <v>43888</v>
      </c>
      <c r="M565" t="n">
        <v>412.1</v>
      </c>
      <c r="N565" t="inlineStr">
        <is>
          <t>20260723800807</t>
        </is>
      </c>
      <c r="O565">
        <f>HYPERLINK("https://dart.fss.or.kr/dsaf001/main.do?rcpNo=20260723800807", "공시열람")</f>
        <v/>
      </c>
    </row>
    <row r="566">
      <c r="A566" t="inlineStr">
        <is>
          <t>2026-07-23</t>
        </is>
      </c>
      <c r="B566" t="inlineStr">
        <is>
          <t>JB금융지주</t>
        </is>
      </c>
      <c r="C566" t="inlineStr">
        <is>
          <t>175330</t>
        </is>
      </c>
      <c r="D566" t="inlineStr">
        <is>
          <t>연결</t>
        </is>
      </c>
      <c r="E566" t="inlineStr">
        <is>
          <t>2026Q2</t>
        </is>
      </c>
      <c r="F566" s="2" t="n">
        <v>1264480</v>
      </c>
      <c r="G566" t="n">
        <v>4.1</v>
      </c>
      <c r="H566" t="n">
        <v>6.5</v>
      </c>
      <c r="I566" s="2" t="n">
        <v>305602</v>
      </c>
      <c r="J566" t="n">
        <v>38.1</v>
      </c>
      <c r="K566" t="n">
        <v>14.5</v>
      </c>
      <c r="L566" s="2" t="n">
        <v>226452</v>
      </c>
      <c r="M566" t="n">
        <v>6</v>
      </c>
      <c r="N566" t="inlineStr">
        <is>
          <t>20260723800585</t>
        </is>
      </c>
      <c r="O566">
        <f>HYPERLINK("https://dart.fss.or.kr/dsaf001/main.do?rcpNo=20260723800585", "공시열람")</f>
        <v/>
      </c>
    </row>
    <row r="567">
      <c r="A567" t="inlineStr">
        <is>
          <t>2026-07-23</t>
        </is>
      </c>
      <c r="B567" t="inlineStr">
        <is>
          <t>IPARK현대산업개발</t>
        </is>
      </c>
      <c r="C567" t="inlineStr">
        <is>
          <t>294870</t>
        </is>
      </c>
      <c r="D567" t="inlineStr">
        <is>
          <t>연결</t>
        </is>
      </c>
      <c r="E567" t="inlineStr">
        <is>
          <t>2026Q2</t>
        </is>
      </c>
      <c r="F567" s="2" t="n">
        <v>914640</v>
      </c>
      <c r="G567" t="n">
        <v>35.7</v>
      </c>
      <c r="H567" t="n">
        <v>-21.4</v>
      </c>
      <c r="I567" s="2" t="n">
        <v>122719</v>
      </c>
      <c r="J567" t="n">
        <v>53.1</v>
      </c>
      <c r="K567" t="n">
        <v>52.9</v>
      </c>
      <c r="L567" s="2" t="n">
        <v>83712</v>
      </c>
      <c r="M567" t="n">
        <v>58.9</v>
      </c>
      <c r="N567" t="inlineStr">
        <is>
          <t>20260723800878</t>
        </is>
      </c>
      <c r="O567">
        <f>HYPERLINK("https://dart.fss.or.kr/dsaf001/main.do?rcpNo=20260723800878", "공시열람")</f>
        <v/>
      </c>
    </row>
    <row r="568">
      <c r="A568" t="inlineStr">
        <is>
          <t>2026-07-23</t>
        </is>
      </c>
      <c r="B568" t="inlineStr">
        <is>
          <t>JB금융지주</t>
        </is>
      </c>
      <c r="C568" t="inlineStr">
        <is>
          <t>175330</t>
        </is>
      </c>
      <c r="D568" t="inlineStr">
        <is>
          <t>연결</t>
        </is>
      </c>
      <c r="E568" t="inlineStr">
        <is>
          <t>2026Q2</t>
        </is>
      </c>
      <c r="F568" s="2" t="n">
        <v>410980</v>
      </c>
      <c r="G568" t="n">
        <v>1.3</v>
      </c>
      <c r="H568" t="n">
        <v>2.2</v>
      </c>
      <c r="I568" s="2" t="n">
        <v>76640</v>
      </c>
      <c r="J568" t="n">
        <v>52.3</v>
      </c>
      <c r="K568" t="n">
        <v>-9.300000000000001</v>
      </c>
      <c r="L568" s="2" t="n">
        <v>54550</v>
      </c>
      <c r="M568" t="n">
        <v>-16.2</v>
      </c>
      <c r="N568" t="inlineStr">
        <is>
          <t>20260723800590</t>
        </is>
      </c>
      <c r="O568">
        <f>HYPERLINK("https://dart.fss.or.kr/dsaf001/main.do?rcpNo=20260723800590", "공시열람")</f>
        <v/>
      </c>
    </row>
    <row r="569">
      <c r="A569" t="inlineStr">
        <is>
          <t>2026-07-23</t>
        </is>
      </c>
      <c r="B569" t="inlineStr">
        <is>
          <t>삼성바이오로직스</t>
        </is>
      </c>
      <c r="C569" t="inlineStr">
        <is>
          <t>207940</t>
        </is>
      </c>
      <c r="D569" t="inlineStr">
        <is>
          <t>연결</t>
        </is>
      </c>
      <c r="E569" t="inlineStr">
        <is>
          <t>2026Q2</t>
        </is>
      </c>
      <c r="F569" s="2" t="n">
        <v>1320900</v>
      </c>
      <c r="G569" t="n">
        <v>5.1</v>
      </c>
      <c r="H569" t="n">
        <v>30.2</v>
      </c>
      <c r="I569" s="2" t="n">
        <v>586400</v>
      </c>
      <c r="J569" t="n">
        <v>1</v>
      </c>
      <c r="K569" t="n">
        <v>22.9</v>
      </c>
      <c r="L569" s="2" t="n">
        <v>430700</v>
      </c>
      <c r="M569" t="n">
        <v>29.1</v>
      </c>
      <c r="N569" t="inlineStr">
        <is>
          <t>20260723800003</t>
        </is>
      </c>
      <c r="O569">
        <f>HYPERLINK("https://dart.fss.or.kr/dsaf001/main.do?rcpNo=20260723800003", "공시열람")</f>
        <v/>
      </c>
    </row>
    <row r="570">
      <c r="A570" t="inlineStr">
        <is>
          <t>2026-07-23</t>
        </is>
      </c>
      <c r="B570" t="inlineStr">
        <is>
          <t>OCI홀딩스</t>
        </is>
      </c>
      <c r="C570" t="inlineStr">
        <is>
          <t>010060</t>
        </is>
      </c>
      <c r="D570" t="inlineStr">
        <is>
          <t>연결</t>
        </is>
      </c>
      <c r="E570" t="inlineStr">
        <is>
          <t>2026Q2</t>
        </is>
      </c>
      <c r="F570" s="2" t="n">
        <v>1023183</v>
      </c>
      <c r="G570" t="n">
        <v>14.7</v>
      </c>
      <c r="H570" t="n">
        <v>31.8</v>
      </c>
      <c r="I570" s="2" t="n">
        <v>108062</v>
      </c>
      <c r="J570" t="n">
        <v>894.9</v>
      </c>
      <c r="K570" t="inlineStr"/>
      <c r="L570" s="2" t="n">
        <v>60643</v>
      </c>
      <c r="M570" t="inlineStr"/>
      <c r="N570" t="inlineStr">
        <is>
          <t>20260723800356</t>
        </is>
      </c>
      <c r="O570">
        <f>HYPERLINK("https://dart.fss.or.kr/dsaf001/main.do?rcpNo=20260723800356", "공시열람")</f>
        <v/>
      </c>
    </row>
    <row r="571">
      <c r="A571" t="inlineStr">
        <is>
          <t>2026-07-23</t>
        </is>
      </c>
      <c r="B571" t="inlineStr">
        <is>
          <t>신한지주</t>
        </is>
      </c>
      <c r="C571" t="inlineStr">
        <is>
          <t>055550</t>
        </is>
      </c>
      <c r="D571" t="inlineStr">
        <is>
          <t>연결</t>
        </is>
      </c>
      <c r="E571" t="inlineStr">
        <is>
          <t>2026Q2</t>
        </is>
      </c>
      <c r="F571" s="2" t="n">
        <v>11790413</v>
      </c>
      <c r="G571" t="n">
        <v>-35.06</v>
      </c>
      <c r="H571" t="n">
        <v>-23.91</v>
      </c>
      <c r="I571" s="2" t="n">
        <v>1693081</v>
      </c>
      <c r="J571" t="n">
        <v>15.53</v>
      </c>
      <c r="K571" t="n">
        <v>15.07</v>
      </c>
      <c r="L571" s="2" t="n">
        <v>1301581</v>
      </c>
      <c r="M571" t="n">
        <v>14.28</v>
      </c>
      <c r="N571" t="inlineStr">
        <is>
          <t>20260723800276</t>
        </is>
      </c>
      <c r="O571">
        <f>HYPERLINK("https://dart.fss.or.kr/dsaf001/main.do?rcpNo=20260723800276", "공시열람")</f>
        <v/>
      </c>
    </row>
    <row r="572">
      <c r="A572" t="inlineStr">
        <is>
          <t>2026-07-23</t>
        </is>
      </c>
      <c r="B572" t="inlineStr">
        <is>
          <t>신한지주</t>
        </is>
      </c>
      <c r="C572" t="inlineStr">
        <is>
          <t>055550</t>
        </is>
      </c>
      <c r="D572" t="inlineStr">
        <is>
          <t>연결</t>
        </is>
      </c>
      <c r="E572" t="inlineStr">
        <is>
          <t>2026Q2</t>
        </is>
      </c>
      <c r="F572" s="2" t="n">
        <v>1569249</v>
      </c>
      <c r="G572" t="n">
        <v>-7.54</v>
      </c>
      <c r="H572" t="n">
        <v>-10.46</v>
      </c>
      <c r="I572" s="2" t="n">
        <v>184538</v>
      </c>
      <c r="J572" t="n">
        <v>27.79</v>
      </c>
      <c r="K572" t="n">
        <v>32.83</v>
      </c>
      <c r="L572" s="2" t="n">
        <v>139097</v>
      </c>
      <c r="M572" t="n">
        <v>23.77</v>
      </c>
      <c r="N572" t="inlineStr">
        <is>
          <t>20260723800277</t>
        </is>
      </c>
      <c r="O572">
        <f>HYPERLINK("https://dart.fss.or.kr/dsaf001/main.do?rcpNo=20260723800277", "공시열람")</f>
        <v/>
      </c>
    </row>
    <row r="573">
      <c r="A573" t="inlineStr">
        <is>
          <t>2026-07-23</t>
        </is>
      </c>
      <c r="B573" t="inlineStr">
        <is>
          <t>신한지주</t>
        </is>
      </c>
      <c r="C573" t="inlineStr">
        <is>
          <t>055550</t>
        </is>
      </c>
      <c r="D573" t="inlineStr">
        <is>
          <t>연결</t>
        </is>
      </c>
      <c r="E573" t="inlineStr">
        <is>
          <t>2026Q2</t>
        </is>
      </c>
      <c r="F573" s="2" t="n">
        <v>3992665</v>
      </c>
      <c r="G573" t="n">
        <v>46.05</v>
      </c>
      <c r="H573" t="n">
        <v>78.68000000000001</v>
      </c>
      <c r="I573" s="2" t="n">
        <v>266348</v>
      </c>
      <c r="J573" t="n">
        <v>84.14</v>
      </c>
      <c r="K573" t="n">
        <v>12.89</v>
      </c>
      <c r="L573" s="2" t="n">
        <v>187491</v>
      </c>
      <c r="M573" t="n">
        <v>4.64</v>
      </c>
      <c r="N573" t="inlineStr">
        <is>
          <t>20260723800278</t>
        </is>
      </c>
      <c r="O573">
        <f>HYPERLINK("https://dart.fss.or.kr/dsaf001/main.do?rcpNo=20260723800278", "공시열람")</f>
        <v/>
      </c>
    </row>
    <row r="574">
      <c r="A574" t="inlineStr">
        <is>
          <t>2026-07-23</t>
        </is>
      </c>
      <c r="B574" t="inlineStr">
        <is>
          <t>JB금융지주</t>
        </is>
      </c>
      <c r="C574" t="inlineStr">
        <is>
          <t>175330</t>
        </is>
      </c>
      <c r="D574" t="inlineStr">
        <is>
          <t>연결</t>
        </is>
      </c>
      <c r="E574" t="inlineStr">
        <is>
          <t>2026Q2</t>
        </is>
      </c>
      <c r="F574" s="2" t="n">
        <v>446784</v>
      </c>
      <c r="G574" t="n">
        <v>-0.2</v>
      </c>
      <c r="H574" t="n">
        <v>-1</v>
      </c>
      <c r="I574" s="2" t="n">
        <v>115650</v>
      </c>
      <c r="J574" t="n">
        <v>42.2</v>
      </c>
      <c r="K574" t="n">
        <v>7.8</v>
      </c>
      <c r="L574" s="2" t="n">
        <v>85593</v>
      </c>
      <c r="M574" t="n">
        <v>5.1</v>
      </c>
      <c r="N574" t="inlineStr">
        <is>
          <t>20260723800599</t>
        </is>
      </c>
      <c r="O574">
        <f>HYPERLINK("https://dart.fss.or.kr/dsaf001/main.do?rcpNo=20260723800599", "공시열람")</f>
        <v/>
      </c>
    </row>
    <row r="575">
      <c r="A575" t="inlineStr">
        <is>
          <t>2026-07-23</t>
        </is>
      </c>
      <c r="B575" t="inlineStr">
        <is>
          <t>현대자동차</t>
        </is>
      </c>
      <c r="C575" t="inlineStr">
        <is>
          <t>005380</t>
        </is>
      </c>
      <c r="D575" t="inlineStr">
        <is>
          <t>연결</t>
        </is>
      </c>
      <c r="E575" t="inlineStr">
        <is>
          <t>2026Q2</t>
        </is>
      </c>
      <c r="F575" s="2" t="n">
        <v>49215328</v>
      </c>
      <c r="G575" t="n">
        <v>7.1</v>
      </c>
      <c r="H575" t="n">
        <v>1.9</v>
      </c>
      <c r="I575" s="2" t="n">
        <v>2850888</v>
      </c>
      <c r="J575" t="n">
        <v>13.4</v>
      </c>
      <c r="K575" t="n">
        <v>-20.8</v>
      </c>
      <c r="L575" s="2" t="n">
        <v>2887962</v>
      </c>
      <c r="M575" t="n">
        <v>-11.2</v>
      </c>
      <c r="N575" t="inlineStr">
        <is>
          <t>20260723800315</t>
        </is>
      </c>
      <c r="O575">
        <f>HYPERLINK("https://dart.fss.or.kr/dsaf001/main.do?rcpNo=20260723800315", "공시열람")</f>
        <v/>
      </c>
    </row>
    <row r="576">
      <c r="A576" t="inlineStr">
        <is>
          <t>2026-07-23</t>
        </is>
      </c>
      <c r="B576" t="inlineStr">
        <is>
          <t>유진테크놀로지</t>
        </is>
      </c>
      <c r="C576" t="inlineStr">
        <is>
          <t>240600</t>
        </is>
      </c>
      <c r="D576" t="inlineStr">
        <is>
          <t>연결</t>
        </is>
      </c>
      <c r="E576" t="inlineStr">
        <is>
          <t>2026Q2</t>
        </is>
      </c>
      <c r="F576" s="2" t="n">
        <v>9905</v>
      </c>
      <c r="G576" t="n">
        <v>27.6</v>
      </c>
      <c r="H576" t="n">
        <v>42.4</v>
      </c>
      <c r="I576" s="2" t="inlineStr"/>
      <c r="J576" t="inlineStr"/>
      <c r="K576" t="inlineStr"/>
      <c r="L576" s="2" t="inlineStr"/>
      <c r="M576" t="inlineStr"/>
      <c r="N576" t="inlineStr">
        <is>
          <t>20260723900120</t>
        </is>
      </c>
      <c r="O576">
        <f>HYPERLINK("https://dart.fss.or.kr/dsaf001/main.do?rcpNo=20260723900120", "공시열람")</f>
        <v/>
      </c>
    </row>
    <row r="577">
      <c r="A577" t="inlineStr">
        <is>
          <t>2026-07-23</t>
        </is>
      </c>
      <c r="B577" t="inlineStr">
        <is>
          <t>현대글로비스</t>
        </is>
      </c>
      <c r="C577" t="inlineStr">
        <is>
          <t>086280</t>
        </is>
      </c>
      <c r="D577" t="inlineStr">
        <is>
          <t>연결</t>
        </is>
      </c>
      <c r="E577" t="inlineStr">
        <is>
          <t>2026Q2</t>
        </is>
      </c>
      <c r="F577" s="2" t="n">
        <v>8705366</v>
      </c>
      <c r="G577" t="n">
        <v>11.4</v>
      </c>
      <c r="H577" t="n">
        <v>15.8</v>
      </c>
      <c r="I577" s="2" t="n">
        <v>495063</v>
      </c>
      <c r="J577" t="n">
        <v>-5.1</v>
      </c>
      <c r="K577" t="n">
        <v>-8.1</v>
      </c>
      <c r="L577" s="2" t="n">
        <v>369212</v>
      </c>
      <c r="M577" t="n">
        <v>-26.7</v>
      </c>
      <c r="N577" t="inlineStr">
        <is>
          <t>20260723800401</t>
        </is>
      </c>
      <c r="O577">
        <f>HYPERLINK("https://dart.fss.or.kr/dsaf001/main.do?rcpNo=20260723800401", "공시열람")</f>
        <v/>
      </c>
    </row>
    <row r="578">
      <c r="A578" t="inlineStr">
        <is>
          <t>2026-07-23</t>
        </is>
      </c>
      <c r="B578" t="inlineStr">
        <is>
          <t>신한지주</t>
        </is>
      </c>
      <c r="C578" t="inlineStr">
        <is>
          <t>055550</t>
        </is>
      </c>
      <c r="D578" t="inlineStr">
        <is>
          <t>연결</t>
        </is>
      </c>
      <c r="E578" t="inlineStr">
        <is>
          <t>2026Q2</t>
        </is>
      </c>
      <c r="F578" s="2" t="n">
        <v>25063156</v>
      </c>
      <c r="G578" t="n">
        <v>-12.04</v>
      </c>
      <c r="H578" t="n">
        <v>7.92</v>
      </c>
      <c r="I578" s="2" t="n">
        <v>2476281</v>
      </c>
      <c r="J578" t="n">
        <v>14.94</v>
      </c>
      <c r="K578" t="n">
        <v>22.94</v>
      </c>
      <c r="L578" s="2" t="n">
        <v>1846651</v>
      </c>
      <c r="M578" t="n">
        <v>17.08</v>
      </c>
      <c r="N578" t="inlineStr">
        <is>
          <t>20260723800269</t>
        </is>
      </c>
      <c r="O578">
        <f>HYPERLINK("https://dart.fss.or.kr/dsaf001/main.do?rcpNo=20260723800269", "공시열람")</f>
        <v/>
      </c>
    </row>
    <row r="579">
      <c r="A579" t="inlineStr">
        <is>
          <t>2026-07-23</t>
        </is>
      </c>
      <c r="B579" t="inlineStr">
        <is>
          <t>한솔아이원스</t>
        </is>
      </c>
      <c r="C579" t="inlineStr">
        <is>
          <t>114810</t>
        </is>
      </c>
      <c r="D579" t="inlineStr">
        <is>
          <t>연결</t>
        </is>
      </c>
      <c r="E579" t="inlineStr">
        <is>
          <t>2026Q2</t>
        </is>
      </c>
      <c r="F579" s="2" t="n">
        <v>53738</v>
      </c>
      <c r="G579" t="n">
        <v>9.31</v>
      </c>
      <c r="H579" t="n">
        <v>14.28</v>
      </c>
      <c r="I579" s="2" t="n">
        <v>6561</v>
      </c>
      <c r="J579" t="n">
        <v>-7.83</v>
      </c>
      <c r="K579" t="n">
        <v>-27.8</v>
      </c>
      <c r="L579" s="2" t="n">
        <v>5165</v>
      </c>
      <c r="M579" t="n">
        <v>-30.8</v>
      </c>
      <c r="N579" t="inlineStr">
        <is>
          <t>20260723900392</t>
        </is>
      </c>
      <c r="O579">
        <f>HYPERLINK("https://dart.fss.or.kr/dsaf001/main.do?rcpNo=20260723900392", "공시열람")</f>
        <v/>
      </c>
    </row>
    <row r="580">
      <c r="A580" t="inlineStr">
        <is>
          <t>2026-07-23</t>
        </is>
      </c>
      <c r="B580" t="inlineStr">
        <is>
          <t>KB금융</t>
        </is>
      </c>
      <c r="C580" t="inlineStr">
        <is>
          <t>105560</t>
        </is>
      </c>
      <c r="D580" t="inlineStr">
        <is>
          <t>연결</t>
        </is>
      </c>
      <c r="E580" t="inlineStr">
        <is>
          <t>2026Q2</t>
        </is>
      </c>
      <c r="F580" s="2" t="n">
        <v>11750941</v>
      </c>
      <c r="G580" t="n">
        <v>-26.18</v>
      </c>
      <c r="H580" t="n">
        <v>-17.07</v>
      </c>
      <c r="I580" s="2" t="n">
        <v>1505435</v>
      </c>
      <c r="J580" t="n">
        <v>-7.35</v>
      </c>
      <c r="K580" t="n">
        <v>-3.28</v>
      </c>
      <c r="L580" s="2" t="n">
        <v>1124017</v>
      </c>
      <c r="M580" t="n">
        <v>-2.43</v>
      </c>
      <c r="N580" t="inlineStr">
        <is>
          <t>20260723800438</t>
        </is>
      </c>
      <c r="O580">
        <f>HYPERLINK("https://dart.fss.or.kr/dsaf001/main.do?rcpNo=20260723800438", "공시열람")</f>
        <v/>
      </c>
    </row>
    <row r="581">
      <c r="A581" t="inlineStr">
        <is>
          <t>2026-07-23</t>
        </is>
      </c>
      <c r="B581" t="inlineStr">
        <is>
          <t>KB금융</t>
        </is>
      </c>
      <c r="C581" t="inlineStr">
        <is>
          <t>105560</t>
        </is>
      </c>
      <c r="D581" t="inlineStr">
        <is>
          <t>연결</t>
        </is>
      </c>
      <c r="E581" t="inlineStr">
        <is>
          <t>2026Q1</t>
        </is>
      </c>
      <c r="F581" s="2" t="n">
        <v>12277934</v>
      </c>
      <c r="G581" t="n">
        <v>47.02</v>
      </c>
      <c r="H581" t="n">
        <v>281.71</v>
      </c>
      <c r="I581" s="2" t="n">
        <v>600609</v>
      </c>
      <c r="J581" t="n">
        <v>32.55</v>
      </c>
      <c r="K581" t="n">
        <v>175.45</v>
      </c>
      <c r="L581" s="2" t="n">
        <v>450769</v>
      </c>
      <c r="M581" t="n">
        <v>180.58</v>
      </c>
      <c r="N581" t="inlineStr">
        <is>
          <t>20260723800439</t>
        </is>
      </c>
      <c r="O581">
        <f>HYPERLINK("https://dart.fss.or.kr/dsaf001/main.do?rcpNo=20260723800439", "공시열람")</f>
        <v/>
      </c>
    </row>
    <row r="582">
      <c r="A582" t="inlineStr">
        <is>
          <t>2026-07-23</t>
        </is>
      </c>
      <c r="B582" t="inlineStr">
        <is>
          <t>KB금융</t>
        </is>
      </c>
      <c r="C582" t="inlineStr">
        <is>
          <t>105560</t>
        </is>
      </c>
      <c r="D582" t="inlineStr">
        <is>
          <t>연결</t>
        </is>
      </c>
      <c r="E582" t="inlineStr">
        <is>
          <t>2026Q2</t>
        </is>
      </c>
      <c r="F582" s="2" t="n">
        <v>31757381</v>
      </c>
      <c r="G582" t="n">
        <v>3.45</v>
      </c>
      <c r="H582" t="n">
        <v>31.23</v>
      </c>
      <c r="I582" s="2" t="n">
        <v>2712548</v>
      </c>
      <c r="J582" t="n">
        <v>-0.55</v>
      </c>
      <c r="K582" t="n">
        <v>27.17</v>
      </c>
      <c r="L582" s="2" t="n">
        <v>2010508</v>
      </c>
      <c r="M582" t="n">
        <v>15.05</v>
      </c>
      <c r="N582" t="inlineStr">
        <is>
          <t>20260723800451</t>
        </is>
      </c>
      <c r="O582">
        <f>HYPERLINK("https://dart.fss.or.kr/dsaf001/main.do?rcpNo=20260723800451", "공시열람")</f>
        <v/>
      </c>
    </row>
    <row r="583">
      <c r="A583" t="inlineStr">
        <is>
          <t>2026-07-23</t>
        </is>
      </c>
      <c r="B583" t="inlineStr">
        <is>
          <t>두산밥캣</t>
        </is>
      </c>
      <c r="C583" t="inlineStr">
        <is>
          <t>241560</t>
        </is>
      </c>
      <c r="D583" t="inlineStr">
        <is>
          <t>연결</t>
        </is>
      </c>
      <c r="E583" t="inlineStr">
        <is>
          <t>2026Q2</t>
        </is>
      </c>
      <c r="F583" s="2" t="n">
        <v>2447900</v>
      </c>
      <c r="G583" t="n">
        <v>8.9</v>
      </c>
      <c r="H583" t="n">
        <v>11.2</v>
      </c>
      <c r="I583" s="2" t="n">
        <v>291700</v>
      </c>
      <c r="J583" t="n">
        <v>40.9</v>
      </c>
      <c r="K583" t="n">
        <v>42.9</v>
      </c>
      <c r="L583" s="2" t="n">
        <v>199500</v>
      </c>
      <c r="M583" t="n">
        <v>63.9</v>
      </c>
      <c r="N583" t="inlineStr">
        <is>
          <t>20260723800468</t>
        </is>
      </c>
      <c r="O583">
        <f>HYPERLINK("https://dart.fss.or.kr/dsaf001/main.do?rcpNo=20260723800468", "공시열람")</f>
        <v/>
      </c>
    </row>
    <row r="584">
      <c r="A584" t="inlineStr">
        <is>
          <t>2026-07-23</t>
        </is>
      </c>
      <c r="B584" t="inlineStr">
        <is>
          <t>NH투자증권</t>
        </is>
      </c>
      <c r="C584" t="inlineStr">
        <is>
          <t>005940</t>
        </is>
      </c>
      <c r="D584" t="inlineStr">
        <is>
          <t>연결</t>
        </is>
      </c>
      <c r="E584" t="inlineStr">
        <is>
          <t>2026Q2</t>
        </is>
      </c>
      <c r="F584" s="2" t="n">
        <v>12848152</v>
      </c>
      <c r="G584" t="n">
        <v>44.4</v>
      </c>
      <c r="H584" t="n">
        <v>207.79</v>
      </c>
      <c r="I584" s="2" t="n">
        <v>681244</v>
      </c>
      <c r="J584" t="n">
        <v>7</v>
      </c>
      <c r="K584" t="n">
        <v>111.62</v>
      </c>
      <c r="L584" s="2" t="n">
        <v>489437</v>
      </c>
      <c r="M584" t="n">
        <v>90.52</v>
      </c>
      <c r="N584" t="inlineStr">
        <is>
          <t>20260723800581</t>
        </is>
      </c>
      <c r="O584">
        <f>HYPERLINK("https://dart.fss.or.kr/dsaf001/main.do?rcpNo=20260723800581", "공시열람")</f>
        <v/>
      </c>
    </row>
    <row r="585">
      <c r="A585" t="inlineStr">
        <is>
          <t>2026-07-23</t>
        </is>
      </c>
      <c r="B585" t="inlineStr">
        <is>
          <t>SGC E&amp;C</t>
        </is>
      </c>
      <c r="C585" t="inlineStr">
        <is>
          <t>016250</t>
        </is>
      </c>
      <c r="D585" t="inlineStr">
        <is>
          <t>연결</t>
        </is>
      </c>
      <c r="E585" t="inlineStr">
        <is>
          <t>2026Q2</t>
        </is>
      </c>
      <c r="F585" s="2" t="n">
        <v>278671</v>
      </c>
      <c r="G585" t="n">
        <v>-12.33</v>
      </c>
      <c r="H585" t="n">
        <v>-17.07</v>
      </c>
      <c r="I585" s="2" t="n">
        <v>14293</v>
      </c>
      <c r="J585" t="n">
        <v>-20.14</v>
      </c>
      <c r="K585" t="n">
        <v>-4.36</v>
      </c>
      <c r="L585" s="2" t="inlineStr"/>
      <c r="M585" t="inlineStr"/>
      <c r="N585" t="inlineStr">
        <is>
          <t>20260723900281</t>
        </is>
      </c>
      <c r="O585">
        <f>HYPERLINK("https://dart.fss.or.kr/dsaf001/main.do?rcpNo=20260723900281", "공시열람")</f>
        <v/>
      </c>
    </row>
    <row r="586">
      <c r="A586" t="inlineStr">
        <is>
          <t>2026-07-23</t>
        </is>
      </c>
      <c r="B586" t="inlineStr">
        <is>
          <t>SGC에너지</t>
        </is>
      </c>
      <c r="C586" t="inlineStr">
        <is>
          <t>005090</t>
        </is>
      </c>
      <c r="D586" t="inlineStr">
        <is>
          <t>연결</t>
        </is>
      </c>
      <c r="E586" t="inlineStr">
        <is>
          <t>2026Q2</t>
        </is>
      </c>
      <c r="F586" s="2" t="n">
        <v>577000</v>
      </c>
      <c r="G586" t="n">
        <v>-5.6</v>
      </c>
      <c r="H586" t="n">
        <v>-6.7</v>
      </c>
      <c r="I586" s="2" t="n">
        <v>44800</v>
      </c>
      <c r="J586" t="n">
        <v>25.5</v>
      </c>
      <c r="K586" t="n">
        <v>31.9</v>
      </c>
      <c r="L586" s="2" t="n">
        <v>7300</v>
      </c>
      <c r="M586" t="inlineStr"/>
      <c r="N586" t="inlineStr">
        <is>
          <t>20260723800288</t>
        </is>
      </c>
      <c r="O586">
        <f>HYPERLINK("https://dart.fss.or.kr/dsaf001/main.do?rcpNo=20260723800288", "공시열람")</f>
        <v/>
      </c>
    </row>
    <row r="587">
      <c r="A587" t="inlineStr">
        <is>
          <t>2026-07-23</t>
        </is>
      </c>
      <c r="B587" t="inlineStr">
        <is>
          <t>삼성E&amp;A</t>
        </is>
      </c>
      <c r="C587" t="inlineStr">
        <is>
          <t>028050</t>
        </is>
      </c>
      <c r="D587" t="inlineStr">
        <is>
          <t>연결</t>
        </is>
      </c>
      <c r="E587" t="inlineStr">
        <is>
          <t>2026Q2</t>
        </is>
      </c>
      <c r="F587" s="2" t="n">
        <v>2609331</v>
      </c>
      <c r="G587" t="n">
        <v>15.1</v>
      </c>
      <c r="H587" t="n">
        <v>19.8</v>
      </c>
      <c r="I587" s="2" t="n">
        <v>273087</v>
      </c>
      <c r="J587" t="n">
        <v>45.1</v>
      </c>
      <c r="K587" t="n">
        <v>51</v>
      </c>
      <c r="L587" s="2" t="n">
        <v>182508</v>
      </c>
      <c r="M587" t="n">
        <v>28.8</v>
      </c>
      <c r="N587" t="inlineStr">
        <is>
          <t>20260723800275</t>
        </is>
      </c>
      <c r="O587">
        <f>HYPERLINK("https://dart.fss.or.kr/dsaf001/main.do?rcpNo=20260723800275", "공시열람")</f>
        <v/>
      </c>
    </row>
    <row r="588">
      <c r="A588" t="inlineStr">
        <is>
          <t>2026-07-23</t>
        </is>
      </c>
      <c r="B588" t="inlineStr">
        <is>
          <t>졸스</t>
        </is>
      </c>
      <c r="C588" t="inlineStr">
        <is>
          <t>018700</t>
        </is>
      </c>
      <c r="D588" t="inlineStr">
        <is>
          <t>연결</t>
        </is>
      </c>
      <c r="E588" t="inlineStr">
        <is>
          <t>2026Q2</t>
        </is>
      </c>
      <c r="F588" s="2" t="n">
        <v>12251</v>
      </c>
      <c r="G588" t="n">
        <v>9.5</v>
      </c>
      <c r="H588" t="n">
        <v>-26</v>
      </c>
      <c r="I588" s="2" t="n">
        <v>2554</v>
      </c>
      <c r="J588" t="inlineStr"/>
      <c r="K588" t="inlineStr"/>
      <c r="L588" s="2" t="n">
        <v>3390</v>
      </c>
      <c r="M588" t="inlineStr"/>
      <c r="N588" t="inlineStr">
        <is>
          <t>20260723900266</t>
        </is>
      </c>
      <c r="O588">
        <f>HYPERLINK("https://dart.fss.or.kr/dsaf001/main.do?rcpNo=20260723900266", "공시열람")</f>
        <v/>
      </c>
    </row>
    <row r="589">
      <c r="A589" t="inlineStr">
        <is>
          <t>2026-07-23</t>
        </is>
      </c>
      <c r="B589" t="inlineStr">
        <is>
          <t>엘에스일렉트릭</t>
        </is>
      </c>
      <c r="C589" t="inlineStr">
        <is>
          <t>010120</t>
        </is>
      </c>
      <c r="D589" t="inlineStr">
        <is>
          <t>연결</t>
        </is>
      </c>
      <c r="E589" t="inlineStr">
        <is>
          <t>2026Q2</t>
        </is>
      </c>
      <c r="F589" s="2" t="n">
        <v>1576998</v>
      </c>
      <c r="G589" t="n">
        <v>14.56</v>
      </c>
      <c r="H589" t="n">
        <v>32.18</v>
      </c>
      <c r="I589" s="2" t="n">
        <v>178520</v>
      </c>
      <c r="J589" t="n">
        <v>41.05</v>
      </c>
      <c r="K589" t="n">
        <v>64.39</v>
      </c>
      <c r="L589" s="2" t="n">
        <v>115838</v>
      </c>
      <c r="M589" t="n">
        <v>72.23</v>
      </c>
      <c r="N589" t="inlineStr">
        <is>
          <t>20260723800150</t>
        </is>
      </c>
      <c r="O589">
        <f>HYPERLINK("https://dart.fss.or.kr/dsaf001/main.do?rcpNo=20260723800150", "공시열람")</f>
        <v/>
      </c>
    </row>
    <row r="590">
      <c r="A590" t="inlineStr">
        <is>
          <t>2026-07-22</t>
        </is>
      </c>
      <c r="B590" t="inlineStr">
        <is>
          <t>유니드</t>
        </is>
      </c>
      <c r="C590" t="inlineStr">
        <is>
          <t>014830</t>
        </is>
      </c>
      <c r="D590" t="inlineStr">
        <is>
          <t>연결</t>
        </is>
      </c>
      <c r="E590" t="inlineStr">
        <is>
          <t>2026Q2</t>
        </is>
      </c>
      <c r="F590" s="2" t="n">
        <v>399849</v>
      </c>
      <c r="G590" t="n">
        <v>4.02</v>
      </c>
      <c r="H590" t="n">
        <v>17.28</v>
      </c>
      <c r="I590" s="2" t="n">
        <v>24243</v>
      </c>
      <c r="J590" t="n">
        <v>-4.94</v>
      </c>
      <c r="K590" t="n">
        <v>-26.14</v>
      </c>
      <c r="L590" s="2" t="n">
        <v>43059</v>
      </c>
      <c r="M590" t="n">
        <v>81.09999999999999</v>
      </c>
      <c r="N590" t="inlineStr">
        <is>
          <t>20260722800288</t>
        </is>
      </c>
      <c r="O590">
        <f>HYPERLINK("https://dart.fss.or.kr/dsaf001/main.do?rcpNo=20260722800288", "공시열람")</f>
        <v/>
      </c>
    </row>
    <row r="591">
      <c r="A591" t="inlineStr">
        <is>
          <t>2026-07-22</t>
        </is>
      </c>
      <c r="B591" t="inlineStr">
        <is>
          <t>코스모신소재</t>
        </is>
      </c>
      <c r="C591" t="inlineStr">
        <is>
          <t>005070</t>
        </is>
      </c>
      <c r="D591" t="inlineStr">
        <is>
          <t>별도</t>
        </is>
      </c>
      <c r="E591" t="inlineStr">
        <is>
          <t>2026Q2</t>
        </is>
      </c>
      <c r="F591" s="2" t="n">
        <v>137684</v>
      </c>
      <c r="G591" t="n">
        <v>12.2</v>
      </c>
      <c r="H591" t="n">
        <v>14.6</v>
      </c>
      <c r="I591" s="2" t="n">
        <v>4653</v>
      </c>
      <c r="J591" t="n">
        <v>432.4</v>
      </c>
      <c r="K591" t="n">
        <v>779.9</v>
      </c>
      <c r="L591" s="2" t="n">
        <v>1804</v>
      </c>
      <c r="M591" t="n">
        <v>-20.9</v>
      </c>
      <c r="N591" t="inlineStr">
        <is>
          <t>20260722800226</t>
        </is>
      </c>
      <c r="O591">
        <f>HYPERLINK("https://dart.fss.or.kr/dsaf001/main.do?rcpNo=20260722800226", "공시열람")</f>
        <v/>
      </c>
    </row>
    <row r="592">
      <c r="A592" t="inlineStr">
        <is>
          <t>2026-07-22</t>
        </is>
      </c>
      <c r="B592" t="inlineStr">
        <is>
          <t>LG디스플레이</t>
        </is>
      </c>
      <c r="C592" t="inlineStr">
        <is>
          <t>034220</t>
        </is>
      </c>
      <c r="D592" t="inlineStr">
        <is>
          <t>연결</t>
        </is>
      </c>
      <c r="E592" t="inlineStr">
        <is>
          <t>2026Q2</t>
        </is>
      </c>
      <c r="F592" s="2" t="n">
        <v>5612063</v>
      </c>
      <c r="G592" t="n">
        <v>1</v>
      </c>
      <c r="H592" t="n">
        <v>0</v>
      </c>
      <c r="I592" s="2" t="n">
        <v>-107728</v>
      </c>
      <c r="J592" t="inlineStr"/>
      <c r="K592" t="n">
        <v>7</v>
      </c>
      <c r="L592" s="2" t="n">
        <v>-418831</v>
      </c>
      <c r="M592" t="inlineStr"/>
      <c r="N592" t="inlineStr">
        <is>
          <t>20260722800138</t>
        </is>
      </c>
      <c r="O592">
        <f>HYPERLINK("https://dart.fss.or.kr/dsaf001/main.do?rcpNo=20260722800138", "공시열람")</f>
        <v/>
      </c>
    </row>
    <row r="593">
      <c r="A593" t="inlineStr">
        <is>
          <t>2026-07-22</t>
        </is>
      </c>
      <c r="B593" t="inlineStr">
        <is>
          <t>지슨</t>
        </is>
      </c>
      <c r="C593" t="inlineStr">
        <is>
          <t>446840</t>
        </is>
      </c>
      <c r="D593" t="inlineStr">
        <is>
          <t>별도</t>
        </is>
      </c>
      <c r="E593" t="inlineStr">
        <is>
          <t>2026Q2</t>
        </is>
      </c>
      <c r="F593" s="2" t="n">
        <v>4898</v>
      </c>
      <c r="G593" t="n">
        <v>99.04000000000001</v>
      </c>
      <c r="H593" t="n">
        <v>82.05</v>
      </c>
      <c r="I593" s="2" t="n">
        <v>462</v>
      </c>
      <c r="J593" t="inlineStr"/>
      <c r="K593" t="inlineStr"/>
      <c r="L593" s="2" t="n">
        <v>389</v>
      </c>
      <c r="M593" t="inlineStr"/>
      <c r="N593" t="inlineStr">
        <is>
          <t>20260722900384</t>
        </is>
      </c>
      <c r="O593">
        <f>HYPERLINK("https://dart.fss.or.kr/dsaf001/main.do?rcpNo=20260722900384", "공시열람")</f>
        <v/>
      </c>
    </row>
    <row r="594">
      <c r="A594" t="inlineStr">
        <is>
          <t>2026-07-22</t>
        </is>
      </c>
      <c r="B594" t="inlineStr">
        <is>
          <t>OCI</t>
        </is>
      </c>
      <c r="C594" t="inlineStr">
        <is>
          <t>456040</t>
        </is>
      </c>
      <c r="D594" t="inlineStr">
        <is>
          <t>연결</t>
        </is>
      </c>
      <c r="E594" t="inlineStr">
        <is>
          <t>2026Q2</t>
        </is>
      </c>
      <c r="F594" s="2" t="n">
        <v>535010</v>
      </c>
      <c r="G594" t="n">
        <v>5.6</v>
      </c>
      <c r="H594" t="n">
        <v>1.5</v>
      </c>
      <c r="I594" s="2" t="n">
        <v>43261</v>
      </c>
      <c r="J594" t="n">
        <v>55.5</v>
      </c>
      <c r="K594" t="inlineStr"/>
      <c r="L594" s="2" t="n">
        <v>29787</v>
      </c>
      <c r="M594" t="inlineStr"/>
      <c r="N594" t="inlineStr">
        <is>
          <t>20260722800388</t>
        </is>
      </c>
      <c r="O594">
        <f>HYPERLINK("https://dart.fss.or.kr/dsaf001/main.do?rcpNo=20260722800388", "공시열람")</f>
        <v/>
      </c>
    </row>
    <row r="595">
      <c r="A595" t="inlineStr">
        <is>
          <t>2026-07-22</t>
        </is>
      </c>
      <c r="B595" t="inlineStr">
        <is>
          <t>제주은행</t>
        </is>
      </c>
      <c r="C595" t="inlineStr">
        <is>
          <t>006220</t>
        </is>
      </c>
      <c r="D595" t="inlineStr">
        <is>
          <t>연결</t>
        </is>
      </c>
      <c r="E595" t="inlineStr">
        <is>
          <t>2026Q2</t>
        </is>
      </c>
      <c r="F595" s="2" t="n">
        <v>103916</v>
      </c>
      <c r="G595" t="n">
        <v>9.81</v>
      </c>
      <c r="H595" t="n">
        <v>12.66</v>
      </c>
      <c r="I595" s="2" t="n">
        <v>4997</v>
      </c>
      <c r="J595" t="n">
        <v>427.67</v>
      </c>
      <c r="K595" t="n">
        <v>130.7</v>
      </c>
      <c r="L595" s="2" t="n">
        <v>4762</v>
      </c>
      <c r="M595" t="n">
        <v>-7.53</v>
      </c>
      <c r="N595" t="inlineStr">
        <is>
          <t>20260722800701</t>
        </is>
      </c>
      <c r="O595">
        <f>HYPERLINK("https://dart.fss.or.kr/dsaf001/main.do?rcpNo=20260722800701", "공시열람")</f>
        <v/>
      </c>
    </row>
    <row r="596">
      <c r="A596" t="inlineStr">
        <is>
          <t>2026-07-21</t>
        </is>
      </c>
      <c r="B596" t="inlineStr">
        <is>
          <t>화인베스틸</t>
        </is>
      </c>
      <c r="C596" t="inlineStr">
        <is>
          <t>133820</t>
        </is>
      </c>
      <c r="D596" t="inlineStr">
        <is>
          <t>별도</t>
        </is>
      </c>
      <c r="E596" t="inlineStr">
        <is>
          <t>2026Q2</t>
        </is>
      </c>
      <c r="F596" s="2" t="n">
        <v>48261</v>
      </c>
      <c r="G596" t="n">
        <v>-3.1</v>
      </c>
      <c r="H596" t="n">
        <v>4.2</v>
      </c>
      <c r="I596" s="2" t="n">
        <v>1637</v>
      </c>
      <c r="J596" t="n">
        <v>-10.5</v>
      </c>
      <c r="K596" t="n">
        <v>-33.6</v>
      </c>
      <c r="L596" s="2" t="n">
        <v>328</v>
      </c>
      <c r="M596" t="n">
        <v>-94.90000000000001</v>
      </c>
      <c r="N596" t="inlineStr">
        <is>
          <t>20260721800174</t>
        </is>
      </c>
      <c r="O596">
        <f>HYPERLINK("https://dart.fss.or.kr/dsaf001/main.do?rcpNo=20260721800174", "공시열람")</f>
        <v/>
      </c>
    </row>
    <row r="597">
      <c r="A597" t="inlineStr">
        <is>
          <t>2026-07-21</t>
        </is>
      </c>
      <c r="B597" t="inlineStr">
        <is>
          <t>에프앤가이드</t>
        </is>
      </c>
      <c r="C597" t="inlineStr">
        <is>
          <t>064850</t>
        </is>
      </c>
      <c r="D597" t="inlineStr">
        <is>
          <t>연결</t>
        </is>
      </c>
      <c r="E597" t="inlineStr">
        <is>
          <t>2026Q2</t>
        </is>
      </c>
      <c r="F597" s="2" t="n">
        <v>14921</v>
      </c>
      <c r="G597" t="n">
        <v>29.59</v>
      </c>
      <c r="H597" t="n">
        <v>96.33</v>
      </c>
      <c r="I597" s="2" t="n">
        <v>7863</v>
      </c>
      <c r="J597" t="n">
        <v>67.98</v>
      </c>
      <c r="K597" t="n">
        <v>281.14</v>
      </c>
      <c r="L597" s="2" t="n">
        <v>6343</v>
      </c>
      <c r="M597" t="n">
        <v>94.56999999999999</v>
      </c>
      <c r="N597" t="inlineStr">
        <is>
          <t>20260721900132</t>
        </is>
      </c>
      <c r="O597">
        <f>HYPERLINK("https://dart.fss.or.kr/dsaf001/main.do?rcpNo=20260721900132", "공시열람")</f>
        <v/>
      </c>
    </row>
    <row r="598">
      <c r="A598" t="inlineStr">
        <is>
          <t>2026-07-21</t>
        </is>
      </c>
      <c r="B598" t="inlineStr">
        <is>
          <t>동일스틸럭스</t>
        </is>
      </c>
      <c r="C598" t="inlineStr">
        <is>
          <t>023790</t>
        </is>
      </c>
      <c r="D598" t="inlineStr">
        <is>
          <t>별도</t>
        </is>
      </c>
      <c r="E598" t="inlineStr">
        <is>
          <t>2026Q2</t>
        </is>
      </c>
      <c r="F598" s="2" t="n">
        <v>8619</v>
      </c>
      <c r="G598" t="n">
        <v>25.8</v>
      </c>
      <c r="H598" t="n">
        <v>74.3</v>
      </c>
      <c r="I598" s="2" t="n">
        <v>479</v>
      </c>
      <c r="J598" t="inlineStr"/>
      <c r="K598" t="inlineStr"/>
      <c r="L598" s="2" t="n">
        <v>-206</v>
      </c>
      <c r="M598" t="n">
        <v>79</v>
      </c>
      <c r="N598" t="inlineStr">
        <is>
          <t>20260721900123</t>
        </is>
      </c>
      <c r="O598">
        <f>HYPERLINK("https://dart.fss.or.kr/dsaf001/main.do?rcpNo=20260721900123", "공시열람")</f>
        <v/>
      </c>
    </row>
    <row r="599">
      <c r="A599" t="inlineStr">
        <is>
          <t>2026-07-21</t>
        </is>
      </c>
      <c r="B599" t="inlineStr">
        <is>
          <t>부광약품</t>
        </is>
      </c>
      <c r="C599" t="inlineStr">
        <is>
          <t>003000</t>
        </is>
      </c>
      <c r="D599" t="inlineStr">
        <is>
          <t>연결</t>
        </is>
      </c>
      <c r="E599" t="inlineStr">
        <is>
          <t>2026Q2</t>
        </is>
      </c>
      <c r="F599" s="2" t="n">
        <v>56988</v>
      </c>
      <c r="G599" t="n">
        <v>19.3</v>
      </c>
      <c r="H599" t="n">
        <v>33.8</v>
      </c>
      <c r="I599" s="2" t="n">
        <v>1409</v>
      </c>
      <c r="J599" t="n">
        <v>27.6</v>
      </c>
      <c r="K599" t="n">
        <v>-30</v>
      </c>
      <c r="L599" s="2" t="n">
        <v>1387</v>
      </c>
      <c r="M599" t="n">
        <v>-78.3</v>
      </c>
      <c r="N599" t="inlineStr">
        <is>
          <t>20260721800615</t>
        </is>
      </c>
      <c r="O599">
        <f>HYPERLINK("https://dart.fss.or.kr/dsaf001/main.do?rcpNo=20260721800615", "공시열람")</f>
        <v/>
      </c>
    </row>
    <row r="600">
      <c r="A600" t="inlineStr">
        <is>
          <t>2026-07-20</t>
        </is>
      </c>
      <c r="B600" t="inlineStr">
        <is>
          <t>파두</t>
        </is>
      </c>
      <c r="C600" t="inlineStr">
        <is>
          <t>440110</t>
        </is>
      </c>
      <c r="D600" t="inlineStr">
        <is>
          <t>연결</t>
        </is>
      </c>
      <c r="E600" t="inlineStr">
        <is>
          <t>2026Q2</t>
        </is>
      </c>
      <c r="F600" s="2" t="n">
        <v>73155</v>
      </c>
      <c r="G600" t="n">
        <v>22.9</v>
      </c>
      <c r="H600" t="n">
        <v>208.9</v>
      </c>
      <c r="I600" s="2" t="n">
        <v>16267</v>
      </c>
      <c r="J600" t="n">
        <v>111.6</v>
      </c>
      <c r="K600" t="inlineStr"/>
      <c r="L600" s="2" t="inlineStr"/>
      <c r="M600" t="inlineStr"/>
      <c r="N600" t="inlineStr">
        <is>
          <t>20260720900116</t>
        </is>
      </c>
      <c r="O600">
        <f>HYPERLINK("https://dart.fss.or.kr/dsaf001/main.do?rcpNo=20260720900116", "공시열람")</f>
        <v/>
      </c>
    </row>
    <row r="601">
      <c r="A601" t="inlineStr">
        <is>
          <t>2026-07-20</t>
        </is>
      </c>
      <c r="B601" t="inlineStr">
        <is>
          <t>가온전선</t>
        </is>
      </c>
      <c r="C601" t="inlineStr">
        <is>
          <t>000500</t>
        </is>
      </c>
      <c r="D601" t="inlineStr">
        <is>
          <t>연결</t>
        </is>
      </c>
      <c r="E601" t="inlineStr">
        <is>
          <t>2026Q2</t>
        </is>
      </c>
      <c r="F601" s="2" t="n">
        <v>869390</v>
      </c>
      <c r="G601" t="n">
        <v>13.9</v>
      </c>
      <c r="H601" t="n">
        <v>35.1</v>
      </c>
      <c r="I601" s="2" t="n">
        <v>36132</v>
      </c>
      <c r="J601" t="n">
        <v>29.8</v>
      </c>
      <c r="K601" t="n">
        <v>55.5</v>
      </c>
      <c r="L601" s="2" t="n">
        <v>22554</v>
      </c>
      <c r="M601" t="n">
        <v>57.6</v>
      </c>
      <c r="N601" t="inlineStr">
        <is>
          <t>20260720800192</t>
        </is>
      </c>
      <c r="O601">
        <f>HYPERLINK("https://dart.fss.or.kr/dsaf001/main.do?rcpNo=20260720800192", "공시열람")</f>
        <v/>
      </c>
    </row>
    <row r="602">
      <c r="A602" t="inlineStr">
        <is>
          <t>2026-07-16</t>
        </is>
      </c>
      <c r="B602" t="inlineStr">
        <is>
          <t>주연테크</t>
        </is>
      </c>
      <c r="C602" t="inlineStr">
        <is>
          <t>044380</t>
        </is>
      </c>
      <c r="D602" t="inlineStr">
        <is>
          <t>별도</t>
        </is>
      </c>
      <c r="E602" t="inlineStr">
        <is>
          <t>2026Q2</t>
        </is>
      </c>
      <c r="F602" s="2" t="n">
        <v>14785</v>
      </c>
      <c r="G602" t="n">
        <v>-13.7</v>
      </c>
      <c r="H602" t="n">
        <v>4.3</v>
      </c>
      <c r="I602" s="2" t="n">
        <v>97</v>
      </c>
      <c r="J602" t="n">
        <v>-76.7</v>
      </c>
      <c r="K602" t="inlineStr"/>
      <c r="L602" s="2" t="n">
        <v>193</v>
      </c>
      <c r="M602" t="inlineStr"/>
      <c r="N602" t="inlineStr">
        <is>
          <t>20260716800060</t>
        </is>
      </c>
      <c r="O602">
        <f>HYPERLINK("https://dart.fss.or.kr/dsaf001/main.do?rcpNo=20260716800060", "공시열람")</f>
        <v/>
      </c>
    </row>
    <row r="603">
      <c r="A603" t="inlineStr">
        <is>
          <t>2026-07-16</t>
        </is>
      </c>
      <c r="B603" t="inlineStr">
        <is>
          <t>피플바이오</t>
        </is>
      </c>
      <c r="C603" t="inlineStr">
        <is>
          <t>304840</t>
        </is>
      </c>
      <c r="D603" t="inlineStr">
        <is>
          <t>연결</t>
        </is>
      </c>
      <c r="E603" t="inlineStr">
        <is>
          <t>2026Q2</t>
        </is>
      </c>
      <c r="F603" s="2" t="n">
        <v>1669</v>
      </c>
      <c r="G603" t="n">
        <v>159.6</v>
      </c>
      <c r="H603" t="n">
        <v>128</v>
      </c>
      <c r="I603" s="2" t="n">
        <v>-687</v>
      </c>
      <c r="J603" t="n">
        <v>53.5</v>
      </c>
      <c r="K603" t="n">
        <v>65.2</v>
      </c>
      <c r="L603" s="2" t="inlineStr"/>
      <c r="M603" t="inlineStr"/>
      <c r="N603" t="inlineStr">
        <is>
          <t>20260716900436</t>
        </is>
      </c>
      <c r="O603">
        <f>HYPERLINK("https://dart.fss.or.kr/dsaf001/main.do?rcpNo=20260716900436", "공시열람")</f>
        <v/>
      </c>
    </row>
    <row r="604">
      <c r="A604" t="inlineStr">
        <is>
          <t>2026-07-16</t>
        </is>
      </c>
      <c r="B604" t="inlineStr">
        <is>
          <t>HD현대중공업</t>
        </is>
      </c>
      <c r="C604" t="inlineStr">
        <is>
          <t>329180</t>
        </is>
      </c>
      <c r="D604" t="inlineStr">
        <is>
          <t>별도</t>
        </is>
      </c>
      <c r="E604" t="inlineStr">
        <is>
          <t>2026Q2</t>
        </is>
      </c>
      <c r="F604" s="2" t="inlineStr"/>
      <c r="G604" t="inlineStr"/>
      <c r="H604" t="inlineStr"/>
      <c r="I604" s="2" t="inlineStr"/>
      <c r="J604" t="inlineStr"/>
      <c r="K604" t="inlineStr"/>
      <c r="L604" s="2" t="inlineStr"/>
      <c r="M604" t="inlineStr"/>
      <c r="N604" t="inlineStr">
        <is>
          <t>20260716800621</t>
        </is>
      </c>
      <c r="O604">
        <f>HYPERLINK("https://dart.fss.or.kr/dsaf001/main.do?rcpNo=20260716800621", "공시열람")</f>
        <v/>
      </c>
    </row>
    <row r="605">
      <c r="A605" t="inlineStr">
        <is>
          <t>2026-07-16</t>
        </is>
      </c>
      <c r="B605" t="inlineStr">
        <is>
          <t>HD한국조선해양</t>
        </is>
      </c>
      <c r="C605" t="inlineStr">
        <is>
          <t>009540</t>
        </is>
      </c>
      <c r="D605" t="inlineStr">
        <is>
          <t>별도</t>
        </is>
      </c>
      <c r="E605" t="inlineStr">
        <is>
          <t>2026Q2</t>
        </is>
      </c>
      <c r="F605" s="2" t="inlineStr"/>
      <c r="G605" t="inlineStr"/>
      <c r="H605" t="inlineStr"/>
      <c r="I605" s="2" t="inlineStr"/>
      <c r="J605" t="inlineStr"/>
      <c r="K605" t="inlineStr"/>
      <c r="L605" s="2" t="inlineStr"/>
      <c r="M605" t="inlineStr"/>
      <c r="N605" t="inlineStr">
        <is>
          <t>20260716800632</t>
        </is>
      </c>
      <c r="O605">
        <f>HYPERLINK("https://dart.fss.or.kr/dsaf001/main.do?rcpNo=20260716800632", "공시열람")</f>
        <v/>
      </c>
    </row>
    <row r="606">
      <c r="A606" t="inlineStr">
        <is>
          <t>2026-07-16</t>
        </is>
      </c>
      <c r="B606" t="inlineStr">
        <is>
          <t>HD한국조선해양</t>
        </is>
      </c>
      <c r="C606" t="inlineStr">
        <is>
          <t>009540</t>
        </is>
      </c>
      <c r="D606" t="inlineStr">
        <is>
          <t>별도</t>
        </is>
      </c>
      <c r="E606" t="inlineStr">
        <is>
          <t>2026Q2</t>
        </is>
      </c>
      <c r="F606" s="2" t="inlineStr"/>
      <c r="G606" t="inlineStr"/>
      <c r="H606" t="inlineStr"/>
      <c r="I606" s="2" t="inlineStr"/>
      <c r="J606" t="inlineStr"/>
      <c r="K606" t="inlineStr"/>
      <c r="L606" s="2" t="inlineStr"/>
      <c r="M606" t="inlineStr"/>
      <c r="N606" t="inlineStr">
        <is>
          <t>20260716800643</t>
        </is>
      </c>
      <c r="O606">
        <f>HYPERLINK("https://dart.fss.or.kr/dsaf001/main.do?rcpNo=20260716800643", "공시열람")</f>
        <v/>
      </c>
    </row>
    <row r="607">
      <c r="A607" t="inlineStr">
        <is>
          <t>2026-07-15</t>
        </is>
      </c>
      <c r="B607" t="inlineStr">
        <is>
          <t>프로티아</t>
        </is>
      </c>
      <c r="C607" t="inlineStr">
        <is>
          <t>303360</t>
        </is>
      </c>
      <c r="D607" t="inlineStr">
        <is>
          <t>별도</t>
        </is>
      </c>
      <c r="E607" t="inlineStr">
        <is>
          <t>2026Q2</t>
        </is>
      </c>
      <c r="F607" s="2" t="n">
        <v>5347</v>
      </c>
      <c r="G607" t="n">
        <v>39.9</v>
      </c>
      <c r="H607" t="n">
        <v>39.1</v>
      </c>
      <c r="I607" s="2" t="n">
        <v>1657</v>
      </c>
      <c r="J607" t="n">
        <v>118.1</v>
      </c>
      <c r="K607" t="n">
        <v>58.8</v>
      </c>
      <c r="L607" s="2" t="n">
        <v>1567</v>
      </c>
      <c r="M607" t="n">
        <v>99.09999999999999</v>
      </c>
      <c r="N607" t="inlineStr">
        <is>
          <t>20260715900217</t>
        </is>
      </c>
      <c r="O607">
        <f>HYPERLINK("https://dart.fss.or.kr/dsaf001/main.do?rcpNo=20260715900217", "공시열람")</f>
        <v/>
      </c>
    </row>
    <row r="608">
      <c r="A608" t="inlineStr">
        <is>
          <t>2026-07-14</t>
        </is>
      </c>
      <c r="B608" t="inlineStr">
        <is>
          <t>메카로</t>
        </is>
      </c>
      <c r="C608" t="inlineStr">
        <is>
          <t>241770</t>
        </is>
      </c>
      <c r="D608" t="inlineStr">
        <is>
          <t>연결</t>
        </is>
      </c>
      <c r="E608" t="inlineStr">
        <is>
          <t>2026Q2</t>
        </is>
      </c>
      <c r="F608" s="2" t="n">
        <v>25346</v>
      </c>
      <c r="G608" t="n">
        <v>-0.68</v>
      </c>
      <c r="H608" t="n">
        <v>10.69</v>
      </c>
      <c r="I608" s="2" t="inlineStr"/>
      <c r="J608" t="inlineStr"/>
      <c r="K608" t="inlineStr"/>
      <c r="L608" s="2" t="inlineStr"/>
      <c r="M608" t="inlineStr"/>
      <c r="N608" t="inlineStr">
        <is>
          <t>20260714900587</t>
        </is>
      </c>
      <c r="O608">
        <f>HYPERLINK("https://dart.fss.or.kr/dsaf001/main.do?rcpNo=20260714900587", "공시열람")</f>
        <v/>
      </c>
    </row>
    <row r="609">
      <c r="A609" t="inlineStr">
        <is>
          <t>2026-07-14</t>
        </is>
      </c>
      <c r="B609" t="inlineStr">
        <is>
          <t>소프트캠프</t>
        </is>
      </c>
      <c r="C609" t="inlineStr">
        <is>
          <t>258790</t>
        </is>
      </c>
      <c r="D609" t="inlineStr">
        <is>
          <t>연결</t>
        </is>
      </c>
      <c r="E609" t="inlineStr">
        <is>
          <t>2026Q2</t>
        </is>
      </c>
      <c r="F609" s="2" t="n">
        <v>6999</v>
      </c>
      <c r="G609" t="n">
        <v>52.9</v>
      </c>
      <c r="H609" t="n">
        <v>37.5</v>
      </c>
      <c r="I609" s="2" t="n">
        <v>583</v>
      </c>
      <c r="J609" t="inlineStr"/>
      <c r="K609" t="n">
        <v>279.6</v>
      </c>
      <c r="L609" s="2" t="n">
        <v>3257</v>
      </c>
      <c r="M609" t="inlineStr"/>
      <c r="N609" t="inlineStr">
        <is>
          <t>20260714900620</t>
        </is>
      </c>
      <c r="O609">
        <f>HYPERLINK("https://dart.fss.or.kr/dsaf001/main.do?rcpNo=20260714900620", "공시열람")</f>
        <v/>
      </c>
    </row>
    <row r="610">
      <c r="A610" t="inlineStr">
        <is>
          <t>2026-07-14</t>
        </is>
      </c>
      <c r="B610" t="inlineStr">
        <is>
          <t>티앤알바이오팹</t>
        </is>
      </c>
      <c r="C610" t="inlineStr">
        <is>
          <t>246710</t>
        </is>
      </c>
      <c r="D610" t="inlineStr">
        <is>
          <t>연결</t>
        </is>
      </c>
      <c r="E610" t="inlineStr">
        <is>
          <t>2026Q2</t>
        </is>
      </c>
      <c r="F610" s="2" t="n">
        <v>9545</v>
      </c>
      <c r="G610" t="n">
        <v>9.5</v>
      </c>
      <c r="H610" t="n">
        <v>46</v>
      </c>
      <c r="I610" s="2" t="inlineStr"/>
      <c r="J610" t="inlineStr"/>
      <c r="K610" t="inlineStr"/>
      <c r="L610" s="2" t="inlineStr"/>
      <c r="M610" t="inlineStr"/>
      <c r="N610" t="inlineStr">
        <is>
          <t>20260714900290</t>
        </is>
      </c>
      <c r="O610">
        <f>HYPERLINK("https://dart.fss.or.kr/dsaf001/main.do?rcpNo=20260714900290", "공시열람")</f>
        <v/>
      </c>
    </row>
    <row r="611">
      <c r="A611" t="inlineStr">
        <is>
          <t>2026-07-14</t>
        </is>
      </c>
      <c r="B611" t="inlineStr">
        <is>
          <t>한미반도체</t>
        </is>
      </c>
      <c r="C611" t="inlineStr">
        <is>
          <t>042700</t>
        </is>
      </c>
      <c r="D611" t="inlineStr">
        <is>
          <t>연결</t>
        </is>
      </c>
      <c r="E611" t="inlineStr">
        <is>
          <t>2026Q2</t>
        </is>
      </c>
      <c r="F611" s="2" t="n">
        <v>251163</v>
      </c>
      <c r="G611" t="n">
        <v>393.4</v>
      </c>
      <c r="H611" t="n">
        <v>39.5</v>
      </c>
      <c r="I611" s="2" t="n">
        <v>130346</v>
      </c>
      <c r="J611" t="n">
        <v>1441.4</v>
      </c>
      <c r="K611" t="n">
        <v>51</v>
      </c>
      <c r="L611" s="2" t="inlineStr"/>
      <c r="M611" t="inlineStr"/>
      <c r="N611" t="inlineStr">
        <is>
          <t>20260714800204</t>
        </is>
      </c>
      <c r="O611">
        <f>HYPERLINK("https://dart.fss.or.kr/dsaf001/main.do?rcpNo=20260714800204", "공시열람")</f>
        <v/>
      </c>
    </row>
    <row r="612">
      <c r="A612" t="inlineStr">
        <is>
          <t>2026-07-14</t>
        </is>
      </c>
      <c r="B612" t="inlineStr">
        <is>
          <t>캠시스</t>
        </is>
      </c>
      <c r="C612" t="inlineStr">
        <is>
          <t>050110</t>
        </is>
      </c>
      <c r="D612" t="inlineStr">
        <is>
          <t>연결</t>
        </is>
      </c>
      <c r="E612" t="inlineStr">
        <is>
          <t>2026Q2</t>
        </is>
      </c>
      <c r="F612" s="2" t="n">
        <v>295273</v>
      </c>
      <c r="G612" t="n">
        <v>44</v>
      </c>
      <c r="H612" t="n">
        <v>3.6</v>
      </c>
      <c r="I612" s="2" t="n">
        <v>8674</v>
      </c>
      <c r="J612" t="inlineStr"/>
      <c r="K612" t="inlineStr"/>
      <c r="L612" s="2" t="inlineStr"/>
      <c r="M612" t="inlineStr"/>
      <c r="N612" t="inlineStr">
        <is>
          <t>20260714900158</t>
        </is>
      </c>
      <c r="O612">
        <f>HYPERLINK("https://dart.fss.or.kr/dsaf001/main.do?rcpNo=20260714900158", "공시열람")</f>
        <v/>
      </c>
    </row>
    <row r="613">
      <c r="A613" t="inlineStr">
        <is>
          <t>2026-07-13</t>
        </is>
      </c>
      <c r="B613" t="inlineStr">
        <is>
          <t>테크윙</t>
        </is>
      </c>
      <c r="C613" t="inlineStr">
        <is>
          <t>089030</t>
        </is>
      </c>
      <c r="D613" t="inlineStr">
        <is>
          <t>연결</t>
        </is>
      </c>
      <c r="E613" t="inlineStr">
        <is>
          <t>2026Q2</t>
        </is>
      </c>
      <c r="F613" s="2" t="n">
        <v>56777</v>
      </c>
      <c r="G613" t="n">
        <v>8.35</v>
      </c>
      <c r="H613" t="n">
        <v>16.12</v>
      </c>
      <c r="I613" s="2" t="n">
        <v>12505</v>
      </c>
      <c r="J613" t="n">
        <v>28.89</v>
      </c>
      <c r="K613" t="n">
        <v>96.59</v>
      </c>
      <c r="L613" s="2" t="inlineStr"/>
      <c r="M613" t="inlineStr"/>
      <c r="N613" t="inlineStr">
        <is>
          <t>20260713900328</t>
        </is>
      </c>
      <c r="O613">
        <f>HYPERLINK("https://dart.fss.or.kr/dsaf001/main.do?rcpNo=20260713900328", "공시열람")</f>
        <v/>
      </c>
    </row>
    <row r="614">
      <c r="A614" t="inlineStr">
        <is>
          <t>2026-07-13</t>
        </is>
      </c>
      <c r="B614" t="inlineStr">
        <is>
          <t>대한항공</t>
        </is>
      </c>
      <c r="C614" t="inlineStr">
        <is>
          <t>003490</t>
        </is>
      </c>
      <c r="D614" t="inlineStr">
        <is>
          <t>별도</t>
        </is>
      </c>
      <c r="E614" t="inlineStr">
        <is>
          <t>2026Q2</t>
        </is>
      </c>
      <c r="F614" s="2" t="n">
        <v>5019900</v>
      </c>
      <c r="G614" t="n">
        <v>11.2</v>
      </c>
      <c r="H614" t="n">
        <v>25.9</v>
      </c>
      <c r="I614" s="2" t="n">
        <v>261800</v>
      </c>
      <c r="J614" t="n">
        <v>-49.4</v>
      </c>
      <c r="K614" t="n">
        <v>-34.4</v>
      </c>
      <c r="L614" s="2" t="n">
        <v>-97300</v>
      </c>
      <c r="M614" t="inlineStr"/>
      <c r="N614" t="inlineStr">
        <is>
          <t>20260713800490</t>
        </is>
      </c>
      <c r="O614">
        <f>HYPERLINK("https://dart.fss.or.kr/dsaf001/main.do?rcpNo=20260713800490", "공시열람")</f>
        <v/>
      </c>
    </row>
    <row r="615">
      <c r="A615" t="inlineStr">
        <is>
          <t>2026-07-13</t>
        </is>
      </c>
      <c r="B615" t="inlineStr">
        <is>
          <t>서울반도체</t>
        </is>
      </c>
      <c r="C615" t="inlineStr">
        <is>
          <t>046890</t>
        </is>
      </c>
      <c r="D615" t="inlineStr">
        <is>
          <t>연결</t>
        </is>
      </c>
      <c r="E615" t="inlineStr">
        <is>
          <t>2026Q2</t>
        </is>
      </c>
      <c r="F615" s="2" t="n">
        <v>293969</v>
      </c>
      <c r="G615" t="n">
        <v>23.4</v>
      </c>
      <c r="H615" t="n">
        <v>16.9</v>
      </c>
      <c r="I615" s="2" t="inlineStr"/>
      <c r="J615" t="inlineStr"/>
      <c r="K615" t="inlineStr"/>
      <c r="L615" s="2" t="inlineStr"/>
      <c r="M615" t="inlineStr"/>
      <c r="N615" t="inlineStr">
        <is>
          <t>20260713900371</t>
        </is>
      </c>
      <c r="O615">
        <f>HYPERLINK("https://dart.fss.or.kr/dsaf001/main.do?rcpNo=20260713900371", "공시열람")</f>
        <v/>
      </c>
    </row>
    <row r="616">
      <c r="A616" t="inlineStr">
        <is>
          <t>2026-07-13</t>
        </is>
      </c>
      <c r="B616" t="inlineStr">
        <is>
          <t>모비데이즈</t>
        </is>
      </c>
      <c r="C616" t="inlineStr">
        <is>
          <t>363260</t>
        </is>
      </c>
      <c r="D616" t="inlineStr">
        <is>
          <t>연결</t>
        </is>
      </c>
      <c r="E616" t="inlineStr">
        <is>
          <t>2026Q2</t>
        </is>
      </c>
      <c r="F616" s="2" t="n">
        <v>13088</v>
      </c>
      <c r="G616" t="n">
        <v>36.88</v>
      </c>
      <c r="H616" t="n">
        <v>7.43</v>
      </c>
      <c r="I616" s="2" t="n">
        <v>2755</v>
      </c>
      <c r="J616" t="inlineStr"/>
      <c r="K616" t="n">
        <v>11.31</v>
      </c>
      <c r="L616" s="2" t="inlineStr"/>
      <c r="M616" t="inlineStr"/>
      <c r="N616" t="inlineStr">
        <is>
          <t>20260713900441</t>
        </is>
      </c>
      <c r="O616">
        <f>HYPERLINK("https://dart.fss.or.kr/dsaf001/main.do?rcpNo=20260713900441", "공시열람")</f>
        <v/>
      </c>
    </row>
    <row r="617">
      <c r="A617" t="inlineStr">
        <is>
          <t>2026-07-13</t>
        </is>
      </c>
      <c r="B617" t="inlineStr">
        <is>
          <t>서울바이오시스</t>
        </is>
      </c>
      <c r="C617" t="inlineStr">
        <is>
          <t>092190</t>
        </is>
      </c>
      <c r="D617" t="inlineStr">
        <is>
          <t>연결</t>
        </is>
      </c>
      <c r="E617" t="inlineStr">
        <is>
          <t>2026Q2</t>
        </is>
      </c>
      <c r="F617" s="2" t="n">
        <v>212091</v>
      </c>
      <c r="G617" t="n">
        <v>12.9</v>
      </c>
      <c r="H617" t="n">
        <v>12.7</v>
      </c>
      <c r="I617" s="2" t="inlineStr"/>
      <c r="J617" t="inlineStr"/>
      <c r="K617" t="inlineStr"/>
      <c r="L617" s="2" t="inlineStr"/>
      <c r="M617" t="inlineStr"/>
      <c r="N617" t="inlineStr">
        <is>
          <t>20260713900533</t>
        </is>
      </c>
      <c r="O617">
        <f>HYPERLINK("https://dart.fss.or.kr/dsaf001/main.do?rcpNo=20260713900533", "공시열람")</f>
        <v/>
      </c>
    </row>
    <row r="618">
      <c r="A618" t="inlineStr">
        <is>
          <t>2026-07-10</t>
        </is>
      </c>
      <c r="B618" t="inlineStr">
        <is>
          <t>세나테크놀로지</t>
        </is>
      </c>
      <c r="C618" t="inlineStr">
        <is>
          <t>061090</t>
        </is>
      </c>
      <c r="D618" t="inlineStr">
        <is>
          <t>연결</t>
        </is>
      </c>
      <c r="E618" t="inlineStr">
        <is>
          <t>2026Q2</t>
        </is>
      </c>
      <c r="F618" s="2" t="n">
        <v>75460</v>
      </c>
      <c r="G618" t="n">
        <v>72.2</v>
      </c>
      <c r="H618" t="n">
        <v>40.3</v>
      </c>
      <c r="I618" s="2" t="n">
        <v>18002</v>
      </c>
      <c r="J618" t="n">
        <v>367.9</v>
      </c>
      <c r="K618" t="n">
        <v>127.7</v>
      </c>
      <c r="L618" s="2" t="n">
        <v>14772</v>
      </c>
      <c r="M618" t="n">
        <v>127.2</v>
      </c>
      <c r="N618" t="inlineStr">
        <is>
          <t>20260710900008</t>
        </is>
      </c>
      <c r="O618">
        <f>HYPERLINK("https://dart.fss.or.kr/dsaf001/main.do?rcpNo=20260710900008", "공시열람")</f>
        <v/>
      </c>
    </row>
    <row r="619">
      <c r="A619" t="inlineStr">
        <is>
          <t>2026-07-09</t>
        </is>
      </c>
      <c r="B619" t="inlineStr">
        <is>
          <t>비츠로셀</t>
        </is>
      </c>
      <c r="C619" t="inlineStr">
        <is>
          <t>082920</t>
        </is>
      </c>
      <c r="D619" t="inlineStr">
        <is>
          <t>연결</t>
        </is>
      </c>
      <c r="E619" t="inlineStr">
        <is>
          <t>2026Q2</t>
        </is>
      </c>
      <c r="F619" s="2" t="n">
        <v>76295</v>
      </c>
      <c r="G619" t="n">
        <v>11.8</v>
      </c>
      <c r="H619" t="n">
        <v>35</v>
      </c>
      <c r="I619" s="2" t="n">
        <v>19564</v>
      </c>
      <c r="J619" t="n">
        <v>-3.5</v>
      </c>
      <c r="K619" t="n">
        <v>21.3</v>
      </c>
      <c r="L619" s="2" t="inlineStr"/>
      <c r="M619" t="inlineStr"/>
      <c r="N619" t="inlineStr">
        <is>
          <t>20260709900508</t>
        </is>
      </c>
      <c r="O619">
        <f>HYPERLINK("https://dart.fss.or.kr/dsaf001/main.do?rcpNo=20260709900508", "공시열람")</f>
        <v/>
      </c>
    </row>
    <row r="620">
      <c r="A620" t="inlineStr">
        <is>
          <t>2026-07-09</t>
        </is>
      </c>
      <c r="B620" t="inlineStr">
        <is>
          <t>광주신세계</t>
        </is>
      </c>
      <c r="C620" t="inlineStr">
        <is>
          <t>037710</t>
        </is>
      </c>
      <c r="D620" t="inlineStr">
        <is>
          <t>별도</t>
        </is>
      </c>
      <c r="E620" t="inlineStr">
        <is>
          <t>2026Q2</t>
        </is>
      </c>
      <c r="F620" s="2" t="n">
        <v>14323</v>
      </c>
      <c r="G620" t="n">
        <v>-21.2</v>
      </c>
      <c r="H620" t="n">
        <v>2.9</v>
      </c>
      <c r="I620" s="2" t="inlineStr"/>
      <c r="J620" t="inlineStr"/>
      <c r="K620" t="inlineStr"/>
      <c r="L620" s="2" t="inlineStr"/>
      <c r="M620" t="inlineStr"/>
      <c r="N620" t="inlineStr">
        <is>
          <t>20260709800484</t>
        </is>
      </c>
      <c r="O620">
        <f>HYPERLINK("https://dart.fss.or.kr/dsaf001/main.do?rcpNo=20260709800484", "공시열람")</f>
        <v/>
      </c>
    </row>
    <row r="621">
      <c r="A621" t="inlineStr">
        <is>
          <t>2026-07-09</t>
        </is>
      </c>
      <c r="B621" t="inlineStr">
        <is>
          <t>신세계</t>
        </is>
      </c>
      <c r="C621" t="inlineStr">
        <is>
          <t>004170</t>
        </is>
      </c>
      <c r="D621" t="inlineStr">
        <is>
          <t>별도</t>
        </is>
      </c>
      <c r="E621" t="inlineStr">
        <is>
          <t>2026Q2</t>
        </is>
      </c>
      <c r="F621" s="2" t="n">
        <v>174117</v>
      </c>
      <c r="G621" t="n">
        <v>-13.26</v>
      </c>
      <c r="H621" t="n">
        <v>14.87</v>
      </c>
      <c r="I621" s="2" t="inlineStr"/>
      <c r="J621" t="inlineStr"/>
      <c r="K621" t="inlineStr"/>
      <c r="L621" s="2" t="inlineStr"/>
      <c r="M621" t="inlineStr"/>
      <c r="N621" t="inlineStr">
        <is>
          <t>20260709800374</t>
        </is>
      </c>
      <c r="O621">
        <f>HYPERLINK("https://dart.fss.or.kr/dsaf001/main.do?rcpNo=20260709800374", "공시열람")</f>
        <v/>
      </c>
    </row>
    <row r="622">
      <c r="A622" t="inlineStr">
        <is>
          <t>2026-07-09</t>
        </is>
      </c>
      <c r="B622" t="inlineStr">
        <is>
          <t>한국가스공사</t>
        </is>
      </c>
      <c r="C622" t="inlineStr">
        <is>
          <t>036460</t>
        </is>
      </c>
      <c r="D622" t="inlineStr">
        <is>
          <t>별도</t>
        </is>
      </c>
      <c r="E622" t="inlineStr">
        <is>
          <t>2026Q2</t>
        </is>
      </c>
      <c r="F622" s="2" t="inlineStr"/>
      <c r="G622" t="inlineStr"/>
      <c r="H622" t="inlineStr"/>
      <c r="I622" s="2" t="inlineStr"/>
      <c r="J622" t="inlineStr"/>
      <c r="K622" t="inlineStr"/>
      <c r="L622" s="2" t="inlineStr"/>
      <c r="M622" t="inlineStr"/>
      <c r="N622" t="inlineStr">
        <is>
          <t>20260709800358</t>
        </is>
      </c>
      <c r="O622">
        <f>HYPERLINK("https://dart.fss.or.kr/dsaf001/main.do?rcpNo=20260709800358", "공시열람")</f>
        <v/>
      </c>
    </row>
    <row r="623">
      <c r="A623" t="inlineStr">
        <is>
          <t>2026-07-09</t>
        </is>
      </c>
      <c r="B623" t="inlineStr">
        <is>
          <t>이마트</t>
        </is>
      </c>
      <c r="C623" t="inlineStr">
        <is>
          <t>139480</t>
        </is>
      </c>
      <c r="D623" t="inlineStr">
        <is>
          <t>별도</t>
        </is>
      </c>
      <c r="E623" t="inlineStr">
        <is>
          <t>2026Q2</t>
        </is>
      </c>
      <c r="F623" s="2" t="n">
        <v>1357700</v>
      </c>
      <c r="G623" t="n">
        <v>-5</v>
      </c>
      <c r="H623" t="n">
        <v>2.7</v>
      </c>
      <c r="I623" s="2" t="inlineStr"/>
      <c r="J623" t="inlineStr"/>
      <c r="K623" t="inlineStr"/>
      <c r="L623" s="2" t="inlineStr"/>
      <c r="M623" t="inlineStr"/>
      <c r="N623" t="inlineStr">
        <is>
          <t>20260709800326</t>
        </is>
      </c>
      <c r="O623">
        <f>HYPERLINK("https://dart.fss.or.kr/dsaf001/main.do?rcpNo=20260709800326", "공시열람")</f>
        <v/>
      </c>
    </row>
    <row r="624">
      <c r="A624" t="inlineStr">
        <is>
          <t>2026-07-09</t>
        </is>
      </c>
      <c r="B624" t="inlineStr">
        <is>
          <t>오리온</t>
        </is>
      </c>
      <c r="C624" t="inlineStr">
        <is>
          <t>271560</t>
        </is>
      </c>
      <c r="D624" t="inlineStr">
        <is>
          <t>연결</t>
        </is>
      </c>
      <c r="E624" t="inlineStr">
        <is>
          <t>2026Q2</t>
        </is>
      </c>
      <c r="F624" s="2" t="inlineStr"/>
      <c r="G624" t="inlineStr"/>
      <c r="H624" t="inlineStr"/>
      <c r="I624" s="2" t="inlineStr"/>
      <c r="J624" t="inlineStr"/>
      <c r="K624" t="inlineStr"/>
      <c r="L624" s="2" t="inlineStr"/>
      <c r="M624" t="inlineStr"/>
      <c r="N624" t="inlineStr">
        <is>
          <t>20260709800269</t>
        </is>
      </c>
      <c r="O624">
        <f>HYPERLINK("https://dart.fss.or.kr/dsaf001/main.do?rcpNo=20260709800269", "공시열람")</f>
        <v/>
      </c>
    </row>
    <row r="625">
      <c r="A625" t="inlineStr">
        <is>
          <t>2026-07-08</t>
        </is>
      </c>
      <c r="B625" t="inlineStr">
        <is>
          <t>한진</t>
        </is>
      </c>
      <c r="C625" t="inlineStr">
        <is>
          <t>002320</t>
        </is>
      </c>
      <c r="D625" t="inlineStr">
        <is>
          <t>연결</t>
        </is>
      </c>
      <c r="E625" t="inlineStr">
        <is>
          <t>2026Q2</t>
        </is>
      </c>
      <c r="F625" s="2" t="n">
        <v>847800</v>
      </c>
      <c r="G625" t="n">
        <v>8.800000000000001</v>
      </c>
      <c r="H625" t="n">
        <v>14.4</v>
      </c>
      <c r="I625" s="2" t="n">
        <v>28700</v>
      </c>
      <c r="J625" t="n">
        <v>44.9</v>
      </c>
      <c r="K625" t="n">
        <v>-22.4</v>
      </c>
      <c r="L625" s="2" t="inlineStr"/>
      <c r="M625" t="inlineStr"/>
      <c r="N625" t="inlineStr">
        <is>
          <t>20260708800499</t>
        </is>
      </c>
      <c r="O625">
        <f>HYPERLINK("https://dart.fss.or.kr/dsaf001/main.do?rcpNo=20260708800499", "공시열람")</f>
        <v/>
      </c>
    </row>
    <row r="626">
      <c r="A626" t="inlineStr">
        <is>
          <t>2026-07-07</t>
        </is>
      </c>
      <c r="B626" t="inlineStr">
        <is>
          <t>삼성전자</t>
        </is>
      </c>
      <c r="C626" t="inlineStr">
        <is>
          <t>005930</t>
        </is>
      </c>
      <c r="D626" t="inlineStr">
        <is>
          <t>연결</t>
        </is>
      </c>
      <c r="E626" t="inlineStr">
        <is>
          <t>2026Q2</t>
        </is>
      </c>
      <c r="F626" s="2" t="n">
        <v>171</v>
      </c>
      <c r="G626" t="n">
        <v>27.74</v>
      </c>
      <c r="H626" t="n">
        <v>129.31</v>
      </c>
      <c r="I626" s="2" t="n">
        <v>89</v>
      </c>
      <c r="J626" t="n">
        <v>56.21</v>
      </c>
      <c r="K626" t="n">
        <v>1810.26</v>
      </c>
      <c r="L626" s="2" t="inlineStr"/>
      <c r="M626" t="inlineStr"/>
      <c r="N626" t="inlineStr">
        <is>
          <t>20260707800004</t>
        </is>
      </c>
      <c r="O626">
        <f>HYPERLINK("https://dart.fss.or.kr/dsaf001/main.do?rcpNo=20260707800004", "공시열람")</f>
        <v/>
      </c>
    </row>
    <row r="627">
      <c r="A627" t="inlineStr">
        <is>
          <t>2026-07-07</t>
        </is>
      </c>
      <c r="B627" t="inlineStr">
        <is>
          <t>LG전자</t>
        </is>
      </c>
      <c r="C627" t="inlineStr">
        <is>
          <t>066570</t>
        </is>
      </c>
      <c r="D627" t="inlineStr">
        <is>
          <t>연결</t>
        </is>
      </c>
      <c r="E627" t="inlineStr">
        <is>
          <t>2026Q2</t>
        </is>
      </c>
      <c r="F627" s="2" t="n">
        <v>23829700</v>
      </c>
      <c r="G627" t="n">
        <v>0.4</v>
      </c>
      <c r="H627" t="n">
        <v>14.9</v>
      </c>
      <c r="I627" s="2" t="n">
        <v>1578800</v>
      </c>
      <c r="J627" t="n">
        <v>-5.7</v>
      </c>
      <c r="K627" t="n">
        <v>146.9</v>
      </c>
      <c r="L627" s="2" t="inlineStr"/>
      <c r="M627" t="inlineStr"/>
      <c r="N627" t="inlineStr">
        <is>
          <t>20260707800176</t>
        </is>
      </c>
      <c r="O627">
        <f>HYPERLINK("https://dart.fss.or.kr/dsaf001/main.do?rcpNo=20260707800176", "공시열람")</f>
        <v/>
      </c>
    </row>
    <row r="628">
      <c r="A628" t="inlineStr">
        <is>
          <t>2026-07-07</t>
        </is>
      </c>
      <c r="B628" t="inlineStr">
        <is>
          <t>LG에너지솔루션</t>
        </is>
      </c>
      <c r="C628" t="inlineStr">
        <is>
          <t>373220</t>
        </is>
      </c>
      <c r="D628" t="inlineStr">
        <is>
          <t>연결</t>
        </is>
      </c>
      <c r="E628" t="inlineStr">
        <is>
          <t>2026Q2</t>
        </is>
      </c>
      <c r="F628" s="2" t="n">
        <v>7560200</v>
      </c>
      <c r="G628" t="n">
        <v>15.3</v>
      </c>
      <c r="H628" t="n">
        <v>24.8</v>
      </c>
      <c r="I628" s="2" t="n">
        <v>113300</v>
      </c>
      <c r="J628" t="inlineStr"/>
      <c r="K628" t="n">
        <v>-77</v>
      </c>
      <c r="L628" s="2" t="inlineStr"/>
      <c r="M628" t="inlineStr"/>
      <c r="N628" t="inlineStr">
        <is>
          <t>20260707800074</t>
        </is>
      </c>
      <c r="O628">
        <f>HYPERLINK("https://dart.fss.or.kr/dsaf001/main.do?rcpNo=20260707800074", "공시열람")</f>
        <v/>
      </c>
    </row>
    <row r="629">
      <c r="A629" t="inlineStr">
        <is>
          <t>2026-07-03</t>
        </is>
      </c>
      <c r="B629" t="inlineStr">
        <is>
          <t>셀트리온</t>
        </is>
      </c>
      <c r="C629" t="inlineStr">
        <is>
          <t>068270</t>
        </is>
      </c>
      <c r="D629" t="inlineStr">
        <is>
          <t>연결</t>
        </is>
      </c>
      <c r="E629" t="inlineStr">
        <is>
          <t>2026Q2</t>
        </is>
      </c>
      <c r="F629" s="2" t="n">
        <v>1300000</v>
      </c>
      <c r="G629" t="n">
        <v>13.54</v>
      </c>
      <c r="H629" t="n">
        <v>35.21</v>
      </c>
      <c r="I629" s="2" t="n">
        <v>430000</v>
      </c>
      <c r="J629" t="n">
        <v>33.58</v>
      </c>
      <c r="K629" t="n">
        <v>77.31999999999999</v>
      </c>
      <c r="L629" s="2" t="inlineStr"/>
      <c r="M629" t="inlineStr"/>
      <c r="N629" t="inlineStr">
        <is>
          <t>20260703800022</t>
        </is>
      </c>
      <c r="O629">
        <f>HYPERLINK("https://dart.fss.or.kr/dsaf001/main.do?rcpNo=20260703800022", "공시열람")</f>
        <v/>
      </c>
    </row>
    <row r="630">
      <c r="A630" t="inlineStr">
        <is>
          <t>2026-07-02</t>
        </is>
      </c>
      <c r="B630" t="inlineStr">
        <is>
          <t>파라다이스</t>
        </is>
      </c>
      <c r="C630" t="inlineStr">
        <is>
          <t>034230</t>
        </is>
      </c>
      <c r="D630" t="inlineStr">
        <is>
          <t>연결</t>
        </is>
      </c>
      <c r="E630" t="inlineStr">
        <is>
          <t>2026Q2</t>
        </is>
      </c>
      <c r="F630" s="2" t="inlineStr"/>
      <c r="G630" t="inlineStr"/>
      <c r="H630" t="inlineStr"/>
      <c r="I630" s="2" t="inlineStr"/>
      <c r="J630" t="inlineStr"/>
      <c r="K630" t="inlineStr"/>
      <c r="L630" s="2" t="inlineStr"/>
      <c r="M630" t="inlineStr"/>
      <c r="N630" t="inlineStr">
        <is>
          <t>20260702800589</t>
        </is>
      </c>
      <c r="O630">
        <f>HYPERLINK("https://dart.fss.or.kr/dsaf001/main.do?rcpNo=20260702800589", "공시열람")</f>
        <v/>
      </c>
    </row>
    <row r="631">
      <c r="A631" t="inlineStr">
        <is>
          <t>2026-07-02</t>
        </is>
      </c>
      <c r="B631" t="inlineStr">
        <is>
          <t>GKL</t>
        </is>
      </c>
      <c r="C631" t="inlineStr">
        <is>
          <t>114090</t>
        </is>
      </c>
      <c r="D631" t="inlineStr">
        <is>
          <t>별도</t>
        </is>
      </c>
      <c r="E631" t="inlineStr">
        <is>
          <t>2026Q2</t>
        </is>
      </c>
      <c r="F631" s="2" t="inlineStr"/>
      <c r="G631" t="inlineStr"/>
      <c r="H631" t="inlineStr"/>
      <c r="I631" s="2" t="inlineStr"/>
      <c r="J631" t="inlineStr"/>
      <c r="K631" t="inlineStr"/>
      <c r="L631" s="2" t="inlineStr"/>
      <c r="M631" t="inlineStr"/>
      <c r="N631" t="inlineStr">
        <is>
          <t>20260702800408</t>
        </is>
      </c>
      <c r="O631">
        <f>HYPERLINK("https://dart.fss.or.kr/dsaf001/main.do?rcpNo=20260702800408", "공시열람")</f>
        <v/>
      </c>
    </row>
    <row r="632">
      <c r="A632" t="inlineStr">
        <is>
          <t>2026-07-01</t>
        </is>
      </c>
      <c r="B632" t="inlineStr">
        <is>
          <t>롯데관광개발</t>
        </is>
      </c>
      <c r="C632" t="inlineStr">
        <is>
          <t>032350</t>
        </is>
      </c>
      <c r="D632" t="inlineStr">
        <is>
          <t>연결</t>
        </is>
      </c>
      <c r="E632" t="inlineStr">
        <is>
          <t>2026Q2</t>
        </is>
      </c>
      <c r="F632" s="2" t="inlineStr"/>
      <c r="G632" t="inlineStr"/>
      <c r="H632" t="inlineStr"/>
      <c r="I632" s="2" t="inlineStr"/>
      <c r="J632" t="inlineStr"/>
      <c r="K632" t="inlineStr"/>
      <c r="L632" s="2" t="inlineStr"/>
      <c r="M632" t="inlineStr"/>
      <c r="N632" t="inlineStr">
        <is>
          <t>20260701800581</t>
        </is>
      </c>
      <c r="O632">
        <f>HYPERLINK("https://dart.fss.or.kr/dsaf001/main.do?rcpNo=20260701800581", "공시열람")</f>
        <v/>
      </c>
    </row>
    <row r="633">
      <c r="A633" t="inlineStr">
        <is>
          <t>2026-07-01</t>
        </is>
      </c>
      <c r="B633" t="inlineStr">
        <is>
          <t>기아</t>
        </is>
      </c>
      <c r="C633" t="inlineStr">
        <is>
          <t>000270</t>
        </is>
      </c>
      <c r="D633" t="inlineStr">
        <is>
          <t>별도</t>
        </is>
      </c>
      <c r="E633" t="inlineStr">
        <is>
          <t>2026Q2</t>
        </is>
      </c>
      <c r="F633" s="2" t="inlineStr"/>
      <c r="G633" t="inlineStr"/>
      <c r="H633" t="inlineStr"/>
      <c r="I633" s="2" t="inlineStr"/>
      <c r="J633" t="inlineStr"/>
      <c r="K633" t="inlineStr"/>
      <c r="L633" s="2" t="inlineStr"/>
      <c r="M633" t="inlineStr"/>
      <c r="N633" t="inlineStr">
        <is>
          <t>20260701800569</t>
        </is>
      </c>
      <c r="O633">
        <f>HYPERLINK("https://dart.fss.or.kr/dsaf001/main.do?rcpNo=20260701800569", "공시열람")</f>
        <v/>
      </c>
    </row>
    <row r="634">
      <c r="A634" t="inlineStr">
        <is>
          <t>2026-07-01</t>
        </is>
      </c>
      <c r="B634" t="inlineStr">
        <is>
          <t>KG모빌리티</t>
        </is>
      </c>
      <c r="C634" t="inlineStr">
        <is>
          <t>003620</t>
        </is>
      </c>
      <c r="D634" t="inlineStr">
        <is>
          <t>별도</t>
        </is>
      </c>
      <c r="E634" t="inlineStr">
        <is>
          <t>2026Q2</t>
        </is>
      </c>
      <c r="F634" s="2" t="inlineStr"/>
      <c r="G634" t="inlineStr"/>
      <c r="H634" t="inlineStr"/>
      <c r="I634" s="2" t="inlineStr"/>
      <c r="J634" t="inlineStr"/>
      <c r="K634" t="inlineStr"/>
      <c r="L634" s="2" t="inlineStr"/>
      <c r="M634" t="inlineStr"/>
      <c r="N634" t="inlineStr">
        <is>
          <t>20260701800209</t>
        </is>
      </c>
      <c r="O634">
        <f>HYPERLINK("https://dart.fss.or.kr/dsaf001/main.do?rcpNo=20260701800209", "공시열람")</f>
        <v/>
      </c>
    </row>
    <row r="635">
      <c r="A635" t="inlineStr">
        <is>
          <t>2026-07-01</t>
        </is>
      </c>
      <c r="B635" t="inlineStr">
        <is>
          <t>현대자동차</t>
        </is>
      </c>
      <c r="C635" t="inlineStr">
        <is>
          <t>005380</t>
        </is>
      </c>
      <c r="D635" t="inlineStr">
        <is>
          <t>별도</t>
        </is>
      </c>
      <c r="E635" t="inlineStr">
        <is>
          <t>2026Q2</t>
        </is>
      </c>
      <c r="F635" s="2" t="inlineStr"/>
      <c r="G635" t="inlineStr"/>
      <c r="H635" t="inlineStr"/>
      <c r="I635" s="2" t="inlineStr"/>
      <c r="J635" t="inlineStr"/>
      <c r="K635" t="inlineStr"/>
      <c r="L635" s="2" t="inlineStr"/>
      <c r="M635" t="inlineStr"/>
      <c r="N635" t="inlineStr">
        <is>
          <t>20260701800788</t>
        </is>
      </c>
      <c r="O635">
        <f>HYPERLINK("https://dart.fss.or.kr/dsaf001/main.do?rcpNo=20260701800788", "공시열람")</f>
        <v/>
      </c>
    </row>
    <row r="636">
      <c r="A636" t="inlineStr">
        <is>
          <t>2026-06-29</t>
        </is>
      </c>
      <c r="B636" t="inlineStr">
        <is>
          <t>지역난방공사</t>
        </is>
      </c>
      <c r="C636" t="inlineStr">
        <is>
          <t>071320</t>
        </is>
      </c>
      <c r="D636" t="inlineStr">
        <is>
          <t>별도</t>
        </is>
      </c>
      <c r="E636" t="inlineStr">
        <is>
          <t>2026Q1</t>
        </is>
      </c>
      <c r="F636" s="2" t="inlineStr"/>
      <c r="G636" t="inlineStr"/>
      <c r="H636" t="inlineStr"/>
      <c r="I636" s="2" t="inlineStr"/>
      <c r="J636" t="inlineStr"/>
      <c r="K636" t="inlineStr"/>
      <c r="L636" s="2" t="inlineStr"/>
      <c r="M636" t="inlineStr"/>
      <c r="N636" t="inlineStr">
        <is>
          <t>20260629800856</t>
        </is>
      </c>
      <c r="O636">
        <f>HYPERLINK("https://dart.fss.or.kr/dsaf001/main.do?rcpNo=20260629800856", "공시열람")</f>
        <v/>
      </c>
    </row>
    <row r="637">
      <c r="A637" t="inlineStr">
        <is>
          <t>2026-06-18</t>
        </is>
      </c>
      <c r="B637" t="inlineStr">
        <is>
          <t>HD현대중공업</t>
        </is>
      </c>
      <c r="C637" t="inlineStr">
        <is>
          <t>329180</t>
        </is>
      </c>
      <c r="D637" t="inlineStr">
        <is>
          <t>별도</t>
        </is>
      </c>
      <c r="E637" t="inlineStr">
        <is>
          <t>2026Q1</t>
        </is>
      </c>
      <c r="F637" s="2" t="n">
        <v>1856547</v>
      </c>
      <c r="G637" t="n">
        <v>-14.69</v>
      </c>
      <c r="H637" t="n">
        <v>43.23</v>
      </c>
      <c r="I637" s="2" t="inlineStr"/>
      <c r="J637" t="inlineStr"/>
      <c r="K637" t="inlineStr"/>
      <c r="L637" s="2" t="inlineStr"/>
      <c r="M637" t="inlineStr"/>
      <c r="N637" t="inlineStr">
        <is>
          <t>20260618800565</t>
        </is>
      </c>
      <c r="O637">
        <f>HYPERLINK("https://dart.fss.or.kr/dsaf001/main.do?rcpNo=20260618800565", "공시열람")</f>
        <v/>
      </c>
    </row>
    <row r="638">
      <c r="A638" t="inlineStr">
        <is>
          <t>2026-06-18</t>
        </is>
      </c>
      <c r="B638" t="inlineStr">
        <is>
          <t>HD한국조선해양</t>
        </is>
      </c>
      <c r="C638" t="inlineStr">
        <is>
          <t>009540</t>
        </is>
      </c>
      <c r="D638" t="inlineStr">
        <is>
          <t>별도</t>
        </is>
      </c>
      <c r="E638" t="inlineStr">
        <is>
          <t>2026Q1</t>
        </is>
      </c>
      <c r="F638" s="2" t="n">
        <v>675197</v>
      </c>
      <c r="G638" t="n">
        <v>-15</v>
      </c>
      <c r="H638" t="n">
        <v>-1.05</v>
      </c>
      <c r="I638" s="2" t="inlineStr"/>
      <c r="J638" t="inlineStr"/>
      <c r="K638" t="inlineStr"/>
      <c r="L638" s="2" t="inlineStr"/>
      <c r="M638" t="inlineStr"/>
      <c r="N638" t="inlineStr">
        <is>
          <t>20260618800563</t>
        </is>
      </c>
      <c r="O638">
        <f>HYPERLINK("https://dart.fss.or.kr/dsaf001/main.do?rcpNo=20260618800563", "공시열람")</f>
        <v/>
      </c>
    </row>
    <row r="639">
      <c r="A639" t="inlineStr">
        <is>
          <t>2026-06-18</t>
        </is>
      </c>
      <c r="B639" t="inlineStr">
        <is>
          <t>HD한국조선해양</t>
        </is>
      </c>
      <c r="C639" t="inlineStr">
        <is>
          <t>009540</t>
        </is>
      </c>
      <c r="D639" t="inlineStr">
        <is>
          <t>별도</t>
        </is>
      </c>
      <c r="E639" t="inlineStr">
        <is>
          <t>2026Q1</t>
        </is>
      </c>
      <c r="F639" s="2" t="inlineStr"/>
      <c r="G639" t="inlineStr"/>
      <c r="H639" t="inlineStr"/>
      <c r="I639" s="2" t="inlineStr"/>
      <c r="J639" t="inlineStr"/>
      <c r="K639" t="inlineStr"/>
      <c r="L639" s="2" t="inlineStr"/>
      <c r="M639" t="inlineStr"/>
      <c r="N639" t="inlineStr">
        <is>
          <t>20260618800580</t>
        </is>
      </c>
      <c r="O639">
        <f>HYPERLINK("https://dart.fss.or.kr/dsaf001/main.do?rcpNo=20260618800580", "공시열람")</f>
        <v/>
      </c>
    </row>
    <row r="640">
      <c r="A640" t="inlineStr">
        <is>
          <t>2026-06-16</t>
        </is>
      </c>
      <c r="B640" t="inlineStr">
        <is>
          <t>오리온</t>
        </is>
      </c>
      <c r="C640" t="inlineStr">
        <is>
          <t>271560</t>
        </is>
      </c>
      <c r="D640" t="inlineStr">
        <is>
          <t>연결</t>
        </is>
      </c>
      <c r="E640" t="inlineStr">
        <is>
          <t>2026Q1</t>
        </is>
      </c>
      <c r="F640" s="2" t="inlineStr"/>
      <c r="G640" t="inlineStr"/>
      <c r="H640" t="inlineStr"/>
      <c r="I640" s="2" t="inlineStr"/>
      <c r="J640" t="inlineStr"/>
      <c r="K640" t="inlineStr"/>
      <c r="L640" s="2" t="inlineStr"/>
      <c r="M640" t="inlineStr"/>
      <c r="N640" t="inlineStr">
        <is>
          <t>20260616800198</t>
        </is>
      </c>
      <c r="O640">
        <f>HYPERLINK("https://dart.fss.or.kr/dsaf001/main.do?rcpNo=20260616800198", "공시열람")</f>
        <v/>
      </c>
    </row>
    <row r="641">
      <c r="A641" t="inlineStr">
        <is>
          <t>2026-06-11</t>
        </is>
      </c>
      <c r="B641" t="inlineStr">
        <is>
          <t>이마트</t>
        </is>
      </c>
      <c r="C641" t="inlineStr">
        <is>
          <t>139480</t>
        </is>
      </c>
      <c r="D641" t="inlineStr">
        <is>
          <t>별도</t>
        </is>
      </c>
      <c r="E641" t="inlineStr">
        <is>
          <t>2026Q1</t>
        </is>
      </c>
      <c r="F641" s="2" t="n">
        <v>1428900</v>
      </c>
      <c r="G641" t="n">
        <v>7.6</v>
      </c>
      <c r="H641" t="n">
        <v>3.6</v>
      </c>
      <c r="I641" s="2" t="inlineStr"/>
      <c r="J641" t="inlineStr"/>
      <c r="K641" t="inlineStr"/>
      <c r="L641" s="2" t="inlineStr"/>
      <c r="M641" t="inlineStr"/>
      <c r="N641" t="inlineStr">
        <is>
          <t>20260611800381</t>
        </is>
      </c>
      <c r="O641">
        <f>HYPERLINK("https://dart.fss.or.kr/dsaf001/main.do?rcpNo=20260611800381", "공시열람")</f>
        <v/>
      </c>
    </row>
    <row r="642">
      <c r="A642" t="inlineStr">
        <is>
          <t>2026-06-11</t>
        </is>
      </c>
      <c r="B642" t="inlineStr">
        <is>
          <t>한국가스공사</t>
        </is>
      </c>
      <c r="C642" t="inlineStr">
        <is>
          <t>036460</t>
        </is>
      </c>
      <c r="D642" t="inlineStr">
        <is>
          <t>별도</t>
        </is>
      </c>
      <c r="E642" t="inlineStr">
        <is>
          <t>2026Q1</t>
        </is>
      </c>
      <c r="F642" s="2" t="inlineStr"/>
      <c r="G642" t="inlineStr"/>
      <c r="H642" t="inlineStr"/>
      <c r="I642" s="2" t="inlineStr"/>
      <c r="J642" t="inlineStr"/>
      <c r="K642" t="inlineStr"/>
      <c r="L642" s="2" t="inlineStr"/>
      <c r="M642" t="inlineStr"/>
      <c r="N642" t="inlineStr">
        <is>
          <t>20260611800196</t>
        </is>
      </c>
      <c r="O642">
        <f>HYPERLINK("https://dart.fss.or.kr/dsaf001/main.do?rcpNo=20260611800196", "공시열람")</f>
        <v/>
      </c>
    </row>
    <row r="643">
      <c r="A643" t="inlineStr">
        <is>
          <t>2026-06-09</t>
        </is>
      </c>
      <c r="B643" t="inlineStr">
        <is>
          <t>광주신세계</t>
        </is>
      </c>
      <c r="C643" t="inlineStr">
        <is>
          <t>037710</t>
        </is>
      </c>
      <c r="D643" t="inlineStr">
        <is>
          <t>별도</t>
        </is>
      </c>
      <c r="E643" t="inlineStr">
        <is>
          <t>2026Q1</t>
        </is>
      </c>
      <c r="F643" s="2" t="n">
        <v>18179</v>
      </c>
      <c r="G643" t="n">
        <v>14.7</v>
      </c>
      <c r="H643" t="n">
        <v>12.2</v>
      </c>
      <c r="I643" s="2" t="inlineStr"/>
      <c r="J643" t="inlineStr"/>
      <c r="K643" t="inlineStr"/>
      <c r="L643" s="2" t="inlineStr"/>
      <c r="M643" t="inlineStr"/>
      <c r="N643" t="inlineStr">
        <is>
          <t>20260609800549</t>
        </is>
      </c>
      <c r="O643">
        <f>HYPERLINK("https://dart.fss.or.kr/dsaf001/main.do?rcpNo=20260609800549", "공시열람")</f>
        <v/>
      </c>
    </row>
    <row r="644">
      <c r="A644" t="inlineStr">
        <is>
          <t>2026-06-09</t>
        </is>
      </c>
      <c r="B644" t="inlineStr">
        <is>
          <t>신세계</t>
        </is>
      </c>
      <c r="C644" t="inlineStr">
        <is>
          <t>004170</t>
        </is>
      </c>
      <c r="D644" t="inlineStr">
        <is>
          <t>별도</t>
        </is>
      </c>
      <c r="E644" t="inlineStr">
        <is>
          <t>2026Q1</t>
        </is>
      </c>
      <c r="F644" s="2" t="n">
        <v>200735</v>
      </c>
      <c r="G644" t="n">
        <v>12.92</v>
      </c>
      <c r="H644" t="n">
        <v>20.04</v>
      </c>
      <c r="I644" s="2" t="inlineStr"/>
      <c r="J644" t="inlineStr"/>
      <c r="K644" t="inlineStr"/>
      <c r="L644" s="2" t="inlineStr"/>
      <c r="M644" t="inlineStr"/>
      <c r="N644" t="inlineStr">
        <is>
          <t>20260609800606</t>
        </is>
      </c>
      <c r="O644">
        <f>HYPERLINK("https://dart.fss.or.kr/dsaf001/main.do?rcpNo=20260609800606", "공시열람")</f>
        <v/>
      </c>
    </row>
    <row r="645">
      <c r="A645" t="inlineStr">
        <is>
          <t>2026-06-04</t>
        </is>
      </c>
      <c r="B645" t="inlineStr">
        <is>
          <t>GKL</t>
        </is>
      </c>
      <c r="C645" t="inlineStr">
        <is>
          <t>114090</t>
        </is>
      </c>
      <c r="D645" t="inlineStr">
        <is>
          <t>별도</t>
        </is>
      </c>
      <c r="E645" t="inlineStr">
        <is>
          <t>2026Q1</t>
        </is>
      </c>
      <c r="F645" s="2" t="inlineStr"/>
      <c r="G645" t="inlineStr"/>
      <c r="H645" t="inlineStr"/>
      <c r="I645" s="2" t="inlineStr"/>
      <c r="J645" t="inlineStr"/>
      <c r="K645" t="inlineStr"/>
      <c r="L645" s="2" t="inlineStr"/>
      <c r="M645" t="inlineStr"/>
      <c r="N645" t="inlineStr">
        <is>
          <t>20260604800333</t>
        </is>
      </c>
      <c r="O645">
        <f>HYPERLINK("https://dart.fss.or.kr/dsaf001/main.do?rcpNo=20260604800333", "공시열람")</f>
        <v/>
      </c>
    </row>
    <row r="646">
      <c r="A646" t="inlineStr">
        <is>
          <t>2026-06-02</t>
        </is>
      </c>
      <c r="B646" t="inlineStr">
        <is>
          <t>파라다이스</t>
        </is>
      </c>
      <c r="C646" t="inlineStr">
        <is>
          <t>034230</t>
        </is>
      </c>
      <c r="D646" t="inlineStr">
        <is>
          <t>연결</t>
        </is>
      </c>
      <c r="E646" t="inlineStr">
        <is>
          <t>2026Q1</t>
        </is>
      </c>
      <c r="F646" s="2" t="inlineStr"/>
      <c r="G646" t="inlineStr"/>
      <c r="H646" t="inlineStr"/>
      <c r="I646" s="2" t="inlineStr"/>
      <c r="J646" t="inlineStr"/>
      <c r="K646" t="inlineStr"/>
      <c r="L646" s="2" t="inlineStr"/>
      <c r="M646" t="inlineStr"/>
      <c r="N646" t="inlineStr">
        <is>
          <t>20260602800435</t>
        </is>
      </c>
      <c r="O646">
        <f>HYPERLINK("https://dart.fss.or.kr/dsaf001/main.do?rcpNo=20260602800435", "공시열람")</f>
        <v/>
      </c>
    </row>
    <row r="647">
      <c r="A647" t="inlineStr">
        <is>
          <t>2026-06-01</t>
        </is>
      </c>
      <c r="B647" t="inlineStr">
        <is>
          <t>KG모빌리티</t>
        </is>
      </c>
      <c r="C647" t="inlineStr">
        <is>
          <t>003620</t>
        </is>
      </c>
      <c r="D647" t="inlineStr">
        <is>
          <t>별도</t>
        </is>
      </c>
      <c r="E647" t="inlineStr">
        <is>
          <t>2026Q1</t>
        </is>
      </c>
      <c r="F647" s="2" t="inlineStr"/>
      <c r="G647" t="inlineStr"/>
      <c r="H647" t="inlineStr"/>
      <c r="I647" s="2" t="inlineStr"/>
      <c r="J647" t="inlineStr"/>
      <c r="K647" t="inlineStr"/>
      <c r="L647" s="2" t="inlineStr"/>
      <c r="M647" t="inlineStr"/>
      <c r="N647" t="inlineStr">
        <is>
          <t>20260601801104</t>
        </is>
      </c>
      <c r="O647">
        <f>HYPERLINK("https://dart.fss.or.kr/dsaf001/main.do?rcpNo=20260601801104", "공시열람")</f>
        <v/>
      </c>
    </row>
    <row r="648">
      <c r="A648" t="inlineStr">
        <is>
          <t>2026-06-01</t>
        </is>
      </c>
      <c r="B648" t="inlineStr">
        <is>
          <t>롯데관광개발</t>
        </is>
      </c>
      <c r="C648" t="inlineStr">
        <is>
          <t>032350</t>
        </is>
      </c>
      <c r="D648" t="inlineStr">
        <is>
          <t>연결</t>
        </is>
      </c>
      <c r="E648" t="inlineStr">
        <is>
          <t>2026Q1</t>
        </is>
      </c>
      <c r="F648" s="2" t="inlineStr"/>
      <c r="G648" t="inlineStr"/>
      <c r="H648" t="inlineStr"/>
      <c r="I648" s="2" t="inlineStr"/>
      <c r="J648" t="inlineStr"/>
      <c r="K648" t="inlineStr"/>
      <c r="L648" s="2" t="inlineStr"/>
      <c r="M648" t="inlineStr"/>
      <c r="N648" t="inlineStr">
        <is>
          <t>20260601801049</t>
        </is>
      </c>
      <c r="O648">
        <f>HYPERLINK("https://dart.fss.or.kr/dsaf001/main.do?rcpNo=20260601801049", "공시열람")</f>
        <v/>
      </c>
    </row>
    <row r="649">
      <c r="A649" t="inlineStr">
        <is>
          <t>2026-06-01</t>
        </is>
      </c>
      <c r="B649" t="inlineStr">
        <is>
          <t>현대자동차</t>
        </is>
      </c>
      <c r="C649" t="inlineStr">
        <is>
          <t>005380</t>
        </is>
      </c>
      <c r="D649" t="inlineStr">
        <is>
          <t>별도</t>
        </is>
      </c>
      <c r="E649" t="inlineStr">
        <is>
          <t>2026Q1</t>
        </is>
      </c>
      <c r="F649" s="2" t="inlineStr"/>
      <c r="G649" t="inlineStr"/>
      <c r="H649" t="inlineStr"/>
      <c r="I649" s="2" t="inlineStr"/>
      <c r="J649" t="inlineStr"/>
      <c r="K649" t="inlineStr"/>
      <c r="L649" s="2" t="inlineStr"/>
      <c r="M649" t="inlineStr"/>
      <c r="N649" t="inlineStr">
        <is>
          <t>20260601801279</t>
        </is>
      </c>
      <c r="O649">
        <f>HYPERLINK("https://dart.fss.or.kr/dsaf001/main.do?rcpNo=20260601801279", "공시열람")</f>
        <v/>
      </c>
    </row>
    <row r="650">
      <c r="A650" t="inlineStr">
        <is>
          <t>2026-06-01</t>
        </is>
      </c>
      <c r="B650" t="inlineStr">
        <is>
          <t>기아</t>
        </is>
      </c>
      <c r="C650" t="inlineStr">
        <is>
          <t>000270</t>
        </is>
      </c>
      <c r="D650" t="inlineStr">
        <is>
          <t>별도</t>
        </is>
      </c>
      <c r="E650" t="inlineStr">
        <is>
          <t>2026Q1</t>
        </is>
      </c>
      <c r="F650" s="2" t="inlineStr"/>
      <c r="G650" t="inlineStr"/>
      <c r="H650" t="inlineStr"/>
      <c r="I650" s="2" t="inlineStr"/>
      <c r="J650" t="inlineStr"/>
      <c r="K650" t="inlineStr"/>
      <c r="L650" s="2" t="inlineStr"/>
      <c r="M650" t="inlineStr"/>
      <c r="N650" t="inlineStr">
        <is>
          <t>20260601801132</t>
        </is>
      </c>
      <c r="O650">
        <f>HYPERLINK("https://dart.fss.or.kr/dsaf001/main.do?rcpNo=20260601801132", "공시열람")</f>
        <v/>
      </c>
    </row>
    <row r="651">
      <c r="A651" t="inlineStr">
        <is>
          <t>2026-05-22</t>
        </is>
      </c>
      <c r="B651" t="inlineStr">
        <is>
          <t>지역난방공사</t>
        </is>
      </c>
      <c r="C651" t="inlineStr">
        <is>
          <t>071320</t>
        </is>
      </c>
      <c r="D651" t="inlineStr">
        <is>
          <t>별도</t>
        </is>
      </c>
      <c r="E651" t="inlineStr">
        <is>
          <t>2026Q1</t>
        </is>
      </c>
      <c r="F651" s="2" t="inlineStr"/>
      <c r="G651" t="inlineStr"/>
      <c r="H651" t="inlineStr"/>
      <c r="I651" s="2" t="inlineStr"/>
      <c r="J651" t="inlineStr"/>
      <c r="K651" t="inlineStr"/>
      <c r="L651" s="2" t="inlineStr"/>
      <c r="M651" t="inlineStr"/>
      <c r="N651" t="inlineStr">
        <is>
          <t>20260522800459</t>
        </is>
      </c>
      <c r="O651">
        <f>HYPERLINK("https://dart.fss.or.kr/dsaf001/main.do?rcpNo=20260522800459", "공시열람")</f>
        <v/>
      </c>
    </row>
    <row r="652">
      <c r="A652" t="inlineStr">
        <is>
          <t>2026-05-20</t>
        </is>
      </c>
      <c r="B652" t="inlineStr">
        <is>
          <t>HD현대중공업</t>
        </is>
      </c>
      <c r="C652" t="inlineStr">
        <is>
          <t>329180</t>
        </is>
      </c>
      <c r="D652" t="inlineStr">
        <is>
          <t>별도</t>
        </is>
      </c>
      <c r="E652" t="inlineStr">
        <is>
          <t>2026Q1</t>
        </is>
      </c>
      <c r="F652" s="2" t="n">
        <v>2176240</v>
      </c>
      <c r="G652" t="n">
        <v>2.62</v>
      </c>
      <c r="H652" t="n">
        <v>53.36</v>
      </c>
      <c r="I652" s="2" t="inlineStr"/>
      <c r="J652" t="inlineStr"/>
      <c r="K652" t="inlineStr"/>
      <c r="L652" s="2" t="inlineStr"/>
      <c r="M652" t="inlineStr"/>
      <c r="N652" t="inlineStr">
        <is>
          <t>20260520800414</t>
        </is>
      </c>
      <c r="O652">
        <f>HYPERLINK("https://dart.fss.or.kr/dsaf001/main.do?rcpNo=20260520800414", "공시열람")</f>
        <v/>
      </c>
    </row>
    <row r="653">
      <c r="A653" t="inlineStr">
        <is>
          <t>2026-05-20</t>
        </is>
      </c>
      <c r="B653" t="inlineStr">
        <is>
          <t>HD한국조선해양</t>
        </is>
      </c>
      <c r="C653" t="inlineStr">
        <is>
          <t>009540</t>
        </is>
      </c>
      <c r="D653" t="inlineStr">
        <is>
          <t>별도</t>
        </is>
      </c>
      <c r="E653" t="inlineStr">
        <is>
          <t>2026Q1</t>
        </is>
      </c>
      <c r="F653" s="2" t="n">
        <v>794341</v>
      </c>
      <c r="G653" t="n">
        <v>10.71</v>
      </c>
      <c r="H653" t="n">
        <v>12.69</v>
      </c>
      <c r="I653" s="2" t="inlineStr"/>
      <c r="J653" t="inlineStr"/>
      <c r="K653" t="inlineStr"/>
      <c r="L653" s="2" t="inlineStr"/>
      <c r="M653" t="inlineStr"/>
      <c r="N653" t="inlineStr">
        <is>
          <t>20260520800458</t>
        </is>
      </c>
      <c r="O653">
        <f>HYPERLINK("https://dart.fss.or.kr/dsaf001/main.do?rcpNo=20260520800458", "공시열람")</f>
        <v/>
      </c>
    </row>
    <row r="654">
      <c r="A654" t="inlineStr">
        <is>
          <t>2026-05-20</t>
        </is>
      </c>
      <c r="B654" t="inlineStr">
        <is>
          <t>HD한국조선해양</t>
        </is>
      </c>
      <c r="C654" t="inlineStr">
        <is>
          <t>009540</t>
        </is>
      </c>
      <c r="D654" t="inlineStr">
        <is>
          <t>별도</t>
        </is>
      </c>
      <c r="E654" t="inlineStr">
        <is>
          <t>2026Q1</t>
        </is>
      </c>
      <c r="F654" s="2" t="inlineStr"/>
      <c r="G654" t="inlineStr"/>
      <c r="H654" t="inlineStr"/>
      <c r="I654" s="2" t="inlineStr"/>
      <c r="J654" t="inlineStr"/>
      <c r="K654" t="inlineStr"/>
      <c r="L654" s="2" t="inlineStr"/>
      <c r="M654" t="inlineStr"/>
      <c r="N654" t="inlineStr">
        <is>
          <t>20260520800468</t>
        </is>
      </c>
      <c r="O654">
        <f>HYPERLINK("https://dart.fss.or.kr/dsaf001/main.do?rcpNo=20260520800468", "공시열람")</f>
        <v/>
      </c>
    </row>
    <row r="655">
      <c r="A655" t="inlineStr">
        <is>
          <t>2026-05-15</t>
        </is>
      </c>
      <c r="B655" t="inlineStr">
        <is>
          <t>미래에셋생명</t>
        </is>
      </c>
      <c r="C655" t="inlineStr">
        <is>
          <t>085620</t>
        </is>
      </c>
      <c r="D655" t="inlineStr">
        <is>
          <t>별도</t>
        </is>
      </c>
      <c r="E655" t="inlineStr">
        <is>
          <t>2026Q1</t>
        </is>
      </c>
      <c r="F655" s="2" t="n">
        <v>2744649</v>
      </c>
      <c r="G655" t="n">
        <v>128.24</v>
      </c>
      <c r="H655" t="n">
        <v>159.79</v>
      </c>
      <c r="I655" s="2" t="n">
        <v>63772</v>
      </c>
      <c r="J655" t="n">
        <v>176.94</v>
      </c>
      <c r="K655" t="n">
        <v>62.53</v>
      </c>
      <c r="L655" s="2" t="n">
        <v>48478</v>
      </c>
      <c r="M655" t="n">
        <v>99.33</v>
      </c>
      <c r="N655" t="inlineStr">
        <is>
          <t>20260515801003</t>
        </is>
      </c>
      <c r="O655">
        <f>HYPERLINK("https://dart.fss.or.kr/dsaf001/main.do?rcpNo=20260515801003", "공시열람")</f>
        <v/>
      </c>
    </row>
    <row r="656">
      <c r="A656" t="inlineStr">
        <is>
          <t>2026-05-15</t>
        </is>
      </c>
      <c r="B656" t="inlineStr">
        <is>
          <t>코리안리</t>
        </is>
      </c>
      <c r="C656" t="inlineStr">
        <is>
          <t>003690</t>
        </is>
      </c>
      <c r="D656" t="inlineStr">
        <is>
          <t>별도</t>
        </is>
      </c>
      <c r="E656" t="inlineStr">
        <is>
          <t>2026Q1</t>
        </is>
      </c>
      <c r="F656" s="2" t="n">
        <v>1698145</v>
      </c>
      <c r="G656" t="n">
        <v>3.8</v>
      </c>
      <c r="H656" t="n">
        <v>9.300000000000001</v>
      </c>
      <c r="I656" s="2" t="n">
        <v>284458</v>
      </c>
      <c r="J656" t="n">
        <v>336.7</v>
      </c>
      <c r="K656" t="n">
        <v>142</v>
      </c>
      <c r="L656" s="2" t="n">
        <v>209503</v>
      </c>
      <c r="M656" t="n">
        <v>131.4</v>
      </c>
      <c r="N656" t="inlineStr">
        <is>
          <t>20260515800870</t>
        </is>
      </c>
      <c r="O656">
        <f>HYPERLINK("https://dart.fss.or.kr/dsaf001/main.do?rcpNo=20260515800870", "공시열람")</f>
        <v/>
      </c>
    </row>
    <row r="657">
      <c r="A657" t="inlineStr">
        <is>
          <t>2026-05-15</t>
        </is>
      </c>
      <c r="B657" t="inlineStr">
        <is>
          <t>한미반도체</t>
        </is>
      </c>
      <c r="C657" t="inlineStr">
        <is>
          <t>042700</t>
        </is>
      </c>
      <c r="D657" t="inlineStr">
        <is>
          <t>연결</t>
        </is>
      </c>
      <c r="E657" t="inlineStr">
        <is>
          <t>2026Q1</t>
        </is>
      </c>
      <c r="F657" s="2" t="n">
        <v>50902</v>
      </c>
      <c r="G657" t="n">
        <v>-38.7</v>
      </c>
      <c r="H657" t="n">
        <v>-65.5</v>
      </c>
      <c r="I657" s="2" t="n">
        <v>8456</v>
      </c>
      <c r="J657" t="n">
        <v>-69.40000000000001</v>
      </c>
      <c r="K657" t="n">
        <v>-87.90000000000001</v>
      </c>
      <c r="L657" s="2" t="n">
        <v>19032</v>
      </c>
      <c r="M657" t="n">
        <v>-65.2</v>
      </c>
      <c r="N657" t="inlineStr">
        <is>
          <t>20260515801516</t>
        </is>
      </c>
      <c r="O657">
        <f>HYPERLINK("https://dart.fss.or.kr/dsaf001/main.do?rcpNo=20260515801516", "공시열람")</f>
        <v/>
      </c>
    </row>
    <row r="658">
      <c r="A658" t="inlineStr">
        <is>
          <t>2026-05-15</t>
        </is>
      </c>
      <c r="B658" t="inlineStr">
        <is>
          <t>오리온</t>
        </is>
      </c>
      <c r="C658" t="inlineStr">
        <is>
          <t>271560</t>
        </is>
      </c>
      <c r="D658" t="inlineStr">
        <is>
          <t>연결</t>
        </is>
      </c>
      <c r="E658" t="inlineStr">
        <is>
          <t>2026Q1</t>
        </is>
      </c>
      <c r="F658" s="2" t="inlineStr"/>
      <c r="G658" t="inlineStr"/>
      <c r="H658" t="inlineStr"/>
      <c r="I658" s="2" t="inlineStr"/>
      <c r="J658" t="inlineStr"/>
      <c r="K658" t="inlineStr"/>
      <c r="L658" s="2" t="inlineStr"/>
      <c r="M658" t="inlineStr"/>
      <c r="N658" t="inlineStr">
        <is>
          <t>20260515801314</t>
        </is>
      </c>
      <c r="O658">
        <f>HYPERLINK("https://dart.fss.or.kr/dsaf001/main.do?rcpNo=20260515801314", "공시열람")</f>
        <v/>
      </c>
    </row>
    <row r="659">
      <c r="A659" t="inlineStr">
        <is>
          <t>2026-05-15</t>
        </is>
      </c>
      <c r="B659" t="inlineStr">
        <is>
          <t>미래에셋생명</t>
        </is>
      </c>
      <c r="C659" t="inlineStr">
        <is>
          <t>085620</t>
        </is>
      </c>
      <c r="D659" t="inlineStr">
        <is>
          <t>연결</t>
        </is>
      </c>
      <c r="E659" t="inlineStr">
        <is>
          <t>2026Q1</t>
        </is>
      </c>
      <c r="F659" s="2" t="n">
        <v>2796438</v>
      </c>
      <c r="G659" t="n">
        <v>125.91</v>
      </c>
      <c r="H659" t="n">
        <v>159.5</v>
      </c>
      <c r="I659" s="2" t="n">
        <v>68389</v>
      </c>
      <c r="J659" t="n">
        <v>141.27</v>
      </c>
      <c r="K659" t="n">
        <v>73.78</v>
      </c>
      <c r="L659" s="2" t="n">
        <v>53392</v>
      </c>
      <c r="M659" t="n">
        <v>115.44</v>
      </c>
      <c r="N659" t="inlineStr">
        <is>
          <t>20260515801013</t>
        </is>
      </c>
      <c r="O659">
        <f>HYPERLINK("https://dart.fss.or.kr/dsaf001/main.do?rcpNo=20260515801013", "공시열람")</f>
        <v/>
      </c>
    </row>
    <row r="660">
      <c r="A660" t="inlineStr">
        <is>
          <t>2026-05-14</t>
        </is>
      </c>
      <c r="B660" t="inlineStr">
        <is>
          <t>메리츠금융지주</t>
        </is>
      </c>
      <c r="C660" t="inlineStr">
        <is>
          <t>138040</t>
        </is>
      </c>
      <c r="D660" t="inlineStr">
        <is>
          <t>연결</t>
        </is>
      </c>
      <c r="E660" t="inlineStr">
        <is>
          <t>2026Q1</t>
        </is>
      </c>
      <c r="F660" s="2" t="n">
        <v>16314344</v>
      </c>
      <c r="G660" t="n">
        <v>58.3</v>
      </c>
      <c r="H660" t="n">
        <v>98.2</v>
      </c>
      <c r="I660" s="2" t="n">
        <v>854829</v>
      </c>
      <c r="J660" t="n">
        <v>152.2</v>
      </c>
      <c r="K660" t="n">
        <v>18.4</v>
      </c>
      <c r="L660" s="2" t="n">
        <v>680229</v>
      </c>
      <c r="M660" t="n">
        <v>9.6</v>
      </c>
      <c r="N660" t="inlineStr">
        <is>
          <t>20260514800837</t>
        </is>
      </c>
      <c r="O660">
        <f>HYPERLINK("https://dart.fss.or.kr/dsaf001/main.do?rcpNo=20260514800837", "공시열람")</f>
        <v/>
      </c>
    </row>
    <row r="661">
      <c r="A661" t="inlineStr">
        <is>
          <t>2026-05-14</t>
        </is>
      </c>
      <c r="B661" t="inlineStr">
        <is>
          <t>LX홀딩스</t>
        </is>
      </c>
      <c r="C661" t="inlineStr">
        <is>
          <t>383800</t>
        </is>
      </c>
      <c r="D661" t="inlineStr">
        <is>
          <t>연결</t>
        </is>
      </c>
      <c r="E661" t="inlineStr">
        <is>
          <t>2026Q1</t>
        </is>
      </c>
      <c r="F661" s="2" t="n">
        <v>14382</v>
      </c>
      <c r="G661" t="n">
        <v>44.5</v>
      </c>
      <c r="H661" t="n">
        <v>42.9</v>
      </c>
      <c r="I661" s="2" t="n">
        <v>41600</v>
      </c>
      <c r="J661" t="inlineStr"/>
      <c r="K661" t="n">
        <v>-41.7</v>
      </c>
      <c r="L661" s="2" t="n">
        <v>37582</v>
      </c>
      <c r="M661" t="n">
        <v>-46.7</v>
      </c>
      <c r="N661" t="inlineStr">
        <is>
          <t>20260514801494</t>
        </is>
      </c>
      <c r="O661">
        <f>HYPERLINK("https://dart.fss.or.kr/dsaf001/main.do?rcpNo=20260514801494", "공시열람")</f>
        <v/>
      </c>
    </row>
    <row r="662">
      <c r="A662" t="inlineStr">
        <is>
          <t>2026-05-14</t>
        </is>
      </c>
      <c r="B662" t="inlineStr">
        <is>
          <t>인스피언</t>
        </is>
      </c>
      <c r="C662" t="inlineStr">
        <is>
          <t>465480</t>
        </is>
      </c>
      <c r="D662" t="inlineStr">
        <is>
          <t>별도</t>
        </is>
      </c>
      <c r="E662" t="inlineStr">
        <is>
          <t>2026Q1</t>
        </is>
      </c>
      <c r="F662" s="2" t="n">
        <v>3983</v>
      </c>
      <c r="G662" t="n">
        <v>-44.5</v>
      </c>
      <c r="H662" t="n">
        <v>8</v>
      </c>
      <c r="I662" s="2" t="n">
        <v>192</v>
      </c>
      <c r="J662" t="n">
        <v>-93.59999999999999</v>
      </c>
      <c r="K662" t="n">
        <v>500.7</v>
      </c>
      <c r="L662" s="2" t="n">
        <v>767</v>
      </c>
      <c r="M662" t="n">
        <v>-7.3</v>
      </c>
      <c r="N662" t="inlineStr">
        <is>
          <t>20260514901131</t>
        </is>
      </c>
      <c r="O662">
        <f>HYPERLINK("https://dart.fss.or.kr/dsaf001/main.do?rcpNo=20260514901131", "공시열람")</f>
        <v/>
      </c>
    </row>
    <row r="663">
      <c r="A663" t="inlineStr">
        <is>
          <t>2026-05-14</t>
        </is>
      </c>
      <c r="B663" t="inlineStr">
        <is>
          <t>한국금융지주</t>
        </is>
      </c>
      <c r="C663" t="inlineStr">
        <is>
          <t>071050</t>
        </is>
      </c>
      <c r="D663" t="inlineStr">
        <is>
          <t>연결</t>
        </is>
      </c>
      <c r="E663" t="inlineStr">
        <is>
          <t>2026Q1</t>
        </is>
      </c>
      <c r="F663" s="2" t="n">
        <v>11452397</v>
      </c>
      <c r="G663" t="n">
        <v>83.33</v>
      </c>
      <c r="H663" t="n">
        <v>130.29</v>
      </c>
      <c r="I663" s="2" t="n">
        <v>959868</v>
      </c>
      <c r="J663" t="n">
        <v>167.03</v>
      </c>
      <c r="K663" t="n">
        <v>85</v>
      </c>
      <c r="L663" s="2" t="n">
        <v>784658</v>
      </c>
      <c r="M663" t="n">
        <v>75.06</v>
      </c>
      <c r="N663" t="inlineStr">
        <is>
          <t>20260514801039</t>
        </is>
      </c>
      <c r="O663">
        <f>HYPERLINK("https://dart.fss.or.kr/dsaf001/main.do?rcpNo=20260514801039", "공시열람")</f>
        <v/>
      </c>
    </row>
    <row r="664">
      <c r="A664" t="inlineStr">
        <is>
          <t>2026-05-14</t>
        </is>
      </c>
      <c r="B664" t="inlineStr">
        <is>
          <t>한국금융지주</t>
        </is>
      </c>
      <c r="C664" t="inlineStr">
        <is>
          <t>071050</t>
        </is>
      </c>
      <c r="D664" t="inlineStr">
        <is>
          <t>연결</t>
        </is>
      </c>
      <c r="E664" t="inlineStr">
        <is>
          <t>2026Q1</t>
        </is>
      </c>
      <c r="F664" s="2" t="n">
        <v>11996589</v>
      </c>
      <c r="G664" t="n">
        <v>70.15000000000001</v>
      </c>
      <c r="H664" t="n">
        <v>123.66</v>
      </c>
      <c r="I664" s="2" t="n">
        <v>1106315</v>
      </c>
      <c r="J664" t="n">
        <v>190.31</v>
      </c>
      <c r="K664" t="n">
        <v>108.89</v>
      </c>
      <c r="L664" s="2" t="n">
        <v>916654</v>
      </c>
      <c r="M664" t="n">
        <v>99.56</v>
      </c>
      <c r="N664" t="inlineStr">
        <is>
          <t>20260514801026</t>
        </is>
      </c>
      <c r="O664">
        <f>HYPERLINK("https://dart.fss.or.kr/dsaf001/main.do?rcpNo=20260514801026", "공시열람")</f>
        <v/>
      </c>
    </row>
    <row r="665">
      <c r="A665" t="inlineStr">
        <is>
          <t>2026-05-14</t>
        </is>
      </c>
      <c r="B665" t="inlineStr">
        <is>
          <t>JYP Ent.</t>
        </is>
      </c>
      <c r="C665" t="inlineStr">
        <is>
          <t>035900</t>
        </is>
      </c>
      <c r="D665" t="inlineStr">
        <is>
          <t>연결</t>
        </is>
      </c>
      <c r="E665" t="inlineStr">
        <is>
          <t>2026Q1</t>
        </is>
      </c>
      <c r="F665" s="2" t="n">
        <v>185960</v>
      </c>
      <c r="G665" t="n">
        <v>-20.1</v>
      </c>
      <c r="H665" t="n">
        <v>32.1</v>
      </c>
      <c r="I665" s="2" t="n">
        <v>33374</v>
      </c>
      <c r="J665" t="n">
        <v>-20.4</v>
      </c>
      <c r="K665" t="n">
        <v>70</v>
      </c>
      <c r="L665" s="2" t="n">
        <v>31905</v>
      </c>
      <c r="M665" t="n">
        <v>-53.9</v>
      </c>
      <c r="N665" t="inlineStr">
        <is>
          <t>20260514900885</t>
        </is>
      </c>
      <c r="O665">
        <f>HYPERLINK("https://dart.fss.or.kr/dsaf001/main.do?rcpNo=20260514900885", "공시열람")</f>
        <v/>
      </c>
    </row>
    <row r="666">
      <c r="A666" t="inlineStr">
        <is>
          <t>2026-05-14</t>
        </is>
      </c>
      <c r="B666" t="inlineStr">
        <is>
          <t>메리츠금융지주</t>
        </is>
      </c>
      <c r="C666" t="inlineStr">
        <is>
          <t>138040</t>
        </is>
      </c>
      <c r="D666" t="inlineStr">
        <is>
          <t>연결</t>
        </is>
      </c>
      <c r="E666" t="inlineStr">
        <is>
          <t>2026Q1</t>
        </is>
      </c>
      <c r="F666" s="2" t="n">
        <v>12865744</v>
      </c>
      <c r="G666" t="n">
        <v>61.4</v>
      </c>
      <c r="H666" t="n">
        <v>147.6</v>
      </c>
      <c r="I666" s="2" t="n">
        <v>255587</v>
      </c>
      <c r="J666" t="n">
        <v>194.8</v>
      </c>
      <c r="K666" t="n">
        <v>72.5</v>
      </c>
      <c r="L666" s="2" t="n">
        <v>254296</v>
      </c>
      <c r="M666" t="n">
        <v>35.7</v>
      </c>
      <c r="N666" t="inlineStr">
        <is>
          <t>20260514800820</t>
        </is>
      </c>
      <c r="O666">
        <f>HYPERLINK("https://dart.fss.or.kr/dsaf001/main.do?rcpNo=20260514800820", "공시열람")</f>
        <v/>
      </c>
    </row>
    <row r="667">
      <c r="A667" t="inlineStr">
        <is>
          <t>2026-05-14</t>
        </is>
      </c>
      <c r="B667" t="inlineStr">
        <is>
          <t>메리츠금융지주</t>
        </is>
      </c>
      <c r="C667" t="inlineStr">
        <is>
          <t>138040</t>
        </is>
      </c>
      <c r="D667" t="inlineStr">
        <is>
          <t>별도</t>
        </is>
      </c>
      <c r="E667" t="inlineStr">
        <is>
          <t>2026Q1</t>
        </is>
      </c>
      <c r="F667" s="2" t="n">
        <v>3307873</v>
      </c>
      <c r="G667" t="n">
        <v>9.9</v>
      </c>
      <c r="H667" t="n">
        <v>9.800000000000001</v>
      </c>
      <c r="I667" s="2" t="n">
        <v>630745</v>
      </c>
      <c r="J667" t="n">
        <v>89</v>
      </c>
      <c r="K667" t="n">
        <v>1.4</v>
      </c>
      <c r="L667" s="2" t="n">
        <v>466071</v>
      </c>
      <c r="M667" t="n">
        <v>0.8</v>
      </c>
      <c r="N667" t="inlineStr">
        <is>
          <t>20260514800824</t>
        </is>
      </c>
      <c r="O667">
        <f>HYPERLINK("https://dart.fss.or.kr/dsaf001/main.do?rcpNo=20260514800824", "공시열람")</f>
        <v/>
      </c>
    </row>
    <row r="668">
      <c r="A668" t="inlineStr">
        <is>
          <t>2026-05-14</t>
        </is>
      </c>
      <c r="B668" t="inlineStr">
        <is>
          <t>한국공항</t>
        </is>
      </c>
      <c r="C668" t="inlineStr">
        <is>
          <t>005430</t>
        </is>
      </c>
      <c r="D668" t="inlineStr">
        <is>
          <t>연결</t>
        </is>
      </c>
      <c r="E668" t="inlineStr">
        <is>
          <t>2026Q1</t>
        </is>
      </c>
      <c r="F668" s="2" t="n">
        <v>177976</v>
      </c>
      <c r="G668" t="n">
        <v>-0.6</v>
      </c>
      <c r="H668" t="n">
        <v>13.46</v>
      </c>
      <c r="I668" s="2" t="n">
        <v>19686</v>
      </c>
      <c r="J668" t="n">
        <v>200.55</v>
      </c>
      <c r="K668" t="n">
        <v>35.51</v>
      </c>
      <c r="L668" s="2" t="n">
        <v>15912</v>
      </c>
      <c r="M668" t="n">
        <v>39.02</v>
      </c>
      <c r="N668" t="inlineStr">
        <is>
          <t>20260514800634</t>
        </is>
      </c>
      <c r="O668">
        <f>HYPERLINK("https://dart.fss.or.kr/dsaf001/main.do?rcpNo=20260514800634", "공시열람")</f>
        <v/>
      </c>
    </row>
    <row r="669">
      <c r="A669" t="inlineStr">
        <is>
          <t>2026-05-14</t>
        </is>
      </c>
      <c r="B669" t="inlineStr">
        <is>
          <t>옵티시스</t>
        </is>
      </c>
      <c r="C669" t="inlineStr">
        <is>
          <t>109080</t>
        </is>
      </c>
      <c r="D669" t="inlineStr">
        <is>
          <t>별도</t>
        </is>
      </c>
      <c r="E669" t="inlineStr">
        <is>
          <t>2026Q1</t>
        </is>
      </c>
      <c r="F669" s="2" t="n">
        <v>6622</v>
      </c>
      <c r="G669" t="n">
        <v>4.8</v>
      </c>
      <c r="H669" t="n">
        <v>-1.7</v>
      </c>
      <c r="I669" s="2" t="n">
        <v>1253</v>
      </c>
      <c r="J669" t="n">
        <v>130.7</v>
      </c>
      <c r="K669" t="n">
        <v>-20.8</v>
      </c>
      <c r="L669" s="2" t="n">
        <v>1591</v>
      </c>
      <c r="M669" t="n">
        <v>-20.3</v>
      </c>
      <c r="N669" t="inlineStr">
        <is>
          <t>20260514900551</t>
        </is>
      </c>
      <c r="O669">
        <f>HYPERLINK("https://dart.fss.or.kr/dsaf001/main.do?rcpNo=20260514900551", "공시열람")</f>
        <v/>
      </c>
    </row>
    <row r="670">
      <c r="A670" t="inlineStr">
        <is>
          <t>2026-05-14</t>
        </is>
      </c>
      <c r="B670" t="inlineStr">
        <is>
          <t>미투온</t>
        </is>
      </c>
      <c r="C670" t="inlineStr">
        <is>
          <t>201490</t>
        </is>
      </c>
      <c r="D670" t="inlineStr">
        <is>
          <t>연결</t>
        </is>
      </c>
      <c r="E670" t="inlineStr">
        <is>
          <t>2026Q1</t>
        </is>
      </c>
      <c r="F670" s="2" t="n">
        <v>23056</v>
      </c>
      <c r="G670" t="n">
        <v>-56.4</v>
      </c>
      <c r="H670" t="n">
        <v>0.2</v>
      </c>
      <c r="I670" s="2" t="n">
        <v>3891</v>
      </c>
      <c r="J670" t="n">
        <v>29.6</v>
      </c>
      <c r="K670" t="n">
        <v>17</v>
      </c>
      <c r="L670" s="2" t="n">
        <v>3214</v>
      </c>
      <c r="M670" t="n">
        <v>-24.5</v>
      </c>
      <c r="N670" t="inlineStr">
        <is>
          <t>20260514900256</t>
        </is>
      </c>
      <c r="O670">
        <f>HYPERLINK("https://dart.fss.or.kr/dsaf001/main.do?rcpNo=20260514900256", "공시열람")</f>
        <v/>
      </c>
    </row>
    <row r="671">
      <c r="A671" t="inlineStr">
        <is>
          <t>2026-05-14</t>
        </is>
      </c>
      <c r="B671" t="inlineStr">
        <is>
          <t>고스트스튜디오</t>
        </is>
      </c>
      <c r="C671" t="inlineStr">
        <is>
          <t>950190</t>
        </is>
      </c>
      <c r="D671" t="inlineStr">
        <is>
          <t>연결</t>
        </is>
      </c>
      <c r="E671" t="inlineStr">
        <is>
          <t>2026Q1</t>
        </is>
      </c>
      <c r="F671" s="2" t="n">
        <v>20932</v>
      </c>
      <c r="G671" t="n">
        <v>-59.1</v>
      </c>
      <c r="H671" t="n">
        <v>1.1</v>
      </c>
      <c r="I671" s="2" t="n">
        <v>4347</v>
      </c>
      <c r="J671" t="n">
        <v>39.1</v>
      </c>
      <c r="K671" t="n">
        <v>6.3</v>
      </c>
      <c r="L671" s="2" t="n">
        <v>4075</v>
      </c>
      <c r="M671" t="n">
        <v>-18.1</v>
      </c>
      <c r="N671" t="inlineStr">
        <is>
          <t>20260514900250</t>
        </is>
      </c>
      <c r="O671">
        <f>HYPERLINK("https://dart.fss.or.kr/dsaf001/main.do?rcpNo=20260514900250", "공시열람")</f>
        <v/>
      </c>
    </row>
    <row r="672">
      <c r="A672" t="inlineStr">
        <is>
          <t>2026-05-14</t>
        </is>
      </c>
      <c r="B672" t="inlineStr">
        <is>
          <t>한국가스공사</t>
        </is>
      </c>
      <c r="C672" t="inlineStr">
        <is>
          <t>036460</t>
        </is>
      </c>
      <c r="D672" t="inlineStr">
        <is>
          <t>별도</t>
        </is>
      </c>
      <c r="E672" t="inlineStr">
        <is>
          <t>2026Q1</t>
        </is>
      </c>
      <c r="F672" s="2" t="inlineStr"/>
      <c r="G672" t="inlineStr"/>
      <c r="H672" t="inlineStr"/>
      <c r="I672" s="2" t="inlineStr"/>
      <c r="J672" t="inlineStr"/>
      <c r="K672" t="inlineStr"/>
      <c r="L672" s="2" t="inlineStr"/>
      <c r="M672" t="inlineStr"/>
      <c r="N672" t="inlineStr">
        <is>
          <t>20260514800723</t>
        </is>
      </c>
      <c r="O672">
        <f>HYPERLINK("https://dart.fss.or.kr/dsaf001/main.do?rcpNo=20260514800723", "공시열람")</f>
        <v/>
      </c>
    </row>
    <row r="673">
      <c r="A673" t="inlineStr">
        <is>
          <t>2026-05-14</t>
        </is>
      </c>
      <c r="B673" t="inlineStr">
        <is>
          <t>삼성생명</t>
        </is>
      </c>
      <c r="C673" t="inlineStr">
        <is>
          <t>032830</t>
        </is>
      </c>
      <c r="D673" t="inlineStr">
        <is>
          <t>연결</t>
        </is>
      </c>
      <c r="E673" t="inlineStr">
        <is>
          <t>2026Q1</t>
        </is>
      </c>
      <c r="F673" s="2" t="n">
        <v>14719366</v>
      </c>
      <c r="G673" t="n">
        <v>42.5</v>
      </c>
      <c r="H673" t="n">
        <v>75</v>
      </c>
      <c r="I673" s="2" t="n">
        <v>1357813</v>
      </c>
      <c r="J673" t="n">
        <v>1325.3</v>
      </c>
      <c r="K673" t="n">
        <v>80.09999999999999</v>
      </c>
      <c r="L673" s="2" t="n">
        <v>1240307</v>
      </c>
      <c r="M673" t="n">
        <v>83.09999999999999</v>
      </c>
      <c r="N673" t="inlineStr">
        <is>
          <t>20260514800226</t>
        </is>
      </c>
      <c r="O673">
        <f>HYPERLINK("https://dart.fss.or.kr/dsaf001/main.do?rcpNo=20260514800226", "공시열람")</f>
        <v/>
      </c>
    </row>
    <row r="674">
      <c r="A674" t="inlineStr">
        <is>
          <t>2026-05-14</t>
        </is>
      </c>
      <c r="B674" t="inlineStr">
        <is>
          <t>케이카</t>
        </is>
      </c>
      <c r="C674" t="inlineStr">
        <is>
          <t>381970</t>
        </is>
      </c>
      <c r="D674" t="inlineStr">
        <is>
          <t>별도</t>
        </is>
      </c>
      <c r="E674" t="inlineStr">
        <is>
          <t>2026Q1</t>
        </is>
      </c>
      <c r="F674" s="2" t="n">
        <v>572135</v>
      </c>
      <c r="G674" t="n">
        <v>2.2</v>
      </c>
      <c r="H674" t="n">
        <v>-5.4</v>
      </c>
      <c r="I674" s="2" t="n">
        <v>14208</v>
      </c>
      <c r="J674" t="n">
        <v>14.7</v>
      </c>
      <c r="K674" t="n">
        <v>-33.8</v>
      </c>
      <c r="L674" s="2" t="n">
        <v>10232</v>
      </c>
      <c r="M674" t="n">
        <v>-29.1</v>
      </c>
      <c r="N674" t="inlineStr">
        <is>
          <t>20260514800100</t>
        </is>
      </c>
      <c r="O674">
        <f>HYPERLINK("https://dart.fss.or.kr/dsaf001/main.do?rcpNo=20260514800100", "공시열람")</f>
        <v/>
      </c>
    </row>
    <row r="675">
      <c r="A675" t="inlineStr">
        <is>
          <t>2026-05-14</t>
        </is>
      </c>
      <c r="B675" t="inlineStr">
        <is>
          <t>삼성화재해상보험</t>
        </is>
      </c>
      <c r="C675" t="inlineStr">
        <is>
          <t>000810</t>
        </is>
      </c>
      <c r="D675" t="inlineStr">
        <is>
          <t>연결</t>
        </is>
      </c>
      <c r="E675" t="inlineStr">
        <is>
          <t>2026Q1</t>
        </is>
      </c>
      <c r="F675" s="2" t="n">
        <v>6676319</v>
      </c>
      <c r="G675" t="n">
        <v>9.800000000000001</v>
      </c>
      <c r="H675" t="n">
        <v>9.300000000000001</v>
      </c>
      <c r="I675" s="2" t="n">
        <v>861127</v>
      </c>
      <c r="J675" t="n">
        <v>120.1</v>
      </c>
      <c r="K675" t="n">
        <v>8.699999999999999</v>
      </c>
      <c r="L675" s="2" t="n">
        <v>635219</v>
      </c>
      <c r="M675" t="n">
        <v>4.3</v>
      </c>
      <c r="N675" t="inlineStr">
        <is>
          <t>20260514800020</t>
        </is>
      </c>
      <c r="O675">
        <f>HYPERLINK("https://dart.fss.or.kr/dsaf001/main.do?rcpNo=20260514800020", "공시열람")</f>
        <v/>
      </c>
    </row>
    <row r="676">
      <c r="A676" t="inlineStr">
        <is>
          <t>2026-05-13</t>
        </is>
      </c>
      <c r="B676" t="inlineStr">
        <is>
          <t>한국전력공사</t>
        </is>
      </c>
      <c r="C676" t="inlineStr">
        <is>
          <t>015760</t>
        </is>
      </c>
      <c r="D676" t="inlineStr">
        <is>
          <t>연결</t>
        </is>
      </c>
      <c r="E676" t="inlineStr">
        <is>
          <t>2026Q1</t>
        </is>
      </c>
      <c r="F676" s="2" t="n">
        <v>24398487</v>
      </c>
      <c r="G676" t="n">
        <v>3</v>
      </c>
      <c r="H676" t="n">
        <v>0.7</v>
      </c>
      <c r="I676" s="2" t="n">
        <v>3784169</v>
      </c>
      <c r="J676" t="n">
        <v>94.09999999999999</v>
      </c>
      <c r="K676" t="n">
        <v>0.8</v>
      </c>
      <c r="L676" s="2" t="n">
        <v>2519007</v>
      </c>
      <c r="M676" t="n">
        <v>6.7</v>
      </c>
      <c r="N676" t="inlineStr">
        <is>
          <t>20260513800695</t>
        </is>
      </c>
      <c r="O676">
        <f>HYPERLINK("https://dart.fss.or.kr/dsaf001/main.do?rcpNo=20260513800695", "공시열람")</f>
        <v/>
      </c>
    </row>
    <row r="677">
      <c r="A677" t="inlineStr">
        <is>
          <t>2026-05-13</t>
        </is>
      </c>
      <c r="B677" t="inlineStr">
        <is>
          <t>일동홀딩스</t>
        </is>
      </c>
      <c r="C677" t="inlineStr">
        <is>
          <t>000230</t>
        </is>
      </c>
      <c r="D677" t="inlineStr">
        <is>
          <t>연결</t>
        </is>
      </c>
      <c r="E677" t="inlineStr">
        <is>
          <t>2026Q1</t>
        </is>
      </c>
      <c r="F677" s="2" t="n">
        <v>148882</v>
      </c>
      <c r="G677" t="n">
        <v>-3.2</v>
      </c>
      <c r="H677" t="n">
        <v>-0.6</v>
      </c>
      <c r="I677" s="2" t="n">
        <v>8890</v>
      </c>
      <c r="J677" t="n">
        <v>22.8</v>
      </c>
      <c r="K677" t="n">
        <v>117.5</v>
      </c>
      <c r="L677" s="2" t="n">
        <v>5774</v>
      </c>
      <c r="M677" t="inlineStr"/>
      <c r="N677" t="inlineStr">
        <is>
          <t>20260513800562</t>
        </is>
      </c>
      <c r="O677">
        <f>HYPERLINK("https://dart.fss.or.kr/dsaf001/main.do?rcpNo=20260513800562", "공시열람")</f>
        <v/>
      </c>
    </row>
    <row r="678">
      <c r="A678" t="inlineStr">
        <is>
          <t>2026-05-13</t>
        </is>
      </c>
      <c r="B678" t="inlineStr">
        <is>
          <t>SK이노베이션</t>
        </is>
      </c>
      <c r="C678" t="inlineStr">
        <is>
          <t>096770</t>
        </is>
      </c>
      <c r="D678" t="inlineStr">
        <is>
          <t>연결</t>
        </is>
      </c>
      <c r="E678" t="inlineStr">
        <is>
          <t>2026Q1</t>
        </is>
      </c>
      <c r="F678" s="2" t="n">
        <v>24212059</v>
      </c>
      <c r="G678" t="n">
        <v>23.1</v>
      </c>
      <c r="H678" t="n">
        <v>15.2</v>
      </c>
      <c r="I678" s="2" t="n">
        <v>2162165</v>
      </c>
      <c r="J678" t="n">
        <v>632</v>
      </c>
      <c r="K678" t="inlineStr"/>
      <c r="L678" s="2" t="n">
        <v>896090</v>
      </c>
      <c r="M678" t="inlineStr"/>
      <c r="N678" t="inlineStr">
        <is>
          <t>20260513800630</t>
        </is>
      </c>
      <c r="O678">
        <f>HYPERLINK("https://dart.fss.or.kr/dsaf001/main.do?rcpNo=20260513800630", "공시열람")</f>
        <v/>
      </c>
    </row>
    <row r="679">
      <c r="A679" t="inlineStr">
        <is>
          <t>2026-05-13</t>
        </is>
      </c>
      <c r="B679" t="inlineStr">
        <is>
          <t>한국앤컴퍼니</t>
        </is>
      </c>
      <c r="C679" t="inlineStr">
        <is>
          <t>000240</t>
        </is>
      </c>
      <c r="D679" t="inlineStr">
        <is>
          <t>연결</t>
        </is>
      </c>
      <c r="E679" t="inlineStr">
        <is>
          <t>2026Q1</t>
        </is>
      </c>
      <c r="F679" s="2" t="n">
        <v>378380</v>
      </c>
      <c r="G679" t="n">
        <v>11.2</v>
      </c>
      <c r="H679" t="n">
        <v>-2.7</v>
      </c>
      <c r="I679" s="2" t="n">
        <v>121684</v>
      </c>
      <c r="J679" t="n">
        <v>64.90000000000001</v>
      </c>
      <c r="K679" t="n">
        <v>-4.1</v>
      </c>
      <c r="L679" s="2" t="n">
        <v>124688</v>
      </c>
      <c r="M679" t="n">
        <v>8</v>
      </c>
      <c r="N679" t="inlineStr">
        <is>
          <t>20260513800632</t>
        </is>
      </c>
      <c r="O679">
        <f>HYPERLINK("https://dart.fss.or.kr/dsaf001/main.do?rcpNo=20260513800632", "공시열람")</f>
        <v/>
      </c>
    </row>
    <row r="680">
      <c r="A680" t="inlineStr">
        <is>
          <t>2026-05-13</t>
        </is>
      </c>
      <c r="B680" t="inlineStr">
        <is>
          <t>가비아</t>
        </is>
      </c>
      <c r="C680" t="inlineStr">
        <is>
          <t>079940</t>
        </is>
      </c>
      <c r="D680" t="inlineStr">
        <is>
          <t>별도</t>
        </is>
      </c>
      <c r="E680" t="inlineStr">
        <is>
          <t>2026Q1</t>
        </is>
      </c>
      <c r="F680" s="2" t="n">
        <v>28012</v>
      </c>
      <c r="G680" t="n">
        <v>-4.3</v>
      </c>
      <c r="H680" t="n">
        <v>12.4</v>
      </c>
      <c r="I680" s="2" t="n">
        <v>1722</v>
      </c>
      <c r="J680" t="n">
        <v>-57.2</v>
      </c>
      <c r="K680" t="n">
        <v>1.4</v>
      </c>
      <c r="L680" s="2" t="n">
        <v>1691</v>
      </c>
      <c r="M680" t="n">
        <v>-15.4</v>
      </c>
      <c r="N680" t="inlineStr">
        <is>
          <t>20260513900638</t>
        </is>
      </c>
      <c r="O680">
        <f>HYPERLINK("https://dart.fss.or.kr/dsaf001/main.do?rcpNo=20260513900638", "공시열람")</f>
        <v/>
      </c>
    </row>
    <row r="681">
      <c r="A681" t="inlineStr">
        <is>
          <t>2026-05-13</t>
        </is>
      </c>
      <c r="B681" t="inlineStr">
        <is>
          <t>가비아</t>
        </is>
      </c>
      <c r="C681" t="inlineStr">
        <is>
          <t>079940</t>
        </is>
      </c>
      <c r="D681" t="inlineStr">
        <is>
          <t>연결</t>
        </is>
      </c>
      <c r="E681" t="inlineStr">
        <is>
          <t>2026Q1</t>
        </is>
      </c>
      <c r="F681" s="2" t="n">
        <v>84969</v>
      </c>
      <c r="G681" t="n">
        <v>-12.8</v>
      </c>
      <c r="H681" t="n">
        <v>10.4</v>
      </c>
      <c r="I681" s="2" t="n">
        <v>10726</v>
      </c>
      <c r="J681" t="n">
        <v>-43.9</v>
      </c>
      <c r="K681" t="n">
        <v>85.7</v>
      </c>
      <c r="L681" s="2" t="n">
        <v>9033</v>
      </c>
      <c r="M681" t="n">
        <v>136.7</v>
      </c>
      <c r="N681" t="inlineStr">
        <is>
          <t>20260513900642</t>
        </is>
      </c>
      <c r="O681">
        <f>HYPERLINK("https://dart.fss.or.kr/dsaf001/main.do?rcpNo=20260513900642", "공시열람")</f>
        <v/>
      </c>
    </row>
    <row r="682">
      <c r="A682" t="inlineStr">
        <is>
          <t>2026-05-13</t>
        </is>
      </c>
      <c r="B682" t="inlineStr">
        <is>
          <t>SK아이이테크놀로지</t>
        </is>
      </c>
      <c r="C682" t="inlineStr">
        <is>
          <t>361610</t>
        </is>
      </c>
      <c r="D682" t="inlineStr">
        <is>
          <t>연결</t>
        </is>
      </c>
      <c r="E682" t="inlineStr">
        <is>
          <t>2026Q1</t>
        </is>
      </c>
      <c r="F682" s="2" t="n">
        <v>35873</v>
      </c>
      <c r="G682" t="n">
        <v>-14.24</v>
      </c>
      <c r="H682" t="n">
        <v>-38.4</v>
      </c>
      <c r="I682" s="2" t="n">
        <v>-73228</v>
      </c>
      <c r="J682" t="n">
        <v>3.32</v>
      </c>
      <c r="K682" t="n">
        <v>-5.16</v>
      </c>
      <c r="L682" s="2" t="n">
        <v>-81766</v>
      </c>
      <c r="M682" t="n">
        <v>-277.61</v>
      </c>
      <c r="N682" t="inlineStr">
        <is>
          <t>20260513800773</t>
        </is>
      </c>
      <c r="O682">
        <f>HYPERLINK("https://dart.fss.or.kr/dsaf001/main.do?rcpNo=20260513800773", "공시열람")</f>
        <v/>
      </c>
    </row>
    <row r="683">
      <c r="A683" t="inlineStr">
        <is>
          <t>2026-05-13</t>
        </is>
      </c>
      <c r="B683" t="inlineStr">
        <is>
          <t>HS애드</t>
        </is>
      </c>
      <c r="C683" t="inlineStr">
        <is>
          <t>035000</t>
        </is>
      </c>
      <c r="D683" t="inlineStr">
        <is>
          <t>연결</t>
        </is>
      </c>
      <c r="E683" t="inlineStr">
        <is>
          <t>2026Q1</t>
        </is>
      </c>
      <c r="F683" s="2" t="n">
        <v>72120</v>
      </c>
      <c r="G683" t="n">
        <v>-65.95999999999999</v>
      </c>
      <c r="H683" t="n">
        <v>-10.71</v>
      </c>
      <c r="I683" s="2" t="n">
        <v>-12144</v>
      </c>
      <c r="J683" t="inlineStr"/>
      <c r="K683" t="n">
        <v>-27.59</v>
      </c>
      <c r="L683" s="2" t="n">
        <v>-10031</v>
      </c>
      <c r="M683" t="n">
        <v>-28.62</v>
      </c>
      <c r="N683" t="inlineStr">
        <is>
          <t>20260513800706</t>
        </is>
      </c>
      <c r="O683">
        <f>HYPERLINK("https://dart.fss.or.kr/dsaf001/main.do?rcpNo=20260513800706", "공시열람")</f>
        <v/>
      </c>
    </row>
    <row r="684">
      <c r="A684" t="inlineStr">
        <is>
          <t>2026-05-13</t>
        </is>
      </c>
      <c r="B684" t="inlineStr">
        <is>
          <t>웅진씽크빅</t>
        </is>
      </c>
      <c r="C684" t="inlineStr">
        <is>
          <t>095720</t>
        </is>
      </c>
      <c r="D684" t="inlineStr">
        <is>
          <t>연결</t>
        </is>
      </c>
      <c r="E684" t="inlineStr">
        <is>
          <t>2026Q1</t>
        </is>
      </c>
      <c r="F684" s="2" t="n">
        <v>179575</v>
      </c>
      <c r="G684" t="n">
        <v>-7.9</v>
      </c>
      <c r="H684" t="n">
        <v>-8.800000000000001</v>
      </c>
      <c r="I684" s="2" t="n">
        <v>-3371</v>
      </c>
      <c r="J684" t="n">
        <v>-41.3</v>
      </c>
      <c r="K684" t="n">
        <v>68.5</v>
      </c>
      <c r="L684" s="2" t="n">
        <v>-4234</v>
      </c>
      <c r="M684" t="n">
        <v>62.1</v>
      </c>
      <c r="N684" t="inlineStr">
        <is>
          <t>20260513800722</t>
        </is>
      </c>
      <c r="O684">
        <f>HYPERLINK("https://dart.fss.or.kr/dsaf001/main.do?rcpNo=20260513800722", "공시열람")</f>
        <v/>
      </c>
    </row>
    <row r="685">
      <c r="A685" t="inlineStr">
        <is>
          <t>2026-05-13</t>
        </is>
      </c>
      <c r="B685" t="inlineStr">
        <is>
          <t>HD현대</t>
        </is>
      </c>
      <c r="C685" t="inlineStr">
        <is>
          <t>267250</t>
        </is>
      </c>
      <c r="D685" t="inlineStr">
        <is>
          <t>연결</t>
        </is>
      </c>
      <c r="E685" t="inlineStr">
        <is>
          <t>2026Q1</t>
        </is>
      </c>
      <c r="F685" s="2" t="n">
        <v>19601900</v>
      </c>
      <c r="G685" t="n">
        <v>4.6</v>
      </c>
      <c r="H685" t="n">
        <v>14.7</v>
      </c>
      <c r="I685" s="2" t="n">
        <v>2834800</v>
      </c>
      <c r="J685" t="n">
        <v>43.8</v>
      </c>
      <c r="K685" t="n">
        <v>120.4</v>
      </c>
      <c r="L685" s="2" t="n">
        <v>2023000</v>
      </c>
      <c r="M685" t="n">
        <v>160.2</v>
      </c>
      <c r="N685" t="inlineStr">
        <is>
          <t>20260513800488</t>
        </is>
      </c>
      <c r="O685">
        <f>HYPERLINK("https://dart.fss.or.kr/dsaf001/main.do?rcpNo=20260513800488", "공시열람")</f>
        <v/>
      </c>
    </row>
    <row r="686">
      <c r="A686" t="inlineStr">
        <is>
          <t>2026-05-13</t>
        </is>
      </c>
      <c r="B686" t="inlineStr">
        <is>
          <t>컴투스홀딩스</t>
        </is>
      </c>
      <c r="C686" t="inlineStr">
        <is>
          <t>063080</t>
        </is>
      </c>
      <c r="D686" t="inlineStr">
        <is>
          <t>연결</t>
        </is>
      </c>
      <c r="E686" t="inlineStr">
        <is>
          <t>2026Q1</t>
        </is>
      </c>
      <c r="F686" s="2" t="n">
        <v>17128</v>
      </c>
      <c r="G686" t="n">
        <v>-38.7</v>
      </c>
      <c r="H686" t="n">
        <v>-29.6</v>
      </c>
      <c r="I686" s="2" t="n">
        <v>-9888</v>
      </c>
      <c r="J686" t="inlineStr"/>
      <c r="K686" t="n">
        <v>-209.4</v>
      </c>
      <c r="L686" s="2" t="n">
        <v>-11566</v>
      </c>
      <c r="M686" t="n">
        <v>-76.09999999999999</v>
      </c>
      <c r="N686" t="inlineStr">
        <is>
          <t>20260513900771</t>
        </is>
      </c>
      <c r="O686">
        <f>HYPERLINK("https://dart.fss.or.kr/dsaf001/main.do?rcpNo=20260513900771", "공시열람")</f>
        <v/>
      </c>
    </row>
    <row r="687">
      <c r="A687" t="inlineStr">
        <is>
          <t>2026-05-13</t>
        </is>
      </c>
      <c r="B687" t="inlineStr">
        <is>
          <t>코오롱글로벌</t>
        </is>
      </c>
      <c r="C687" t="inlineStr">
        <is>
          <t>003070</t>
        </is>
      </c>
      <c r="D687" t="inlineStr">
        <is>
          <t>연결</t>
        </is>
      </c>
      <c r="E687" t="inlineStr">
        <is>
          <t>2026Q1</t>
        </is>
      </c>
      <c r="F687" s="2" t="n">
        <v>631209</v>
      </c>
      <c r="G687" t="n">
        <v>-9.65</v>
      </c>
      <c r="H687" t="n">
        <v>-1.99</v>
      </c>
      <c r="I687" s="2" t="n">
        <v>22012</v>
      </c>
      <c r="J687" t="inlineStr"/>
      <c r="K687" t="n">
        <v>129.35</v>
      </c>
      <c r="L687" s="2" t="n">
        <v>10894</v>
      </c>
      <c r="M687" t="inlineStr"/>
      <c r="N687" t="inlineStr">
        <is>
          <t>20260513800844</t>
        </is>
      </c>
      <c r="O687">
        <f>HYPERLINK("https://dart.fss.or.kr/dsaf001/main.do?rcpNo=20260513800844", "공시열람")</f>
        <v/>
      </c>
    </row>
    <row r="688">
      <c r="A688" t="inlineStr">
        <is>
          <t>2026-05-13</t>
        </is>
      </c>
      <c r="B688" t="inlineStr">
        <is>
          <t>SK네트웍스</t>
        </is>
      </c>
      <c r="C688" t="inlineStr">
        <is>
          <t>001740</t>
        </is>
      </c>
      <c r="D688" t="inlineStr">
        <is>
          <t>연결</t>
        </is>
      </c>
      <c r="E688" t="inlineStr">
        <is>
          <t>2026Q1</t>
        </is>
      </c>
      <c r="F688" s="2" t="n">
        <v>1743436</v>
      </c>
      <c r="G688" t="n">
        <v>7.7</v>
      </c>
      <c r="H688" t="n">
        <v>6.5</v>
      </c>
      <c r="I688" s="2" t="n">
        <v>33352</v>
      </c>
      <c r="J688" t="n">
        <v>651.7</v>
      </c>
      <c r="K688" t="n">
        <v>102.4</v>
      </c>
      <c r="L688" s="2" t="n">
        <v>42699</v>
      </c>
      <c r="M688" t="inlineStr"/>
      <c r="N688" t="inlineStr">
        <is>
          <t>20260513801148</t>
        </is>
      </c>
      <c r="O688">
        <f>HYPERLINK("https://dart.fss.or.kr/dsaf001/main.do?rcpNo=20260513801148", "공시열람")</f>
        <v/>
      </c>
    </row>
    <row r="689">
      <c r="A689" t="inlineStr">
        <is>
          <t>2026-05-13</t>
        </is>
      </c>
      <c r="B689" t="inlineStr">
        <is>
          <t>JW신약</t>
        </is>
      </c>
      <c r="C689" t="inlineStr">
        <is>
          <t>067290</t>
        </is>
      </c>
      <c r="D689" t="inlineStr">
        <is>
          <t>별도</t>
        </is>
      </c>
      <c r="E689" t="inlineStr">
        <is>
          <t>2026Q1</t>
        </is>
      </c>
      <c r="F689" s="2" t="n">
        <v>21382</v>
      </c>
      <c r="G689" t="n">
        <v>1.3</v>
      </c>
      <c r="H689" t="n">
        <v>8.800000000000001</v>
      </c>
      <c r="I689" s="2" t="n">
        <v>2883</v>
      </c>
      <c r="J689" t="n">
        <v>102.5</v>
      </c>
      <c r="K689" t="n">
        <v>332.1</v>
      </c>
      <c r="L689" s="2" t="n">
        <v>2670</v>
      </c>
      <c r="M689" t="n">
        <v>-68.90000000000001</v>
      </c>
      <c r="N689" t="inlineStr">
        <is>
          <t>20260513900897</t>
        </is>
      </c>
      <c r="O689">
        <f>HYPERLINK("https://dart.fss.or.kr/dsaf001/main.do?rcpNo=20260513900897", "공시열람")</f>
        <v/>
      </c>
    </row>
    <row r="690">
      <c r="A690" t="inlineStr">
        <is>
          <t>2026-05-13</t>
        </is>
      </c>
      <c r="B690" t="inlineStr">
        <is>
          <t>JW생명과학</t>
        </is>
      </c>
      <c r="C690" t="inlineStr">
        <is>
          <t>234080</t>
        </is>
      </c>
      <c r="D690" t="inlineStr">
        <is>
          <t>별도</t>
        </is>
      </c>
      <c r="E690" t="inlineStr">
        <is>
          <t>2026Q1</t>
        </is>
      </c>
      <c r="F690" s="2" t="n">
        <v>59263</v>
      </c>
      <c r="G690" t="n">
        <v>2.09</v>
      </c>
      <c r="H690" t="n">
        <v>-4.48</v>
      </c>
      <c r="I690" s="2" t="n">
        <v>8918</v>
      </c>
      <c r="J690" t="n">
        <v>32.99</v>
      </c>
      <c r="K690" t="n">
        <v>-14.01</v>
      </c>
      <c r="L690" s="2" t="n">
        <v>6224</v>
      </c>
      <c r="M690" t="n">
        <v>-12.39</v>
      </c>
      <c r="N690" t="inlineStr">
        <is>
          <t>20260513800898</t>
        </is>
      </c>
      <c r="O690">
        <f>HYPERLINK("https://dart.fss.or.kr/dsaf001/main.do?rcpNo=20260513800898", "공시열람")</f>
        <v/>
      </c>
    </row>
    <row r="691">
      <c r="A691" t="inlineStr">
        <is>
          <t>2026-05-13</t>
        </is>
      </c>
      <c r="B691" t="inlineStr">
        <is>
          <t>일동제약</t>
        </is>
      </c>
      <c r="C691" t="inlineStr">
        <is>
          <t>249420</t>
        </is>
      </c>
      <c r="D691" t="inlineStr">
        <is>
          <t>연결</t>
        </is>
      </c>
      <c r="E691" t="inlineStr">
        <is>
          <t>2026Q1</t>
        </is>
      </c>
      <c r="F691" s="2" t="n">
        <v>141997</v>
      </c>
      <c r="G691" t="n">
        <v>-3.4</v>
      </c>
      <c r="H691" t="n">
        <v>4.4</v>
      </c>
      <c r="I691" s="2" t="n">
        <v>9227</v>
      </c>
      <c r="J691" t="n">
        <v>16.4</v>
      </c>
      <c r="K691" t="n">
        <v>120</v>
      </c>
      <c r="L691" s="2" t="n">
        <v>7376</v>
      </c>
      <c r="M691" t="n">
        <v>1376.6</v>
      </c>
      <c r="N691" t="inlineStr">
        <is>
          <t>20260513800538</t>
        </is>
      </c>
      <c r="O691">
        <f>HYPERLINK("https://dart.fss.or.kr/dsaf001/main.do?rcpNo=20260513800538", "공시열람")</f>
        <v/>
      </c>
    </row>
    <row r="692">
      <c r="A692" t="inlineStr">
        <is>
          <t>2026-05-13</t>
        </is>
      </c>
      <c r="B692" t="inlineStr">
        <is>
          <t>NE능률</t>
        </is>
      </c>
      <c r="C692" t="inlineStr">
        <is>
          <t>053290</t>
        </is>
      </c>
      <c r="D692" t="inlineStr">
        <is>
          <t>별도</t>
        </is>
      </c>
      <c r="E692" t="inlineStr">
        <is>
          <t>2026Q1</t>
        </is>
      </c>
      <c r="F692" s="2" t="n">
        <v>1972</v>
      </c>
      <c r="G692" t="n">
        <v>-91.8</v>
      </c>
      <c r="H692" t="n">
        <v>-87.90000000000001</v>
      </c>
      <c r="I692" s="2" t="n">
        <v>-12085</v>
      </c>
      <c r="J692" t="inlineStr"/>
      <c r="K692" t="inlineStr"/>
      <c r="L692" s="2" t="n">
        <v>-11820</v>
      </c>
      <c r="M692" t="inlineStr"/>
      <c r="N692" t="inlineStr">
        <is>
          <t>20260513900379</t>
        </is>
      </c>
      <c r="O692">
        <f>HYPERLINK("https://dart.fss.or.kr/dsaf001/main.do?rcpNo=20260513900379", "공시열람")</f>
        <v/>
      </c>
    </row>
    <row r="693">
      <c r="A693" t="inlineStr">
        <is>
          <t>2026-05-13</t>
        </is>
      </c>
      <c r="B693" t="inlineStr">
        <is>
          <t>HD현대</t>
        </is>
      </c>
      <c r="C693" t="inlineStr">
        <is>
          <t>267250</t>
        </is>
      </c>
      <c r="D693" t="inlineStr">
        <is>
          <t>연결</t>
        </is>
      </c>
      <c r="E693" t="inlineStr">
        <is>
          <t>2026Q1</t>
        </is>
      </c>
      <c r="F693" s="2" t="n">
        <v>7715500</v>
      </c>
      <c r="G693" t="n">
        <v>9.800000000000001</v>
      </c>
      <c r="H693" t="n">
        <v>8.300000000000001</v>
      </c>
      <c r="I693" s="2" t="n">
        <v>933500</v>
      </c>
      <c r="J693" t="n">
        <v>89.40000000000001</v>
      </c>
      <c r="K693" t="n">
        <v>2901.6</v>
      </c>
      <c r="L693" s="2" t="n">
        <v>481800</v>
      </c>
      <c r="M693" t="inlineStr"/>
      <c r="N693" t="inlineStr">
        <is>
          <t>20260513800475</t>
        </is>
      </c>
      <c r="O693">
        <f>HYPERLINK("https://dart.fss.or.kr/dsaf001/main.do?rcpNo=20260513800475", "공시열람")</f>
        <v/>
      </c>
    </row>
    <row r="694">
      <c r="A694" t="inlineStr">
        <is>
          <t>2026-05-13</t>
        </is>
      </c>
      <c r="B694" t="inlineStr">
        <is>
          <t>에스피지</t>
        </is>
      </c>
      <c r="C694" t="inlineStr">
        <is>
          <t>058610</t>
        </is>
      </c>
      <c r="D694" t="inlineStr">
        <is>
          <t>연결</t>
        </is>
      </c>
      <c r="E694" t="inlineStr">
        <is>
          <t>2026Q1</t>
        </is>
      </c>
      <c r="F694" s="2" t="n">
        <v>80832</v>
      </c>
      <c r="G694" t="n">
        <v>-3.6</v>
      </c>
      <c r="H694" t="n">
        <v>-13.4</v>
      </c>
      <c r="I694" s="2" t="n">
        <v>4486</v>
      </c>
      <c r="J694" t="n">
        <v>-10.2</v>
      </c>
      <c r="K694" t="n">
        <v>9.699999999999999</v>
      </c>
      <c r="L694" s="2" t="n">
        <v>3464</v>
      </c>
      <c r="M694" t="n">
        <v>11.1</v>
      </c>
      <c r="N694" t="inlineStr">
        <is>
          <t>20260513900250</t>
        </is>
      </c>
      <c r="O694">
        <f>HYPERLINK("https://dart.fss.or.kr/dsaf001/main.do?rcpNo=20260513900250", "공시열람")</f>
        <v/>
      </c>
    </row>
    <row r="695">
      <c r="A695" t="inlineStr">
        <is>
          <t>2026-05-13</t>
        </is>
      </c>
      <c r="B695" t="inlineStr">
        <is>
          <t>더블유게임즈</t>
        </is>
      </c>
      <c r="C695" t="inlineStr">
        <is>
          <t>192080</t>
        </is>
      </c>
      <c r="D695" t="inlineStr">
        <is>
          <t>별도</t>
        </is>
      </c>
      <c r="E695" t="inlineStr">
        <is>
          <t>2026Q1</t>
        </is>
      </c>
      <c r="F695" s="2" t="n">
        <v>45814</v>
      </c>
      <c r="G695" t="n">
        <v>2.9</v>
      </c>
      <c r="H695" t="n">
        <v>4.3</v>
      </c>
      <c r="I695" s="2" t="n">
        <v>16206</v>
      </c>
      <c r="J695" t="n">
        <v>41</v>
      </c>
      <c r="K695" t="n">
        <v>37.1</v>
      </c>
      <c r="L695" s="2" t="n">
        <v>23135</v>
      </c>
      <c r="M695" t="n">
        <v>109.6</v>
      </c>
      <c r="N695" t="inlineStr">
        <is>
          <t>20260513800020</t>
        </is>
      </c>
      <c r="O695">
        <f>HYPERLINK("https://dart.fss.or.kr/dsaf001/main.do?rcpNo=20260513800020", "공시열람")</f>
        <v/>
      </c>
    </row>
    <row r="696">
      <c r="A696" t="inlineStr">
        <is>
          <t>2026-05-13</t>
        </is>
      </c>
      <c r="B696" t="inlineStr">
        <is>
          <t>더블유게임즈</t>
        </is>
      </c>
      <c r="C696" t="inlineStr">
        <is>
          <t>192080</t>
        </is>
      </c>
      <c r="D696" t="inlineStr">
        <is>
          <t>연결</t>
        </is>
      </c>
      <c r="E696" t="inlineStr">
        <is>
          <t>2026Q1</t>
        </is>
      </c>
      <c r="F696" s="2" t="n">
        <v>204987</v>
      </c>
      <c r="G696" t="n">
        <v>2.6</v>
      </c>
      <c r="H696" t="n">
        <v>26.6</v>
      </c>
      <c r="I696" s="2" t="n">
        <v>68471</v>
      </c>
      <c r="J696" t="n">
        <v>7.1</v>
      </c>
      <c r="K696" t="n">
        <v>25.1</v>
      </c>
      <c r="L696" s="2" t="n">
        <v>73549</v>
      </c>
      <c r="M696" t="n">
        <v>60.6</v>
      </c>
      <c r="N696" t="inlineStr">
        <is>
          <t>20260513800025</t>
        </is>
      </c>
      <c r="O696">
        <f>HYPERLINK("https://dart.fss.or.kr/dsaf001/main.do?rcpNo=20260513800025", "공시열람")</f>
        <v/>
      </c>
    </row>
    <row r="697">
      <c r="A697" t="inlineStr">
        <is>
          <t>2026-05-13</t>
        </is>
      </c>
      <c r="B697" t="inlineStr">
        <is>
          <t>NC</t>
        </is>
      </c>
      <c r="C697" t="inlineStr">
        <is>
          <t>036570</t>
        </is>
      </c>
      <c r="D697" t="inlineStr">
        <is>
          <t>연결</t>
        </is>
      </c>
      <c r="E697" t="inlineStr">
        <is>
          <t>2026Q1</t>
        </is>
      </c>
      <c r="F697" s="2" t="n">
        <v>557383</v>
      </c>
      <c r="G697" t="n">
        <v>37.9</v>
      </c>
      <c r="H697" t="n">
        <v>54.7</v>
      </c>
      <c r="I697" s="2" t="n">
        <v>113277</v>
      </c>
      <c r="J697" t="n">
        <v>3388.8</v>
      </c>
      <c r="K697" t="n">
        <v>2070.1</v>
      </c>
      <c r="L697" s="2" t="n">
        <v>152428</v>
      </c>
      <c r="M697" t="n">
        <v>306.4</v>
      </c>
      <c r="N697" t="inlineStr">
        <is>
          <t>20260513800029</t>
        </is>
      </c>
      <c r="O697">
        <f>HYPERLINK("https://dart.fss.or.kr/dsaf001/main.do?rcpNo=20260513800029", "공시열람")</f>
        <v/>
      </c>
    </row>
    <row r="698">
      <c r="A698" t="inlineStr">
        <is>
          <t>2026-05-13</t>
        </is>
      </c>
      <c r="B698" t="inlineStr">
        <is>
          <t>CJ대한통운</t>
        </is>
      </c>
      <c r="C698" t="inlineStr">
        <is>
          <t>000120</t>
        </is>
      </c>
      <c r="D698" t="inlineStr">
        <is>
          <t>연결</t>
        </is>
      </c>
      <c r="E698" t="inlineStr">
        <is>
          <t>2026Q1</t>
        </is>
      </c>
      <c r="F698" s="2" t="n">
        <v>3214546</v>
      </c>
      <c r="G698" t="n">
        <v>1.2</v>
      </c>
      <c r="H698" t="n">
        <v>7.4</v>
      </c>
      <c r="I698" s="2" t="n">
        <v>92105</v>
      </c>
      <c r="J698" t="n">
        <v>-42.3</v>
      </c>
      <c r="K698" t="n">
        <v>7.9</v>
      </c>
      <c r="L698" s="2" t="n">
        <v>37943</v>
      </c>
      <c r="M698" t="n">
        <v>-7.4</v>
      </c>
      <c r="N698" t="inlineStr">
        <is>
          <t>20260513800102</t>
        </is>
      </c>
      <c r="O698">
        <f>HYPERLINK("https://dart.fss.or.kr/dsaf001/main.do?rcpNo=20260513800102", "공시열람")</f>
        <v/>
      </c>
    </row>
    <row r="699">
      <c r="A699" t="inlineStr">
        <is>
          <t>2026-05-13</t>
        </is>
      </c>
      <c r="B699" t="inlineStr">
        <is>
          <t>컴투스</t>
        </is>
      </c>
      <c r="C699" t="inlineStr">
        <is>
          <t>078340</t>
        </is>
      </c>
      <c r="D699" t="inlineStr">
        <is>
          <t>별도</t>
        </is>
      </c>
      <c r="E699" t="inlineStr">
        <is>
          <t>2026Q1</t>
        </is>
      </c>
      <c r="F699" s="2" t="n">
        <v>122853</v>
      </c>
      <c r="G699" t="n">
        <v>-14.7</v>
      </c>
      <c r="H699" t="n">
        <v>-5.9</v>
      </c>
      <c r="I699" s="2" t="n">
        <v>7705</v>
      </c>
      <c r="J699" t="n">
        <v>-62.3</v>
      </c>
      <c r="K699" t="n">
        <v>47.1</v>
      </c>
      <c r="L699" s="2" t="n">
        <v>-11492</v>
      </c>
      <c r="M699" t="inlineStr"/>
      <c r="N699" t="inlineStr">
        <is>
          <t>20260513900110</t>
        </is>
      </c>
      <c r="O699">
        <f>HYPERLINK("https://dart.fss.or.kr/dsaf001/main.do?rcpNo=20260513900110", "공시열람")</f>
        <v/>
      </c>
    </row>
    <row r="700">
      <c r="A700" t="inlineStr">
        <is>
          <t>2026-05-13</t>
        </is>
      </c>
      <c r="B700" t="inlineStr">
        <is>
          <t>바이오노트</t>
        </is>
      </c>
      <c r="C700" t="inlineStr">
        <is>
          <t>377740</t>
        </is>
      </c>
      <c r="D700" t="inlineStr">
        <is>
          <t>연결</t>
        </is>
      </c>
      <c r="E700" t="inlineStr">
        <is>
          <t>2026Q1</t>
        </is>
      </c>
      <c r="F700" s="2" t="n">
        <v>32567</v>
      </c>
      <c r="G700" t="n">
        <v>16.42</v>
      </c>
      <c r="H700" t="n">
        <v>14.49</v>
      </c>
      <c r="I700" s="2" t="n">
        <v>6345</v>
      </c>
      <c r="J700" t="n">
        <v>655.27</v>
      </c>
      <c r="K700" t="n">
        <v>35.16</v>
      </c>
      <c r="L700" s="2" t="n">
        <v>41299</v>
      </c>
      <c r="M700" t="n">
        <v>925.36</v>
      </c>
      <c r="N700" t="inlineStr">
        <is>
          <t>20260513800204</t>
        </is>
      </c>
      <c r="O700">
        <f>HYPERLINK("https://dart.fss.or.kr/dsaf001/main.do?rcpNo=20260513800204", "공시열람")</f>
        <v/>
      </c>
    </row>
    <row r="701">
      <c r="A701" t="inlineStr">
        <is>
          <t>2026-05-13</t>
        </is>
      </c>
      <c r="B701" t="inlineStr">
        <is>
          <t>에이유브랜즈</t>
        </is>
      </c>
      <c r="C701" t="inlineStr">
        <is>
          <t>481070</t>
        </is>
      </c>
      <c r="D701" t="inlineStr">
        <is>
          <t>연결</t>
        </is>
      </c>
      <c r="E701" t="inlineStr">
        <is>
          <t>2026Q1</t>
        </is>
      </c>
      <c r="F701" s="2" t="n">
        <v>18485</v>
      </c>
      <c r="G701" t="n">
        <v>-30</v>
      </c>
      <c r="H701" t="n">
        <v>136.08</v>
      </c>
      <c r="I701" s="2" t="n">
        <v>2023</v>
      </c>
      <c r="J701" t="n">
        <v>-65.68000000000001</v>
      </c>
      <c r="K701" t="n">
        <v>154.15</v>
      </c>
      <c r="L701" s="2" t="n">
        <v>3424</v>
      </c>
      <c r="M701" t="n">
        <v>363.33</v>
      </c>
      <c r="N701" t="inlineStr">
        <is>
          <t>20260513900307</t>
        </is>
      </c>
      <c r="O701">
        <f>HYPERLINK("https://dart.fss.or.kr/dsaf001/main.do?rcpNo=20260513900307", "공시열람")</f>
        <v/>
      </c>
    </row>
    <row r="702">
      <c r="A702" t="inlineStr">
        <is>
          <t>2026-05-13</t>
        </is>
      </c>
      <c r="B702" t="inlineStr">
        <is>
          <t>한국가스공사</t>
        </is>
      </c>
      <c r="C702" t="inlineStr">
        <is>
          <t>036460</t>
        </is>
      </c>
      <c r="D702" t="inlineStr">
        <is>
          <t>연결</t>
        </is>
      </c>
      <c r="E702" t="inlineStr">
        <is>
          <t>2026Q1</t>
        </is>
      </c>
      <c r="F702" s="2" t="n">
        <v>11802205</v>
      </c>
      <c r="G702" t="n">
        <v>31.2</v>
      </c>
      <c r="H702" t="n">
        <v>-7.3</v>
      </c>
      <c r="I702" s="2" t="n">
        <v>910003</v>
      </c>
      <c r="J702" t="n">
        <v>92.09999999999999</v>
      </c>
      <c r="K702" t="n">
        <v>9.1</v>
      </c>
      <c r="L702" s="2" t="n">
        <v>548328</v>
      </c>
      <c r="M702" t="n">
        <v>49.3</v>
      </c>
      <c r="N702" t="inlineStr">
        <is>
          <t>20260513800420</t>
        </is>
      </c>
      <c r="O702">
        <f>HYPERLINK("https://dart.fss.or.kr/dsaf001/main.do?rcpNo=20260513800420", "공시열람")</f>
        <v/>
      </c>
    </row>
    <row r="703">
      <c r="A703" t="inlineStr">
        <is>
          <t>2026-05-13</t>
        </is>
      </c>
      <c r="B703" t="inlineStr">
        <is>
          <t>클래시스</t>
        </is>
      </c>
      <c r="C703" t="inlineStr">
        <is>
          <t>214150</t>
        </is>
      </c>
      <c r="D703" t="inlineStr">
        <is>
          <t>연결</t>
        </is>
      </c>
      <c r="E703" t="inlineStr">
        <is>
          <t>2026Q1</t>
        </is>
      </c>
      <c r="F703" s="2" t="n">
        <v>87175</v>
      </c>
      <c r="G703" t="n">
        <v>-6.7</v>
      </c>
      <c r="H703" t="n">
        <v>13</v>
      </c>
      <c r="I703" s="2" t="n">
        <v>37199</v>
      </c>
      <c r="J703" t="n">
        <v>-27.3</v>
      </c>
      <c r="K703" t="n">
        <v>-4.1</v>
      </c>
      <c r="L703" s="2" t="n">
        <v>33156</v>
      </c>
      <c r="M703" t="n">
        <v>11.5</v>
      </c>
      <c r="N703" t="inlineStr">
        <is>
          <t>20260513900311</t>
        </is>
      </c>
      <c r="O703">
        <f>HYPERLINK("https://dart.fss.or.kr/dsaf001/main.do?rcpNo=20260513900311", "공시열람")</f>
        <v/>
      </c>
    </row>
    <row r="704">
      <c r="A704" t="inlineStr">
        <is>
          <t>2026-05-13</t>
        </is>
      </c>
      <c r="B704" t="inlineStr">
        <is>
          <t>GS</t>
        </is>
      </c>
      <c r="C704" t="inlineStr">
        <is>
          <t>078930</t>
        </is>
      </c>
      <c r="D704" t="inlineStr">
        <is>
          <t>연결</t>
        </is>
      </c>
      <c r="E704" t="inlineStr">
        <is>
          <t>2026Q1</t>
        </is>
      </c>
      <c r="F704" s="2" t="n">
        <v>6842400</v>
      </c>
      <c r="G704" t="n">
        <v>5.47</v>
      </c>
      <c r="H704" t="n">
        <v>9.880000000000001</v>
      </c>
      <c r="I704" s="2" t="n">
        <v>1258600</v>
      </c>
      <c r="J704" t="n">
        <v>62.15</v>
      </c>
      <c r="K704" t="n">
        <v>56.68</v>
      </c>
      <c r="L704" s="2" t="n">
        <v>826700</v>
      </c>
      <c r="M704" t="n">
        <v>183.6</v>
      </c>
      <c r="N704" t="inlineStr">
        <is>
          <t>20260513800309</t>
        </is>
      </c>
      <c r="O704">
        <f>HYPERLINK("https://dart.fss.or.kr/dsaf001/main.do?rcpNo=20260513800309", "공시열람")</f>
        <v/>
      </c>
    </row>
    <row r="705">
      <c r="A705" t="inlineStr">
        <is>
          <t>2026-05-13</t>
        </is>
      </c>
      <c r="B705" t="inlineStr">
        <is>
          <t>키다리스튜디오</t>
        </is>
      </c>
      <c r="C705" t="inlineStr">
        <is>
          <t>020120</t>
        </is>
      </c>
      <c r="D705" t="inlineStr">
        <is>
          <t>연결</t>
        </is>
      </c>
      <c r="E705" t="inlineStr">
        <is>
          <t>2026Q1</t>
        </is>
      </c>
      <c r="F705" s="2" t="n">
        <v>58345</v>
      </c>
      <c r="G705" t="n">
        <v>-9.84</v>
      </c>
      <c r="H705" t="n">
        <v>20.93</v>
      </c>
      <c r="I705" s="2" t="n">
        <v>3442</v>
      </c>
      <c r="J705" t="n">
        <v>-46.49</v>
      </c>
      <c r="K705" t="n">
        <v>575.45</v>
      </c>
      <c r="L705" s="2" t="n">
        <v>6349</v>
      </c>
      <c r="M705" t="n">
        <v>210.74</v>
      </c>
      <c r="N705" t="inlineStr">
        <is>
          <t>20260513800328</t>
        </is>
      </c>
      <c r="O705">
        <f>HYPERLINK("https://dart.fss.or.kr/dsaf001/main.do?rcpNo=20260513800328", "공시열람")</f>
        <v/>
      </c>
    </row>
    <row r="706">
      <c r="A706" t="inlineStr">
        <is>
          <t>2026-05-13</t>
        </is>
      </c>
      <c r="B706" t="inlineStr">
        <is>
          <t>지구홀딩스</t>
        </is>
      </c>
      <c r="C706" t="inlineStr">
        <is>
          <t>221800</t>
        </is>
      </c>
      <c r="D706" t="inlineStr">
        <is>
          <t>연결</t>
        </is>
      </c>
      <c r="E706" t="inlineStr">
        <is>
          <t>2026Q1</t>
        </is>
      </c>
      <c r="F706" s="2" t="n">
        <v>6979</v>
      </c>
      <c r="G706" t="n">
        <v>11.3</v>
      </c>
      <c r="H706" t="n">
        <v>24.1</v>
      </c>
      <c r="I706" s="2" t="n">
        <v>-1608</v>
      </c>
      <c r="J706" t="n">
        <v>-87.59999999999999</v>
      </c>
      <c r="K706" t="n">
        <v>-126.5</v>
      </c>
      <c r="L706" s="2" t="n">
        <v>-232</v>
      </c>
      <c r="M706" t="n">
        <v>6.8</v>
      </c>
      <c r="N706" t="inlineStr">
        <is>
          <t>20260513900367</t>
        </is>
      </c>
      <c r="O706">
        <f>HYPERLINK("https://dart.fss.or.kr/dsaf001/main.do?rcpNo=20260513900367", "공시열람")</f>
        <v/>
      </c>
    </row>
    <row r="707">
      <c r="A707" t="inlineStr">
        <is>
          <t>2026-05-13</t>
        </is>
      </c>
      <c r="B707" t="inlineStr">
        <is>
          <t>이마트</t>
        </is>
      </c>
      <c r="C707" t="inlineStr">
        <is>
          <t>139480</t>
        </is>
      </c>
      <c r="D707" t="inlineStr">
        <is>
          <t>연결</t>
        </is>
      </c>
      <c r="E707" t="inlineStr">
        <is>
          <t>2026Q1</t>
        </is>
      </c>
      <c r="F707" s="2" t="n">
        <v>7123400</v>
      </c>
      <c r="G707" t="n">
        <v>-2.6</v>
      </c>
      <c r="H707" t="n">
        <v>-1.3</v>
      </c>
      <c r="I707" s="2" t="n">
        <v>178300</v>
      </c>
      <c r="J707" t="inlineStr"/>
      <c r="K707" t="n">
        <v>11.9</v>
      </c>
      <c r="L707" s="2" t="n">
        <v>79400</v>
      </c>
      <c r="M707" t="n">
        <v>-5</v>
      </c>
      <c r="N707" t="inlineStr">
        <is>
          <t>20260513800392</t>
        </is>
      </c>
      <c r="O707">
        <f>HYPERLINK("https://dart.fss.or.kr/dsaf001/main.do?rcpNo=20260513800392", "공시열람")</f>
        <v/>
      </c>
    </row>
    <row r="708">
      <c r="A708" t="inlineStr">
        <is>
          <t>2026-05-13</t>
        </is>
      </c>
      <c r="B708" t="inlineStr">
        <is>
          <t>이마트</t>
        </is>
      </c>
      <c r="C708" t="inlineStr">
        <is>
          <t>139480</t>
        </is>
      </c>
      <c r="D708" t="inlineStr">
        <is>
          <t>별도</t>
        </is>
      </c>
      <c r="E708" t="inlineStr">
        <is>
          <t>2026Q1</t>
        </is>
      </c>
      <c r="F708" s="2" t="n">
        <v>1327700</v>
      </c>
      <c r="G708" t="n">
        <v>0.3</v>
      </c>
      <c r="H708" t="n">
        <v>4.6</v>
      </c>
      <c r="I708" s="2" t="inlineStr"/>
      <c r="J708" t="inlineStr"/>
      <c r="K708" t="inlineStr"/>
      <c r="L708" s="2" t="inlineStr"/>
      <c r="M708" t="inlineStr"/>
      <c r="N708" t="inlineStr">
        <is>
          <t>20260513800396</t>
        </is>
      </c>
      <c r="O708">
        <f>HYPERLINK("https://dart.fss.or.kr/dsaf001/main.do?rcpNo=20260513800396", "공시열람")</f>
        <v/>
      </c>
    </row>
    <row r="709">
      <c r="A709" t="inlineStr">
        <is>
          <t>2026-05-13</t>
        </is>
      </c>
      <c r="B709" t="inlineStr">
        <is>
          <t>컴투스</t>
        </is>
      </c>
      <c r="C709" t="inlineStr">
        <is>
          <t>078340</t>
        </is>
      </c>
      <c r="D709" t="inlineStr">
        <is>
          <t>연결</t>
        </is>
      </c>
      <c r="E709" t="inlineStr">
        <is>
          <t>2026Q1</t>
        </is>
      </c>
      <c r="F709" s="2" t="n">
        <v>144732</v>
      </c>
      <c r="G709" t="n">
        <v>-20.7</v>
      </c>
      <c r="H709" t="n">
        <v>-13.9</v>
      </c>
      <c r="I709" s="2" t="n">
        <v>5136</v>
      </c>
      <c r="J709" t="n">
        <v>-73.2</v>
      </c>
      <c r="K709" t="n">
        <v>206.9</v>
      </c>
      <c r="L709" s="2" t="n">
        <v>-8315</v>
      </c>
      <c r="M709" t="inlineStr"/>
      <c r="N709" t="inlineStr">
        <is>
          <t>20260513900109</t>
        </is>
      </c>
      <c r="O709">
        <f>HYPERLINK("https://dart.fss.or.kr/dsaf001/main.do?rcpNo=20260513900109", "공시열람")</f>
        <v/>
      </c>
    </row>
    <row r="710">
      <c r="A710" t="inlineStr">
        <is>
          <t>2026-05-13</t>
        </is>
      </c>
      <c r="B710" t="inlineStr">
        <is>
          <t>경동나비엔</t>
        </is>
      </c>
      <c r="C710" t="inlineStr">
        <is>
          <t>009450</t>
        </is>
      </c>
      <c r="D710" t="inlineStr">
        <is>
          <t>연결</t>
        </is>
      </c>
      <c r="E710" t="inlineStr">
        <is>
          <t>2026Q1</t>
        </is>
      </c>
      <c r="F710" s="2" t="n">
        <v>425320</v>
      </c>
      <c r="G710" t="n">
        <v>-3.1</v>
      </c>
      <c r="H710" t="n">
        <v>16.5</v>
      </c>
      <c r="I710" s="2" t="n">
        <v>63810</v>
      </c>
      <c r="J710" t="n">
        <v>42.6</v>
      </c>
      <c r="K710" t="n">
        <v>61.7</v>
      </c>
      <c r="L710" s="2" t="n">
        <v>58004</v>
      </c>
      <c r="M710" t="n">
        <v>53.8</v>
      </c>
      <c r="N710" t="inlineStr">
        <is>
          <t>20260513800863</t>
        </is>
      </c>
      <c r="O710">
        <f>HYPERLINK("https://dart.fss.or.kr/dsaf001/main.do?rcpNo=20260513800863", "공시열람")</f>
        <v/>
      </c>
    </row>
    <row r="711">
      <c r="A711" t="inlineStr">
        <is>
          <t>2026-05-13</t>
        </is>
      </c>
      <c r="B711" t="inlineStr">
        <is>
          <t>하나투어</t>
        </is>
      </c>
      <c r="C711" t="inlineStr">
        <is>
          <t>039130</t>
        </is>
      </c>
      <c r="D711" t="inlineStr">
        <is>
          <t>연결</t>
        </is>
      </c>
      <c r="E711" t="inlineStr">
        <is>
          <t>2026Q1</t>
        </is>
      </c>
      <c r="F711" s="2" t="n">
        <v>174829</v>
      </c>
      <c r="G711" t="n">
        <v>-0.23</v>
      </c>
      <c r="H711" t="n">
        <v>3.79</v>
      </c>
      <c r="I711" s="2" t="n">
        <v>16763</v>
      </c>
      <c r="J711" t="n">
        <v>-38.85</v>
      </c>
      <c r="K711" t="n">
        <v>36.48</v>
      </c>
      <c r="L711" s="2" t="n">
        <v>25293</v>
      </c>
      <c r="M711" t="n">
        <v>76.08</v>
      </c>
      <c r="N711" t="inlineStr">
        <is>
          <t>20260513800858</t>
        </is>
      </c>
      <c r="O711">
        <f>HYPERLINK("https://dart.fss.or.kr/dsaf001/main.do?rcpNo=20260513800858", "공시열람")</f>
        <v/>
      </c>
    </row>
    <row r="712">
      <c r="A712" t="inlineStr">
        <is>
          <t>2026-05-12</t>
        </is>
      </c>
      <c r="B712" t="inlineStr">
        <is>
          <t>실리콘투</t>
        </is>
      </c>
      <c r="C712" t="inlineStr">
        <is>
          <t>257720</t>
        </is>
      </c>
      <c r="D712" t="inlineStr">
        <is>
          <t>연결</t>
        </is>
      </c>
      <c r="E712" t="inlineStr">
        <is>
          <t>2026Q1</t>
        </is>
      </c>
      <c r="F712" s="2" t="n">
        <v>346556</v>
      </c>
      <c r="G712" t="n">
        <v>13.3</v>
      </c>
      <c r="H712" t="n">
        <v>41.1</v>
      </c>
      <c r="I712" s="2" t="n">
        <v>64540</v>
      </c>
      <c r="J712" t="n">
        <v>52.3</v>
      </c>
      <c r="K712" t="n">
        <v>35.2</v>
      </c>
      <c r="L712" s="2" t="n">
        <v>54346</v>
      </c>
      <c r="M712" t="n">
        <v>40.1</v>
      </c>
      <c r="N712" t="inlineStr">
        <is>
          <t>20260512900303</t>
        </is>
      </c>
      <c r="O712">
        <f>HYPERLINK("https://dart.fss.or.kr/dsaf001/main.do?rcpNo=20260512900303", "공시열람")</f>
        <v/>
      </c>
    </row>
    <row r="713">
      <c r="A713" t="inlineStr">
        <is>
          <t>2026-05-12</t>
        </is>
      </c>
      <c r="B713" t="inlineStr">
        <is>
          <t>바텍</t>
        </is>
      </c>
      <c r="C713" t="inlineStr">
        <is>
          <t>043150</t>
        </is>
      </c>
      <c r="D713" t="inlineStr">
        <is>
          <t>연결</t>
        </is>
      </c>
      <c r="E713" t="inlineStr">
        <is>
          <t>2026Q1</t>
        </is>
      </c>
      <c r="F713" s="2" t="n">
        <v>105198</v>
      </c>
      <c r="G713" t="n">
        <v>-8</v>
      </c>
      <c r="H713" t="n">
        <v>3.8</v>
      </c>
      <c r="I713" s="2" t="n">
        <v>10995</v>
      </c>
      <c r="J713" t="n">
        <v>-10.6</v>
      </c>
      <c r="K713" t="n">
        <v>-16.7</v>
      </c>
      <c r="L713" s="2" t="n">
        <v>14233</v>
      </c>
      <c r="M713" t="n">
        <v>21.9</v>
      </c>
      <c r="N713" t="inlineStr">
        <is>
          <t>20260512900402</t>
        </is>
      </c>
      <c r="O713">
        <f>HYPERLINK("https://dart.fss.or.kr/dsaf001/main.do?rcpNo=20260512900402", "공시열람")</f>
        <v/>
      </c>
    </row>
    <row r="714">
      <c r="A714" t="inlineStr">
        <is>
          <t>2026-05-12</t>
        </is>
      </c>
      <c r="B714" t="inlineStr">
        <is>
          <t>한화투자증권</t>
        </is>
      </c>
      <c r="C714" t="inlineStr">
        <is>
          <t>003530</t>
        </is>
      </c>
      <c r="D714" t="inlineStr">
        <is>
          <t>연결</t>
        </is>
      </c>
      <c r="E714" t="inlineStr">
        <is>
          <t>2026Q1</t>
        </is>
      </c>
      <c r="F714" s="2" t="n">
        <v>1659350</v>
      </c>
      <c r="G714" t="n">
        <v>84.7</v>
      </c>
      <c r="H714" t="n">
        <v>98.3</v>
      </c>
      <c r="I714" s="2" t="n">
        <v>29649</v>
      </c>
      <c r="J714" t="n">
        <v>17.8</v>
      </c>
      <c r="K714" t="n">
        <v>-37.1</v>
      </c>
      <c r="L714" s="2" t="n">
        <v>19127</v>
      </c>
      <c r="M714" t="n">
        <v>-48.5</v>
      </c>
      <c r="N714" t="inlineStr">
        <is>
          <t>20260512800373</t>
        </is>
      </c>
      <c r="O714">
        <f>HYPERLINK("https://dart.fss.or.kr/dsaf001/main.do?rcpNo=20260512800373", "공시열람")</f>
        <v/>
      </c>
    </row>
    <row r="715">
      <c r="A715" t="inlineStr">
        <is>
          <t>2026-05-12</t>
        </is>
      </c>
      <c r="B715" t="inlineStr">
        <is>
          <t>한화투자증권</t>
        </is>
      </c>
      <c r="C715" t="inlineStr">
        <is>
          <t>003530</t>
        </is>
      </c>
      <c r="D715" t="inlineStr">
        <is>
          <t>별도</t>
        </is>
      </c>
      <c r="E715" t="inlineStr">
        <is>
          <t>2026Q1</t>
        </is>
      </c>
      <c r="F715" s="2" t="n">
        <v>1625777</v>
      </c>
      <c r="G715" t="n">
        <v>85.09999999999999</v>
      </c>
      <c r="H715" t="n">
        <v>94.40000000000001</v>
      </c>
      <c r="I715" s="2" t="n">
        <v>43134</v>
      </c>
      <c r="J715" t="n">
        <v>19.6</v>
      </c>
      <c r="K715" t="n">
        <v>-12.6</v>
      </c>
      <c r="L715" s="2" t="n">
        <v>28310</v>
      </c>
      <c r="M715" t="n">
        <v>-26.9</v>
      </c>
      <c r="N715" t="inlineStr">
        <is>
          <t>20260512800376</t>
        </is>
      </c>
      <c r="O715">
        <f>HYPERLINK("https://dart.fss.or.kr/dsaf001/main.do?rcpNo=20260512800376", "공시열람")</f>
        <v/>
      </c>
    </row>
    <row r="716">
      <c r="A716" t="inlineStr">
        <is>
          <t>2026-05-12</t>
        </is>
      </c>
      <c r="B716" t="inlineStr">
        <is>
          <t>한화생명</t>
        </is>
      </c>
      <c r="C716" t="inlineStr">
        <is>
          <t>088350</t>
        </is>
      </c>
      <c r="D716" t="inlineStr">
        <is>
          <t>별도</t>
        </is>
      </c>
      <c r="E716" t="inlineStr">
        <is>
          <t>2026Q1</t>
        </is>
      </c>
      <c r="F716" s="2" t="n">
        <v>5312729</v>
      </c>
      <c r="G716" t="n">
        <v>43.69</v>
      </c>
      <c r="H716" t="n">
        <v>57.79</v>
      </c>
      <c r="I716" s="2" t="n">
        <v>279974</v>
      </c>
      <c r="J716" t="n">
        <v>595.83</v>
      </c>
      <c r="K716" t="n">
        <v>123.84</v>
      </c>
      <c r="L716" s="2" t="n">
        <v>247844</v>
      </c>
      <c r="M716" t="n">
        <v>103.17</v>
      </c>
      <c r="N716" t="inlineStr">
        <is>
          <t>20260512800384</t>
        </is>
      </c>
      <c r="O716">
        <f>HYPERLINK("https://dart.fss.or.kr/dsaf001/main.do?rcpNo=20260512800384", "공시열람")</f>
        <v/>
      </c>
    </row>
    <row r="717">
      <c r="A717" t="inlineStr">
        <is>
          <t>2026-05-12</t>
        </is>
      </c>
      <c r="B717" t="inlineStr">
        <is>
          <t>한화생명</t>
        </is>
      </c>
      <c r="C717" t="inlineStr">
        <is>
          <t>088350</t>
        </is>
      </c>
      <c r="D717" t="inlineStr">
        <is>
          <t>연결</t>
        </is>
      </c>
      <c r="E717" t="inlineStr">
        <is>
          <t>2026Q1</t>
        </is>
      </c>
      <c r="F717" s="2" t="n">
        <v>9985187</v>
      </c>
      <c r="G717" t="n">
        <v>35.96</v>
      </c>
      <c r="H717" t="n">
        <v>54.69</v>
      </c>
      <c r="I717" s="2" t="n">
        <v>480782</v>
      </c>
      <c r="J717" t="n">
        <v>166.66</v>
      </c>
      <c r="K717" t="n">
        <v>29.47</v>
      </c>
      <c r="L717" s="2" t="n">
        <v>381582</v>
      </c>
      <c r="M717" t="n">
        <v>29.03</v>
      </c>
      <c r="N717" t="inlineStr">
        <is>
          <t>20260512800388</t>
        </is>
      </c>
      <c r="O717">
        <f>HYPERLINK("https://dart.fss.or.kr/dsaf001/main.do?rcpNo=20260512800388", "공시열람")</f>
        <v/>
      </c>
    </row>
    <row r="718">
      <c r="A718" t="inlineStr">
        <is>
          <t>2026-05-12</t>
        </is>
      </c>
      <c r="B718" t="inlineStr">
        <is>
          <t>신세계인터내셔날</t>
        </is>
      </c>
      <c r="C718" t="inlineStr">
        <is>
          <t>031430</t>
        </is>
      </c>
      <c r="D718" t="inlineStr">
        <is>
          <t>연결</t>
        </is>
      </c>
      <c r="E718" t="inlineStr">
        <is>
          <t>2026Q1</t>
        </is>
      </c>
      <c r="F718" s="2" t="n">
        <v>295645</v>
      </c>
      <c r="G718" t="n">
        <v>-14.1</v>
      </c>
      <c r="H718" t="n">
        <v>15.7</v>
      </c>
      <c r="I718" s="2" t="n">
        <v>14829</v>
      </c>
      <c r="J718" t="inlineStr"/>
      <c r="K718" t="n">
        <v>452.6</v>
      </c>
      <c r="L718" s="2" t="n">
        <v>14197</v>
      </c>
      <c r="M718" t="n">
        <v>214.9</v>
      </c>
      <c r="N718" t="inlineStr">
        <is>
          <t>20260512800385</t>
        </is>
      </c>
      <c r="O718">
        <f>HYPERLINK("https://dart.fss.or.kr/dsaf001/main.do?rcpNo=20260512800385", "공시열람")</f>
        <v/>
      </c>
    </row>
    <row r="719">
      <c r="A719" t="inlineStr">
        <is>
          <t>2026-05-12</t>
        </is>
      </c>
      <c r="B719" t="inlineStr">
        <is>
          <t>신세계</t>
        </is>
      </c>
      <c r="C719" t="inlineStr">
        <is>
          <t>004170</t>
        </is>
      </c>
      <c r="D719" t="inlineStr">
        <is>
          <t>연결</t>
        </is>
      </c>
      <c r="E719" t="inlineStr">
        <is>
          <t>2026Q1</t>
        </is>
      </c>
      <c r="F719" s="2" t="n">
        <v>1847145</v>
      </c>
      <c r="G719" t="n">
        <v>-4.48</v>
      </c>
      <c r="H719" t="n">
        <v>10.88</v>
      </c>
      <c r="I719" s="2" t="n">
        <v>197825</v>
      </c>
      <c r="J719" t="n">
        <v>14.66</v>
      </c>
      <c r="K719" t="n">
        <v>49.49</v>
      </c>
      <c r="L719" s="2" t="n">
        <v>145357</v>
      </c>
      <c r="M719" t="n">
        <v>88.54000000000001</v>
      </c>
      <c r="N719" t="inlineStr">
        <is>
          <t>20260512800387</t>
        </is>
      </c>
      <c r="O719">
        <f>HYPERLINK("https://dart.fss.or.kr/dsaf001/main.do?rcpNo=20260512800387", "공시열람")</f>
        <v/>
      </c>
    </row>
    <row r="720">
      <c r="A720" t="inlineStr">
        <is>
          <t>2026-05-12</t>
        </is>
      </c>
      <c r="B720" t="inlineStr">
        <is>
          <t>신세계</t>
        </is>
      </c>
      <c r="C720" t="inlineStr">
        <is>
          <t>004170</t>
        </is>
      </c>
      <c r="D720" t="inlineStr">
        <is>
          <t>별도</t>
        </is>
      </c>
      <c r="E720" t="inlineStr">
        <is>
          <t>2026Q1</t>
        </is>
      </c>
      <c r="F720" s="2" t="n">
        <v>177770</v>
      </c>
      <c r="G720" t="n">
        <v>-2.67</v>
      </c>
      <c r="H720" t="n">
        <v>17.97</v>
      </c>
      <c r="I720" s="2" t="inlineStr"/>
      <c r="J720" t="inlineStr"/>
      <c r="K720" t="inlineStr"/>
      <c r="L720" s="2" t="inlineStr"/>
      <c r="M720" t="inlineStr"/>
      <c r="N720" t="inlineStr">
        <is>
          <t>20260512800389</t>
        </is>
      </c>
      <c r="O720">
        <f>HYPERLINK("https://dart.fss.or.kr/dsaf001/main.do?rcpNo=20260512800389", "공시열람")</f>
        <v/>
      </c>
    </row>
    <row r="721">
      <c r="A721" t="inlineStr">
        <is>
          <t>2026-05-12</t>
        </is>
      </c>
      <c r="B721" t="inlineStr">
        <is>
          <t>레이언스</t>
        </is>
      </c>
      <c r="C721" t="inlineStr">
        <is>
          <t>228850</t>
        </is>
      </c>
      <c r="D721" t="inlineStr">
        <is>
          <t>연결</t>
        </is>
      </c>
      <c r="E721" t="inlineStr">
        <is>
          <t>2026Q1</t>
        </is>
      </c>
      <c r="F721" s="2" t="n">
        <v>36751</v>
      </c>
      <c r="G721" t="n">
        <v>26.1</v>
      </c>
      <c r="H721" t="n">
        <v>34.9</v>
      </c>
      <c r="I721" s="2" t="n">
        <v>3584</v>
      </c>
      <c r="J721" t="inlineStr"/>
      <c r="K721" t="inlineStr"/>
      <c r="L721" s="2" t="n">
        <v>5855</v>
      </c>
      <c r="M721" t="n">
        <v>2513.3</v>
      </c>
      <c r="N721" t="inlineStr">
        <is>
          <t>20260512900401</t>
        </is>
      </c>
      <c r="O721">
        <f>HYPERLINK("https://dart.fss.or.kr/dsaf001/main.do?rcpNo=20260512900401", "공시열람")</f>
        <v/>
      </c>
    </row>
    <row r="722">
      <c r="A722" t="inlineStr">
        <is>
          <t>2026-05-12</t>
        </is>
      </c>
      <c r="B722" t="inlineStr">
        <is>
          <t>GKL</t>
        </is>
      </c>
      <c r="C722" t="inlineStr">
        <is>
          <t>114090</t>
        </is>
      </c>
      <c r="D722" t="inlineStr">
        <is>
          <t>연결</t>
        </is>
      </c>
      <c r="E722" t="inlineStr">
        <is>
          <t>2026Q1</t>
        </is>
      </c>
      <c r="F722" s="2" t="n">
        <v>110651</v>
      </c>
      <c r="G722" t="n">
        <v>7.7</v>
      </c>
      <c r="H722" t="n">
        <v>0.7</v>
      </c>
      <c r="I722" s="2" t="n">
        <v>18148</v>
      </c>
      <c r="J722" t="inlineStr"/>
      <c r="K722" t="n">
        <v>-10</v>
      </c>
      <c r="L722" s="2" t="n">
        <v>15092</v>
      </c>
      <c r="M722" t="n">
        <v>-6.3</v>
      </c>
      <c r="N722" t="inlineStr">
        <is>
          <t>20260512800412</t>
        </is>
      </c>
      <c r="O722">
        <f>HYPERLINK("https://dart.fss.or.kr/dsaf001/main.do?rcpNo=20260512800412", "공시열람")</f>
        <v/>
      </c>
    </row>
    <row r="723">
      <c r="A723" t="inlineStr">
        <is>
          <t>2026-05-12</t>
        </is>
      </c>
      <c r="B723" t="inlineStr">
        <is>
          <t>케이티</t>
        </is>
      </c>
      <c r="C723" t="inlineStr">
        <is>
          <t>030200</t>
        </is>
      </c>
      <c r="D723" t="inlineStr">
        <is>
          <t>별도</t>
        </is>
      </c>
      <c r="E723" t="inlineStr">
        <is>
          <t>2026Q1</t>
        </is>
      </c>
      <c r="F723" s="2" t="n">
        <v>4834600</v>
      </c>
      <c r="G723" t="n">
        <v>1.6</v>
      </c>
      <c r="H723" t="n">
        <v>3.3</v>
      </c>
      <c r="I723" s="2" t="n">
        <v>313900</v>
      </c>
      <c r="J723" t="n">
        <v>229.4</v>
      </c>
      <c r="K723" t="n">
        <v>-21.5</v>
      </c>
      <c r="L723" s="2" t="n">
        <v>340000</v>
      </c>
      <c r="M723" t="n">
        <v>-7</v>
      </c>
      <c r="N723" t="inlineStr">
        <is>
          <t>20260512800370</t>
        </is>
      </c>
      <c r="O723">
        <f>HYPERLINK("https://dart.fss.or.kr/dsaf001/main.do?rcpNo=20260512800370", "공시열람")</f>
        <v/>
      </c>
    </row>
    <row r="724">
      <c r="A724" t="inlineStr">
        <is>
          <t>2026-05-12</t>
        </is>
      </c>
      <c r="B724" t="inlineStr">
        <is>
          <t>광주신세계</t>
        </is>
      </c>
      <c r="C724" t="inlineStr">
        <is>
          <t>037710</t>
        </is>
      </c>
      <c r="D724" t="inlineStr">
        <is>
          <t>별도</t>
        </is>
      </c>
      <c r="E724" t="inlineStr">
        <is>
          <t>2026Q1</t>
        </is>
      </c>
      <c r="F724" s="2" t="n">
        <v>48707</v>
      </c>
      <c r="G724" t="n">
        <v>-7.8</v>
      </c>
      <c r="H724" t="n">
        <v>7.1</v>
      </c>
      <c r="I724" s="2" t="n">
        <v>15674</v>
      </c>
      <c r="J724" t="n">
        <v>-11.6</v>
      </c>
      <c r="K724" t="n">
        <v>21.6</v>
      </c>
      <c r="L724" s="2" t="n">
        <v>13445</v>
      </c>
      <c r="M724" t="n">
        <v>19.1</v>
      </c>
      <c r="N724" t="inlineStr">
        <is>
          <t>20260512800467</t>
        </is>
      </c>
      <c r="O724">
        <f>HYPERLINK("https://dart.fss.or.kr/dsaf001/main.do?rcpNo=20260512800467", "공시열람")</f>
        <v/>
      </c>
    </row>
    <row r="725">
      <c r="A725" t="inlineStr">
        <is>
          <t>2026-05-12</t>
        </is>
      </c>
      <c r="B725" t="inlineStr">
        <is>
          <t>케이아이엔엑스</t>
        </is>
      </c>
      <c r="C725" t="inlineStr">
        <is>
          <t>093320</t>
        </is>
      </c>
      <c r="D725" t="inlineStr">
        <is>
          <t>연결</t>
        </is>
      </c>
      <c r="E725" t="inlineStr">
        <is>
          <t>2026Q1</t>
        </is>
      </c>
      <c r="F725" s="2" t="n">
        <v>42530</v>
      </c>
      <c r="G725" t="n">
        <v>3.19</v>
      </c>
      <c r="H725" t="n">
        <v>7.93</v>
      </c>
      <c r="I725" s="2" t="n">
        <v>8866</v>
      </c>
      <c r="J725" t="n">
        <v>28.35</v>
      </c>
      <c r="K725" t="n">
        <v>79.53</v>
      </c>
      <c r="L725" s="2" t="n">
        <v>7725</v>
      </c>
      <c r="M725" t="n">
        <v>132.29</v>
      </c>
      <c r="N725" t="inlineStr">
        <is>
          <t>20260512900500</t>
        </is>
      </c>
      <c r="O725">
        <f>HYPERLINK("https://dart.fss.or.kr/dsaf001/main.do?rcpNo=20260512900500", "공시열람")</f>
        <v/>
      </c>
    </row>
    <row r="726">
      <c r="A726" t="inlineStr">
        <is>
          <t>2026-05-12</t>
        </is>
      </c>
      <c r="B726" t="inlineStr">
        <is>
          <t>케이아이엔엑스</t>
        </is>
      </c>
      <c r="C726" t="inlineStr">
        <is>
          <t>093320</t>
        </is>
      </c>
      <c r="D726" t="inlineStr">
        <is>
          <t>별도</t>
        </is>
      </c>
      <c r="E726" t="inlineStr">
        <is>
          <t>2026Q1</t>
        </is>
      </c>
      <c r="F726" s="2" t="n">
        <v>29799</v>
      </c>
      <c r="G726" t="n">
        <v>9.34</v>
      </c>
      <c r="H726" t="n">
        <v>14.53</v>
      </c>
      <c r="I726" s="2" t="n">
        <v>8005</v>
      </c>
      <c r="J726" t="n">
        <v>33.32</v>
      </c>
      <c r="K726" t="n">
        <v>86.75</v>
      </c>
      <c r="L726" s="2" t="n">
        <v>6867</v>
      </c>
      <c r="M726" t="n">
        <v>117.37</v>
      </c>
      <c r="N726" t="inlineStr">
        <is>
          <t>20260512900503</t>
        </is>
      </c>
      <c r="O726">
        <f>HYPERLINK("https://dart.fss.or.kr/dsaf001/main.do?rcpNo=20260512900503", "공시열람")</f>
        <v/>
      </c>
    </row>
    <row r="727">
      <c r="A727" t="inlineStr">
        <is>
          <t>2026-05-12</t>
        </is>
      </c>
      <c r="B727" t="inlineStr">
        <is>
          <t>위메이드플레이</t>
        </is>
      </c>
      <c r="C727" t="inlineStr">
        <is>
          <t>123420</t>
        </is>
      </c>
      <c r="D727" t="inlineStr">
        <is>
          <t>연결</t>
        </is>
      </c>
      <c r="E727" t="inlineStr">
        <is>
          <t>2026Q1</t>
        </is>
      </c>
      <c r="F727" s="2" t="n">
        <v>32380</v>
      </c>
      <c r="G727" t="n">
        <v>0.7</v>
      </c>
      <c r="H727" t="n">
        <v>-0.1</v>
      </c>
      <c r="I727" s="2" t="n">
        <v>3389</v>
      </c>
      <c r="J727" t="n">
        <v>7.7</v>
      </c>
      <c r="K727" t="n">
        <v>92.7</v>
      </c>
      <c r="L727" s="2" t="n">
        <v>6149</v>
      </c>
      <c r="M727" t="n">
        <v>50.3</v>
      </c>
      <c r="N727" t="inlineStr">
        <is>
          <t>20260512900543</t>
        </is>
      </c>
      <c r="O727">
        <f>HYPERLINK("https://dart.fss.or.kr/dsaf001/main.do?rcpNo=20260512900543", "공시열람")</f>
        <v/>
      </c>
    </row>
    <row r="728">
      <c r="A728" t="inlineStr">
        <is>
          <t>2026-05-12</t>
        </is>
      </c>
      <c r="B728" t="inlineStr">
        <is>
          <t>덴티움</t>
        </is>
      </c>
      <c r="C728" t="inlineStr">
        <is>
          <t>145720</t>
        </is>
      </c>
      <c r="D728" t="inlineStr">
        <is>
          <t>연결</t>
        </is>
      </c>
      <c r="E728" t="inlineStr">
        <is>
          <t>2026Q1</t>
        </is>
      </c>
      <c r="F728" s="2" t="n">
        <v>71383</v>
      </c>
      <c r="G728" t="n">
        <v>-34.6</v>
      </c>
      <c r="H728" t="n">
        <v>-7.1</v>
      </c>
      <c r="I728" s="2" t="n">
        <v>15850</v>
      </c>
      <c r="J728" t="n">
        <v>-40.2</v>
      </c>
      <c r="K728" t="n">
        <v>65.40000000000001</v>
      </c>
      <c r="L728" s="2" t="n">
        <v>17055</v>
      </c>
      <c r="M728" t="n">
        <v>34.5</v>
      </c>
      <c r="N728" t="inlineStr">
        <is>
          <t>20260512800558</t>
        </is>
      </c>
      <c r="O728">
        <f>HYPERLINK("https://dart.fss.or.kr/dsaf001/main.do?rcpNo=20260512800558", "공시열람")</f>
        <v/>
      </c>
    </row>
    <row r="729">
      <c r="A729" t="inlineStr">
        <is>
          <t>2026-05-12</t>
        </is>
      </c>
      <c r="B729" t="inlineStr">
        <is>
          <t>교촌에프앤비</t>
        </is>
      </c>
      <c r="C729" t="inlineStr">
        <is>
          <t>339770</t>
        </is>
      </c>
      <c r="D729" t="inlineStr">
        <is>
          <t>연결</t>
        </is>
      </c>
      <c r="E729" t="inlineStr">
        <is>
          <t>2026Q1</t>
        </is>
      </c>
      <c r="F729" s="2" t="n">
        <v>123356</v>
      </c>
      <c r="G729" t="n">
        <v>-6.2</v>
      </c>
      <c r="H729" t="n">
        <v>-1</v>
      </c>
      <c r="I729" s="2" t="n">
        <v>5291</v>
      </c>
      <c r="J729" t="n">
        <v>40.3</v>
      </c>
      <c r="K729" t="n">
        <v>-50.6</v>
      </c>
      <c r="L729" s="2" t="n">
        <v>3379</v>
      </c>
      <c r="M729" t="n">
        <v>-48.7</v>
      </c>
      <c r="N729" t="inlineStr">
        <is>
          <t>20260512800566</t>
        </is>
      </c>
      <c r="O729">
        <f>HYPERLINK("https://dart.fss.or.kr/dsaf001/main.do?rcpNo=20260512800566", "공시열람")</f>
        <v/>
      </c>
    </row>
    <row r="730">
      <c r="A730" t="inlineStr">
        <is>
          <t>2026-05-12</t>
        </is>
      </c>
      <c r="B730" t="inlineStr">
        <is>
          <t>위메이드</t>
        </is>
      </c>
      <c r="C730" t="inlineStr">
        <is>
          <t>112040</t>
        </is>
      </c>
      <c r="D730" t="inlineStr">
        <is>
          <t>연결</t>
        </is>
      </c>
      <c r="E730" t="inlineStr">
        <is>
          <t>2026Q1</t>
        </is>
      </c>
      <c r="F730" s="2" t="n">
        <v>153324</v>
      </c>
      <c r="G730" t="n">
        <v>-20</v>
      </c>
      <c r="H730" t="n">
        <v>8.1</v>
      </c>
      <c r="I730" s="2" t="n">
        <v>8488</v>
      </c>
      <c r="J730" t="n">
        <v>-65</v>
      </c>
      <c r="K730" t="inlineStr"/>
      <c r="L730" s="2" t="n">
        <v>19928</v>
      </c>
      <c r="M730" t="inlineStr"/>
      <c r="N730" t="inlineStr">
        <is>
          <t>20260512900570</t>
        </is>
      </c>
      <c r="O730">
        <f>HYPERLINK("https://dart.fss.or.kr/dsaf001/main.do?rcpNo=20260512900570", "공시열람")</f>
        <v/>
      </c>
    </row>
    <row r="731">
      <c r="A731" t="inlineStr">
        <is>
          <t>2026-05-12</t>
        </is>
      </c>
      <c r="B731" t="inlineStr">
        <is>
          <t>케이티</t>
        </is>
      </c>
      <c r="C731" t="inlineStr">
        <is>
          <t>030200</t>
        </is>
      </c>
      <c r="D731" t="inlineStr">
        <is>
          <t>연결</t>
        </is>
      </c>
      <c r="E731" t="inlineStr">
        <is>
          <t>2026Q1</t>
        </is>
      </c>
      <c r="F731" s="2" t="n">
        <v>6778400</v>
      </c>
      <c r="G731" t="n">
        <v>-1</v>
      </c>
      <c r="H731" t="n">
        <v>-1</v>
      </c>
      <c r="I731" s="2" t="n">
        <v>482700</v>
      </c>
      <c r="J731" t="n">
        <v>112.3</v>
      </c>
      <c r="K731" t="n">
        <v>-29.9</v>
      </c>
      <c r="L731" s="2" t="n">
        <v>388300</v>
      </c>
      <c r="M731" t="n">
        <v>-31.5</v>
      </c>
      <c r="N731" t="inlineStr">
        <is>
          <t>20260512800372</t>
        </is>
      </c>
      <c r="O731">
        <f>HYPERLINK("https://dart.fss.or.kr/dsaf001/main.do?rcpNo=20260512800372", "공시열람")</f>
        <v/>
      </c>
    </row>
    <row r="732">
      <c r="A732" t="inlineStr">
        <is>
          <t>2026-05-12</t>
        </is>
      </c>
      <c r="B732" t="inlineStr">
        <is>
          <t>SK오션플랜트</t>
        </is>
      </c>
      <c r="C732" t="inlineStr">
        <is>
          <t>100090</t>
        </is>
      </c>
      <c r="D732" t="inlineStr">
        <is>
          <t>연결</t>
        </is>
      </c>
      <c r="E732" t="inlineStr">
        <is>
          <t>2026Q1</t>
        </is>
      </c>
      <c r="F732" s="2" t="n">
        <v>174656</v>
      </c>
      <c r="G732" t="n">
        <v>0.1</v>
      </c>
      <c r="H732" t="n">
        <v>-32.1</v>
      </c>
      <c r="I732" s="2" t="n">
        <v>16858</v>
      </c>
      <c r="J732" t="n">
        <v>23.4</v>
      </c>
      <c r="K732" t="n">
        <v>52.7</v>
      </c>
      <c r="L732" s="2" t="n">
        <v>9856</v>
      </c>
      <c r="M732" t="n">
        <v>129.9</v>
      </c>
      <c r="N732" t="inlineStr">
        <is>
          <t>20260512800366</t>
        </is>
      </c>
      <c r="O732">
        <f>HYPERLINK("https://dart.fss.or.kr/dsaf001/main.do?rcpNo=20260512800366", "공시열람")</f>
        <v/>
      </c>
    </row>
    <row r="733">
      <c r="A733" t="inlineStr">
        <is>
          <t>2026-05-12</t>
        </is>
      </c>
      <c r="B733" t="inlineStr">
        <is>
          <t>NHN KCP</t>
        </is>
      </c>
      <c r="C733" t="inlineStr">
        <is>
          <t>060250</t>
        </is>
      </c>
      <c r="D733" t="inlineStr">
        <is>
          <t>연결</t>
        </is>
      </c>
      <c r="E733" t="inlineStr">
        <is>
          <t>2026Q1</t>
        </is>
      </c>
      <c r="F733" s="2" t="n">
        <v>344860</v>
      </c>
      <c r="G733" t="n">
        <v>2.7</v>
      </c>
      <c r="H733" t="n">
        <v>22.7</v>
      </c>
      <c r="I733" s="2" t="n">
        <v>13784</v>
      </c>
      <c r="J733" t="n">
        <v>-11.9</v>
      </c>
      <c r="K733" t="n">
        <v>26.4</v>
      </c>
      <c r="L733" s="2" t="n">
        <v>16190</v>
      </c>
      <c r="M733" t="n">
        <v>62.8</v>
      </c>
      <c r="N733" t="inlineStr">
        <is>
          <t>20260512900002</t>
        </is>
      </c>
      <c r="O733">
        <f>HYPERLINK("https://dart.fss.or.kr/dsaf001/main.do?rcpNo=20260512900002", "공시열람")</f>
        <v/>
      </c>
    </row>
    <row r="734">
      <c r="A734" t="inlineStr">
        <is>
          <t>2026-05-12</t>
        </is>
      </c>
      <c r="B734" t="inlineStr">
        <is>
          <t>덕산네오룩스</t>
        </is>
      </c>
      <c r="C734" t="inlineStr">
        <is>
          <t>213420</t>
        </is>
      </c>
      <c r="D734" t="inlineStr">
        <is>
          <t>연결</t>
        </is>
      </c>
      <c r="E734" t="inlineStr">
        <is>
          <t>2026Q1</t>
        </is>
      </c>
      <c r="F734" s="2" t="n">
        <v>72874</v>
      </c>
      <c r="G734" t="n">
        <v>-42.7</v>
      </c>
      <c r="H734" t="n">
        <v>92.09999999999999</v>
      </c>
      <c r="I734" s="2" t="n">
        <v>17090</v>
      </c>
      <c r="J734" t="n">
        <v>-25.9</v>
      </c>
      <c r="K734" t="n">
        <v>72.7</v>
      </c>
      <c r="L734" s="2" t="n">
        <v>16807</v>
      </c>
      <c r="M734" t="n">
        <v>105.1</v>
      </c>
      <c r="N734" t="inlineStr">
        <is>
          <t>20260512900349</t>
        </is>
      </c>
      <c r="O734">
        <f>HYPERLINK("https://dart.fss.or.kr/dsaf001/main.do?rcpNo=20260512900349", "공시열람")</f>
        <v/>
      </c>
    </row>
    <row r="735">
      <c r="A735" t="inlineStr">
        <is>
          <t>2026-05-12</t>
        </is>
      </c>
      <c r="B735" t="inlineStr">
        <is>
          <t>NHN</t>
        </is>
      </c>
      <c r="C735" t="inlineStr">
        <is>
          <t>181710</t>
        </is>
      </c>
      <c r="D735" t="inlineStr">
        <is>
          <t>별도</t>
        </is>
      </c>
      <c r="E735" t="inlineStr">
        <is>
          <t>2026Q1</t>
        </is>
      </c>
      <c r="F735" s="2" t="n">
        <v>102691</v>
      </c>
      <c r="G735" t="n">
        <v>8.800000000000001</v>
      </c>
      <c r="H735" t="n">
        <v>8.9</v>
      </c>
      <c r="I735" s="2" t="n">
        <v>21766</v>
      </c>
      <c r="J735" t="n">
        <v>14.2</v>
      </c>
      <c r="K735" t="n">
        <v>-5.9</v>
      </c>
      <c r="L735" s="2" t="n">
        <v>15346</v>
      </c>
      <c r="M735" t="n">
        <v>408.6</v>
      </c>
      <c r="N735" t="inlineStr">
        <is>
          <t>20260512800006</t>
        </is>
      </c>
      <c r="O735">
        <f>HYPERLINK("https://dart.fss.or.kr/dsaf001/main.do?rcpNo=20260512800006", "공시열람")</f>
        <v/>
      </c>
    </row>
    <row r="736">
      <c r="A736" t="inlineStr">
        <is>
          <t>2026-05-12</t>
        </is>
      </c>
      <c r="B736" t="inlineStr">
        <is>
          <t>NHN</t>
        </is>
      </c>
      <c r="C736" t="inlineStr">
        <is>
          <t>181710</t>
        </is>
      </c>
      <c r="D736" t="inlineStr">
        <is>
          <t>연결</t>
        </is>
      </c>
      <c r="E736" t="inlineStr">
        <is>
          <t>2026Q1</t>
        </is>
      </c>
      <c r="F736" s="2" t="n">
        <v>671397</v>
      </c>
      <c r="G736" t="n">
        <v>-2.1</v>
      </c>
      <c r="H736" t="n">
        <v>11.9</v>
      </c>
      <c r="I736" s="2" t="n">
        <v>26251</v>
      </c>
      <c r="J736" t="n">
        <v>-52.5</v>
      </c>
      <c r="K736" t="n">
        <v>-5</v>
      </c>
      <c r="L736" s="2" t="n">
        <v>31119</v>
      </c>
      <c r="M736" t="inlineStr"/>
      <c r="N736" t="inlineStr">
        <is>
          <t>20260512800010</t>
        </is>
      </c>
      <c r="O736">
        <f>HYPERLINK("https://dart.fss.or.kr/dsaf001/main.do?rcpNo=20260512800010", "공시열람")</f>
        <v/>
      </c>
    </row>
    <row r="737">
      <c r="A737" t="inlineStr">
        <is>
          <t>2026-05-12</t>
        </is>
      </c>
      <c r="B737" t="inlineStr">
        <is>
          <t>CJ제일제당</t>
        </is>
      </c>
      <c r="C737" t="inlineStr">
        <is>
          <t>097950</t>
        </is>
      </c>
      <c r="D737" t="inlineStr">
        <is>
          <t>연결</t>
        </is>
      </c>
      <c r="E737" t="inlineStr">
        <is>
          <t>2026Q1</t>
        </is>
      </c>
      <c r="F737" s="2" t="n">
        <v>7111120</v>
      </c>
      <c r="G737" t="n">
        <v>1.5</v>
      </c>
      <c r="H737" t="n">
        <v>-1.4</v>
      </c>
      <c r="I737" s="2" t="n">
        <v>238132</v>
      </c>
      <c r="J737" t="n">
        <v>-19.5</v>
      </c>
      <c r="K737" t="n">
        <v>-28.5</v>
      </c>
      <c r="L737" s="2" t="n">
        <v>119847</v>
      </c>
      <c r="M737" t="n">
        <v>108.8</v>
      </c>
      <c r="N737" t="inlineStr">
        <is>
          <t>20260512800082</t>
        </is>
      </c>
      <c r="O737">
        <f>HYPERLINK("https://dart.fss.or.kr/dsaf001/main.do?rcpNo=20260512800082", "공시열람")</f>
        <v/>
      </c>
    </row>
    <row r="738">
      <c r="A738" t="inlineStr">
        <is>
          <t>2026-05-12</t>
        </is>
      </c>
      <c r="B738" t="inlineStr">
        <is>
          <t>한화손해보험</t>
        </is>
      </c>
      <c r="C738" t="inlineStr">
        <is>
          <t>000370</t>
        </is>
      </c>
      <c r="D738" t="inlineStr">
        <is>
          <t>별도</t>
        </is>
      </c>
      <c r="E738" t="inlineStr">
        <is>
          <t>2026Q1</t>
        </is>
      </c>
      <c r="F738" s="2" t="n">
        <v>1971620</v>
      </c>
      <c r="G738" t="n">
        <v>-4.2</v>
      </c>
      <c r="H738" t="n">
        <v>22.5</v>
      </c>
      <c r="I738" s="2" t="n">
        <v>130556</v>
      </c>
      <c r="J738" t="n">
        <v>42.8</v>
      </c>
      <c r="K738" t="n">
        <v>-30.4</v>
      </c>
      <c r="L738" s="2" t="n">
        <v>98909</v>
      </c>
      <c r="M738" t="n">
        <v>-30.7</v>
      </c>
      <c r="N738" t="inlineStr">
        <is>
          <t>20260512800089</t>
        </is>
      </c>
      <c r="O738">
        <f>HYPERLINK("https://dart.fss.or.kr/dsaf001/main.do?rcpNo=20260512800089", "공시열람")</f>
        <v/>
      </c>
    </row>
    <row r="739">
      <c r="A739" t="inlineStr">
        <is>
          <t>2026-05-12</t>
        </is>
      </c>
      <c r="B739" t="inlineStr">
        <is>
          <t>콜마비앤에이치</t>
        </is>
      </c>
      <c r="C739" t="inlineStr">
        <is>
          <t>200130</t>
        </is>
      </c>
      <c r="D739" t="inlineStr">
        <is>
          <t>연결</t>
        </is>
      </c>
      <c r="E739" t="inlineStr">
        <is>
          <t>2026Q1</t>
        </is>
      </c>
      <c r="F739" s="2" t="n">
        <v>136890</v>
      </c>
      <c r="G739" t="n">
        <v>12</v>
      </c>
      <c r="H739" t="n">
        <v>0.12</v>
      </c>
      <c r="I739" s="2" t="n">
        <v>10332</v>
      </c>
      <c r="J739" t="n">
        <v>289.95</v>
      </c>
      <c r="K739" t="n">
        <v>188.55</v>
      </c>
      <c r="L739" s="2" t="n">
        <v>22355</v>
      </c>
      <c r="M739" t="n">
        <v>1450.97</v>
      </c>
      <c r="N739" t="inlineStr">
        <is>
          <t>20260512900116</t>
        </is>
      </c>
      <c r="O739">
        <f>HYPERLINK("https://dart.fss.or.kr/dsaf001/main.do?rcpNo=20260512900116", "공시열람")</f>
        <v/>
      </c>
    </row>
    <row r="740">
      <c r="A740" t="inlineStr">
        <is>
          <t>2026-05-12</t>
        </is>
      </c>
      <c r="B740" t="inlineStr">
        <is>
          <t>동원수산</t>
        </is>
      </c>
      <c r="C740" t="inlineStr">
        <is>
          <t>030720</t>
        </is>
      </c>
      <c r="D740" t="inlineStr">
        <is>
          <t>연결</t>
        </is>
      </c>
      <c r="E740" t="inlineStr">
        <is>
          <t>2026Q1</t>
        </is>
      </c>
      <c r="F740" s="2" t="n">
        <v>39804</v>
      </c>
      <c r="G740" t="n">
        <v>2.1</v>
      </c>
      <c r="H740" t="n">
        <v>-11.7</v>
      </c>
      <c r="I740" s="2" t="n">
        <v>3636</v>
      </c>
      <c r="J740" t="n">
        <v>204.5</v>
      </c>
      <c r="K740" t="n">
        <v>64.5</v>
      </c>
      <c r="L740" s="2" t="n">
        <v>3236</v>
      </c>
      <c r="M740" t="n">
        <v>78.59999999999999</v>
      </c>
      <c r="N740" t="inlineStr">
        <is>
          <t>20260512800130</t>
        </is>
      </c>
      <c r="O740">
        <f>HYPERLINK("https://dart.fss.or.kr/dsaf001/main.do?rcpNo=20260512800130", "공시열람")</f>
        <v/>
      </c>
    </row>
    <row r="741">
      <c r="A741" t="inlineStr">
        <is>
          <t>2026-05-12</t>
        </is>
      </c>
      <c r="B741" t="inlineStr">
        <is>
          <t>미래에셋증권</t>
        </is>
      </c>
      <c r="C741" t="inlineStr">
        <is>
          <t>006800</t>
        </is>
      </c>
      <c r="D741" t="inlineStr">
        <is>
          <t>연결</t>
        </is>
      </c>
      <c r="E741" t="inlineStr">
        <is>
          <t>2026Q1</t>
        </is>
      </c>
      <c r="F741" s="2" t="n">
        <v>14428703</v>
      </c>
      <c r="G741" t="n">
        <v>63</v>
      </c>
      <c r="H741" t="n">
        <v>138.4</v>
      </c>
      <c r="I741" s="2" t="n">
        <v>1375040</v>
      </c>
      <c r="J741" t="n">
        <v>63</v>
      </c>
      <c r="K741" t="n">
        <v>297.2</v>
      </c>
      <c r="L741" s="2" t="n">
        <v>1001943</v>
      </c>
      <c r="M741" t="n">
        <v>288</v>
      </c>
      <c r="N741" t="inlineStr">
        <is>
          <t>20260512800126</t>
        </is>
      </c>
      <c r="O741">
        <f>HYPERLINK("https://dart.fss.or.kr/dsaf001/main.do?rcpNo=20260512800126", "공시열람")</f>
        <v/>
      </c>
    </row>
    <row r="742">
      <c r="A742" t="inlineStr">
        <is>
          <t>2026-05-12</t>
        </is>
      </c>
      <c r="B742" t="inlineStr">
        <is>
          <t>달바글로벌</t>
        </is>
      </c>
      <c r="C742" t="inlineStr">
        <is>
          <t>483650</t>
        </is>
      </c>
      <c r="D742" t="inlineStr">
        <is>
          <t>연결</t>
        </is>
      </c>
      <c r="E742" t="inlineStr">
        <is>
          <t>2026Q1</t>
        </is>
      </c>
      <c r="F742" s="2" t="n">
        <v>171242</v>
      </c>
      <c r="G742" t="n">
        <v>4.8</v>
      </c>
      <c r="H742" t="n">
        <v>50.5</v>
      </c>
      <c r="I742" s="2" t="n">
        <v>45090</v>
      </c>
      <c r="J742" t="n">
        <v>76.59999999999999</v>
      </c>
      <c r="K742" t="n">
        <v>50</v>
      </c>
      <c r="L742" s="2" t="n">
        <v>36337</v>
      </c>
      <c r="M742" t="n">
        <v>46.8</v>
      </c>
      <c r="N742" t="inlineStr">
        <is>
          <t>20260512800165</t>
        </is>
      </c>
      <c r="O742">
        <f>HYPERLINK("https://dart.fss.or.kr/dsaf001/main.do?rcpNo=20260512800165", "공시열람")</f>
        <v/>
      </c>
    </row>
    <row r="743">
      <c r="A743" t="inlineStr">
        <is>
          <t>2026-05-12</t>
        </is>
      </c>
      <c r="B743" t="inlineStr">
        <is>
          <t>인크로스</t>
        </is>
      </c>
      <c r="C743" t="inlineStr">
        <is>
          <t>216050</t>
        </is>
      </c>
      <c r="D743" t="inlineStr">
        <is>
          <t>별도</t>
        </is>
      </c>
      <c r="E743" t="inlineStr">
        <is>
          <t>2026Q1</t>
        </is>
      </c>
      <c r="F743" s="2" t="n">
        <v>8560</v>
      </c>
      <c r="G743" t="n">
        <v>-40.4</v>
      </c>
      <c r="H743" t="n">
        <v>-3.2</v>
      </c>
      <c r="I743" s="2" t="n">
        <v>1325</v>
      </c>
      <c r="J743" t="n">
        <v>-62.2</v>
      </c>
      <c r="K743" t="n">
        <v>-33.9</v>
      </c>
      <c r="L743" s="2" t="n">
        <v>1819</v>
      </c>
      <c r="M743" t="n">
        <v>-22.8</v>
      </c>
      <c r="N743" t="inlineStr">
        <is>
          <t>20260512900178</t>
        </is>
      </c>
      <c r="O743">
        <f>HYPERLINK("https://dart.fss.or.kr/dsaf001/main.do?rcpNo=20260512900178", "공시열람")</f>
        <v/>
      </c>
    </row>
    <row r="744">
      <c r="A744" t="inlineStr">
        <is>
          <t>2026-05-12</t>
        </is>
      </c>
      <c r="B744" t="inlineStr">
        <is>
          <t>인크로스</t>
        </is>
      </c>
      <c r="C744" t="inlineStr">
        <is>
          <t>216050</t>
        </is>
      </c>
      <c r="D744" t="inlineStr">
        <is>
          <t>연결</t>
        </is>
      </c>
      <c r="E744" t="inlineStr">
        <is>
          <t>2026Q1</t>
        </is>
      </c>
      <c r="F744" s="2" t="n">
        <v>10455</v>
      </c>
      <c r="G744" t="n">
        <v>-38.3</v>
      </c>
      <c r="H744" t="n">
        <v>2.8</v>
      </c>
      <c r="I744" s="2" t="n">
        <v>1538</v>
      </c>
      <c r="J744" t="n">
        <v>-57.5</v>
      </c>
      <c r="K744" t="n">
        <v>-23.4</v>
      </c>
      <c r="L744" s="2" t="n">
        <v>2035</v>
      </c>
      <c r="M744" t="n">
        <v>-14</v>
      </c>
      <c r="N744" t="inlineStr">
        <is>
          <t>20260512900181</t>
        </is>
      </c>
      <c r="O744">
        <f>HYPERLINK("https://dart.fss.or.kr/dsaf001/main.do?rcpNo=20260512900181", "공시열람")</f>
        <v/>
      </c>
    </row>
    <row r="745">
      <c r="A745" t="inlineStr">
        <is>
          <t>2026-05-12</t>
        </is>
      </c>
      <c r="B745" t="inlineStr">
        <is>
          <t>메디톡스</t>
        </is>
      </c>
      <c r="C745" t="inlineStr">
        <is>
          <t>086900</t>
        </is>
      </c>
      <c r="D745" t="inlineStr">
        <is>
          <t>연결</t>
        </is>
      </c>
      <c r="E745" t="inlineStr">
        <is>
          <t>2026Q1</t>
        </is>
      </c>
      <c r="F745" s="2" t="n">
        <v>60688</v>
      </c>
      <c r="G745" t="n">
        <v>0</v>
      </c>
      <c r="H745" t="n">
        <v>-5.1</v>
      </c>
      <c r="I745" s="2" t="n">
        <v>7372</v>
      </c>
      <c r="J745" t="inlineStr"/>
      <c r="K745" t="n">
        <v>34.6</v>
      </c>
      <c r="L745" s="2" t="n">
        <v>7879</v>
      </c>
      <c r="M745" t="n">
        <v>135.7</v>
      </c>
      <c r="N745" t="inlineStr">
        <is>
          <t>20260512900224</t>
        </is>
      </c>
      <c r="O745">
        <f>HYPERLINK("https://dart.fss.or.kr/dsaf001/main.do?rcpNo=20260512900224", "공시열람")</f>
        <v/>
      </c>
    </row>
    <row r="746">
      <c r="A746" t="inlineStr">
        <is>
          <t>2026-05-12</t>
        </is>
      </c>
      <c r="B746" t="inlineStr">
        <is>
          <t>엠앤씨솔루션</t>
        </is>
      </c>
      <c r="C746" t="inlineStr">
        <is>
          <t>484870</t>
        </is>
      </c>
      <c r="D746" t="inlineStr">
        <is>
          <t>별도</t>
        </is>
      </c>
      <c r="E746" t="inlineStr">
        <is>
          <t>2026Q1</t>
        </is>
      </c>
      <c r="F746" s="2" t="n">
        <v>66076</v>
      </c>
      <c r="G746" t="n">
        <v>-53.87</v>
      </c>
      <c r="H746" t="n">
        <v>-12.02</v>
      </c>
      <c r="I746" s="2" t="n">
        <v>7967</v>
      </c>
      <c r="J746" t="n">
        <v>-63.15</v>
      </c>
      <c r="K746" t="n">
        <v>-16.21</v>
      </c>
      <c r="L746" s="2" t="n">
        <v>6119</v>
      </c>
      <c r="M746" t="n">
        <v>-22.51</v>
      </c>
      <c r="N746" t="inlineStr">
        <is>
          <t>20260512800266</t>
        </is>
      </c>
      <c r="O746">
        <f>HYPERLINK("https://dart.fss.or.kr/dsaf001/main.do?rcpNo=20260512800266", "공시열람")</f>
        <v/>
      </c>
    </row>
    <row r="747">
      <c r="A747" t="inlineStr">
        <is>
          <t>2026-05-12</t>
        </is>
      </c>
      <c r="B747" t="inlineStr">
        <is>
          <t>서울반도체</t>
        </is>
      </c>
      <c r="C747" t="inlineStr">
        <is>
          <t>046890</t>
        </is>
      </c>
      <c r="D747" t="inlineStr">
        <is>
          <t>연결</t>
        </is>
      </c>
      <c r="E747" t="inlineStr">
        <is>
          <t>2026Q1</t>
        </is>
      </c>
      <c r="F747" s="2" t="n">
        <v>238169</v>
      </c>
      <c r="G747" t="n">
        <v>-10.4</v>
      </c>
      <c r="H747" t="n">
        <v>-0.4</v>
      </c>
      <c r="I747" s="2" t="n">
        <v>1780</v>
      </c>
      <c r="J747" t="n">
        <v>121.7</v>
      </c>
      <c r="K747" t="inlineStr"/>
      <c r="L747" s="2" t="n">
        <v>8754</v>
      </c>
      <c r="M747" t="inlineStr"/>
      <c r="N747" t="inlineStr">
        <is>
          <t>20260512900204</t>
        </is>
      </c>
      <c r="O747">
        <f>HYPERLINK("https://dart.fss.or.kr/dsaf001/main.do?rcpNo=20260512900204", "공시열람")</f>
        <v/>
      </c>
    </row>
    <row r="748">
      <c r="A748" t="inlineStr">
        <is>
          <t>2026-05-12</t>
        </is>
      </c>
      <c r="B748" t="inlineStr">
        <is>
          <t>CJ씨푸드</t>
        </is>
      </c>
      <c r="C748" t="inlineStr">
        <is>
          <t>011150</t>
        </is>
      </c>
      <c r="D748" t="inlineStr">
        <is>
          <t>연결</t>
        </is>
      </c>
      <c r="E748" t="inlineStr">
        <is>
          <t>2026Q1</t>
        </is>
      </c>
      <c r="F748" s="2" t="n">
        <v>54950</v>
      </c>
      <c r="G748" t="n">
        <v>15.2</v>
      </c>
      <c r="H748" t="n">
        <v>4.6</v>
      </c>
      <c r="I748" s="2" t="n">
        <v>-1471</v>
      </c>
      <c r="J748" t="inlineStr"/>
      <c r="K748" t="n">
        <v>47.1</v>
      </c>
      <c r="L748" s="2" t="n">
        <v>-1286</v>
      </c>
      <c r="M748" t="inlineStr"/>
      <c r="N748" t="inlineStr">
        <is>
          <t>20260512800278</t>
        </is>
      </c>
      <c r="O748">
        <f>HYPERLINK("https://dart.fss.or.kr/dsaf001/main.do?rcpNo=20260512800278", "공시열람")</f>
        <v/>
      </c>
    </row>
    <row r="749">
      <c r="A749" t="inlineStr">
        <is>
          <t>2026-05-12</t>
        </is>
      </c>
      <c r="B749" t="inlineStr">
        <is>
          <t>콜마홀딩스</t>
        </is>
      </c>
      <c r="C749" t="inlineStr">
        <is>
          <t>024720</t>
        </is>
      </c>
      <c r="D749" t="inlineStr">
        <is>
          <t>별도</t>
        </is>
      </c>
      <c r="E749" t="inlineStr">
        <is>
          <t>2026Q1</t>
        </is>
      </c>
      <c r="F749" s="2" t="n">
        <v>14158</v>
      </c>
      <c r="G749" t="n">
        <v>49.54</v>
      </c>
      <c r="H749" t="n">
        <v>-15.24</v>
      </c>
      <c r="I749" s="2" t="n">
        <v>4402</v>
      </c>
      <c r="J749" t="inlineStr"/>
      <c r="K749" t="n">
        <v>-23.16</v>
      </c>
      <c r="L749" s="2" t="n">
        <v>11849</v>
      </c>
      <c r="M749" t="n">
        <v>132.93</v>
      </c>
      <c r="N749" t="inlineStr">
        <is>
          <t>20260512800305</t>
        </is>
      </c>
      <c r="O749">
        <f>HYPERLINK("https://dart.fss.or.kr/dsaf001/main.do?rcpNo=20260512800305", "공시열람")</f>
        <v/>
      </c>
    </row>
    <row r="750">
      <c r="A750" t="inlineStr">
        <is>
          <t>2026-05-12</t>
        </is>
      </c>
      <c r="B750" t="inlineStr">
        <is>
          <t>콜마홀딩스</t>
        </is>
      </c>
      <c r="C750" t="inlineStr">
        <is>
          <t>024720</t>
        </is>
      </c>
      <c r="D750" t="inlineStr">
        <is>
          <t>연결</t>
        </is>
      </c>
      <c r="E750" t="inlineStr">
        <is>
          <t>2026Q1</t>
        </is>
      </c>
      <c r="F750" s="2" t="n">
        <v>151926</v>
      </c>
      <c r="G750" t="n">
        <v>11.3</v>
      </c>
      <c r="H750" t="n">
        <v>-0.32</v>
      </c>
      <c r="I750" s="2" t="n">
        <v>20402</v>
      </c>
      <c r="J750" t="n">
        <v>71.53</v>
      </c>
      <c r="K750" t="n">
        <v>549.95</v>
      </c>
      <c r="L750" s="2" t="n">
        <v>39787</v>
      </c>
      <c r="M750" t="n">
        <v>3556.89</v>
      </c>
      <c r="N750" t="inlineStr">
        <is>
          <t>20260512800318</t>
        </is>
      </c>
      <c r="O750">
        <f>HYPERLINK("https://dart.fss.or.kr/dsaf001/main.do?rcpNo=20260512800318", "공시열람")</f>
        <v/>
      </c>
    </row>
    <row r="751">
      <c r="A751" t="inlineStr">
        <is>
          <t>2026-05-12</t>
        </is>
      </c>
      <c r="B751" t="inlineStr">
        <is>
          <t>KT지니뮤직</t>
        </is>
      </c>
      <c r="C751" t="inlineStr">
        <is>
          <t>043610</t>
        </is>
      </c>
      <c r="D751" t="inlineStr">
        <is>
          <t>연결</t>
        </is>
      </c>
      <c r="E751" t="inlineStr">
        <is>
          <t>2026Q1</t>
        </is>
      </c>
      <c r="F751" s="2" t="n">
        <v>75181</v>
      </c>
      <c r="G751" t="n">
        <v>-2.39</v>
      </c>
      <c r="H751" t="n">
        <v>8.460000000000001</v>
      </c>
      <c r="I751" s="2" t="n">
        <v>4960</v>
      </c>
      <c r="J751" t="n">
        <v>251.52</v>
      </c>
      <c r="K751" t="n">
        <v>22.92</v>
      </c>
      <c r="L751" s="2" t="n">
        <v>3646</v>
      </c>
      <c r="M751" t="n">
        <v>57.97</v>
      </c>
      <c r="N751" t="inlineStr">
        <is>
          <t>20260512900322</t>
        </is>
      </c>
      <c r="O751">
        <f>HYPERLINK("https://dart.fss.or.kr/dsaf001/main.do?rcpNo=20260512900322", "공시열람")</f>
        <v/>
      </c>
    </row>
    <row r="752">
      <c r="A752" t="inlineStr">
        <is>
          <t>2026-05-12</t>
        </is>
      </c>
      <c r="B752" t="inlineStr">
        <is>
          <t>NHN KCP</t>
        </is>
      </c>
      <c r="C752" t="inlineStr">
        <is>
          <t>060250</t>
        </is>
      </c>
      <c r="D752" t="inlineStr">
        <is>
          <t>별도</t>
        </is>
      </c>
      <c r="E752" t="inlineStr">
        <is>
          <t>2026Q1</t>
        </is>
      </c>
      <c r="F752" s="2" t="n">
        <v>328927</v>
      </c>
      <c r="G752" t="n">
        <v>3.3</v>
      </c>
      <c r="H752" t="n">
        <v>24</v>
      </c>
      <c r="I752" s="2" t="n">
        <v>13687</v>
      </c>
      <c r="J752" t="n">
        <v>-11.5</v>
      </c>
      <c r="K752" t="n">
        <v>24.8</v>
      </c>
      <c r="L752" s="2" t="n">
        <v>16317</v>
      </c>
      <c r="M752" t="n">
        <v>63.3</v>
      </c>
      <c r="N752" t="inlineStr">
        <is>
          <t>20260512900003</t>
        </is>
      </c>
      <c r="O752">
        <f>HYPERLINK("https://dart.fss.or.kr/dsaf001/main.do?rcpNo=20260512900003", "공시열람")</f>
        <v/>
      </c>
    </row>
    <row r="753">
      <c r="A753" t="inlineStr">
        <is>
          <t>2026-05-12</t>
        </is>
      </c>
      <c r="B753" t="inlineStr">
        <is>
          <t>광주신세계</t>
        </is>
      </c>
      <c r="C753" t="inlineStr">
        <is>
          <t>037710</t>
        </is>
      </c>
      <c r="D753" t="inlineStr">
        <is>
          <t>별도</t>
        </is>
      </c>
      <c r="E753" t="inlineStr">
        <is>
          <t>2026Q1</t>
        </is>
      </c>
      <c r="F753" s="2" t="n">
        <v>15849</v>
      </c>
      <c r="G753" t="n">
        <v>-5</v>
      </c>
      <c r="H753" t="n">
        <v>9.9</v>
      </c>
      <c r="I753" s="2" t="inlineStr"/>
      <c r="J753" t="inlineStr"/>
      <c r="K753" t="inlineStr"/>
      <c r="L753" s="2" t="inlineStr"/>
      <c r="M753" t="inlineStr"/>
      <c r="N753" t="inlineStr">
        <is>
          <t>20260512800472</t>
        </is>
      </c>
      <c r="O753">
        <f>HYPERLINK("https://dart.fss.or.kr/dsaf001/main.do?rcpNo=20260512800472", "공시열람")</f>
        <v/>
      </c>
    </row>
    <row r="754">
      <c r="A754" t="inlineStr">
        <is>
          <t>2026-05-12</t>
        </is>
      </c>
      <c r="B754" t="inlineStr">
        <is>
          <t>진에어</t>
        </is>
      </c>
      <c r="C754" t="inlineStr">
        <is>
          <t>272450</t>
        </is>
      </c>
      <c r="D754" t="inlineStr">
        <is>
          <t>별도</t>
        </is>
      </c>
      <c r="E754" t="inlineStr">
        <is>
          <t>2026Q1</t>
        </is>
      </c>
      <c r="F754" s="2" t="n">
        <v>422976</v>
      </c>
      <c r="G754" t="n">
        <v>19.9</v>
      </c>
      <c r="H754" t="n">
        <v>1.2</v>
      </c>
      <c r="I754" s="2" t="n">
        <v>57613</v>
      </c>
      <c r="J754" t="inlineStr"/>
      <c r="K754" t="n">
        <v>-1.1</v>
      </c>
      <c r="L754" s="2" t="n">
        <v>21672</v>
      </c>
      <c r="M754" t="n">
        <v>-52.6</v>
      </c>
      <c r="N754" t="inlineStr">
        <is>
          <t>20260512800784</t>
        </is>
      </c>
      <c r="O754">
        <f>HYPERLINK("https://dart.fss.or.kr/dsaf001/main.do?rcpNo=20260512800784", "공시열람")</f>
        <v/>
      </c>
    </row>
    <row r="755">
      <c r="A755" t="inlineStr">
        <is>
          <t>2026-05-12</t>
        </is>
      </c>
      <c r="B755" t="inlineStr">
        <is>
          <t>코스맥스</t>
        </is>
      </c>
      <c r="C755" t="inlineStr">
        <is>
          <t>192820</t>
        </is>
      </c>
      <c r="D755" t="inlineStr">
        <is>
          <t>연결</t>
        </is>
      </c>
      <c r="E755" t="inlineStr">
        <is>
          <t>2026Q1</t>
        </is>
      </c>
      <c r="F755" s="2" t="n">
        <v>682023</v>
      </c>
      <c r="G755" t="n">
        <v>13.48</v>
      </c>
      <c r="H755" t="n">
        <v>15.88</v>
      </c>
      <c r="I755" s="2" t="n">
        <v>53031</v>
      </c>
      <c r="J755" t="n">
        <v>29.64</v>
      </c>
      <c r="K755" t="n">
        <v>3.28</v>
      </c>
      <c r="L755" s="2" t="n">
        <v>43806</v>
      </c>
      <c r="M755" t="n">
        <v>312.14</v>
      </c>
      <c r="N755" t="inlineStr">
        <is>
          <t>20260512800590</t>
        </is>
      </c>
      <c r="O755">
        <f>HYPERLINK("https://dart.fss.or.kr/dsaf001/main.do?rcpNo=20260512800590", "공시열람")</f>
        <v/>
      </c>
    </row>
    <row r="756">
      <c r="A756" t="inlineStr">
        <is>
          <t>2026-05-12</t>
        </is>
      </c>
      <c r="B756" t="inlineStr">
        <is>
          <t>JW홀딩스</t>
        </is>
      </c>
      <c r="C756" t="inlineStr">
        <is>
          <t>096760</t>
        </is>
      </c>
      <c r="D756" t="inlineStr">
        <is>
          <t>별도</t>
        </is>
      </c>
      <c r="E756" t="inlineStr">
        <is>
          <t>2026Q1</t>
        </is>
      </c>
      <c r="F756" s="2" t="n">
        <v>20485</v>
      </c>
      <c r="G756" t="n">
        <v>-22.91</v>
      </c>
      <c r="H756" t="n">
        <v>-25.53</v>
      </c>
      <c r="I756" s="2" t="n">
        <v>7227</v>
      </c>
      <c r="J756" t="n">
        <v>59.44</v>
      </c>
      <c r="K756" t="n">
        <v>-44.45</v>
      </c>
      <c r="L756" s="2" t="n">
        <v>5810</v>
      </c>
      <c r="M756" t="n">
        <v>-52.23</v>
      </c>
      <c r="N756" t="inlineStr">
        <is>
          <t>20260512800876</t>
        </is>
      </c>
      <c r="O756">
        <f>HYPERLINK("https://dart.fss.or.kr/dsaf001/main.do?rcpNo=20260512800876", "공시열람")</f>
        <v/>
      </c>
    </row>
    <row r="757">
      <c r="A757" t="inlineStr">
        <is>
          <t>2026-05-12</t>
        </is>
      </c>
      <c r="B757" t="inlineStr">
        <is>
          <t>휴온스</t>
        </is>
      </c>
      <c r="C757" t="inlineStr">
        <is>
          <t>243070</t>
        </is>
      </c>
      <c r="D757" t="inlineStr">
        <is>
          <t>연결</t>
        </is>
      </c>
      <c r="E757" t="inlineStr">
        <is>
          <t>2026Q1</t>
        </is>
      </c>
      <c r="F757" s="2" t="n">
        <v>141871</v>
      </c>
      <c r="G757" t="n">
        <v>-14.1</v>
      </c>
      <c r="H757" t="n">
        <v>-2.7</v>
      </c>
      <c r="I757" s="2" t="n">
        <v>-649</v>
      </c>
      <c r="J757" t="inlineStr"/>
      <c r="K757" t="inlineStr"/>
      <c r="L757" s="2" t="n">
        <v>191</v>
      </c>
      <c r="M757" t="n">
        <v>-98.5</v>
      </c>
      <c r="N757" t="inlineStr">
        <is>
          <t>20260512900781</t>
        </is>
      </c>
      <c r="O757">
        <f>HYPERLINK("https://dart.fss.or.kr/dsaf001/main.do?rcpNo=20260512900781", "공시열람")</f>
        <v/>
      </c>
    </row>
    <row r="758">
      <c r="A758" t="inlineStr">
        <is>
          <t>2026-05-12</t>
        </is>
      </c>
      <c r="B758" t="inlineStr">
        <is>
          <t>JW중외제약</t>
        </is>
      </c>
      <c r="C758" t="inlineStr">
        <is>
          <t>001060</t>
        </is>
      </c>
      <c r="D758" t="inlineStr">
        <is>
          <t>별도</t>
        </is>
      </c>
      <c r="E758" t="inlineStr">
        <is>
          <t>2026Q1</t>
        </is>
      </c>
      <c r="F758" s="2" t="n">
        <v>198472</v>
      </c>
      <c r="G758" t="n">
        <v>1.6</v>
      </c>
      <c r="H758" t="n">
        <v>8.1</v>
      </c>
      <c r="I758" s="2" t="n">
        <v>31703</v>
      </c>
      <c r="J758" t="n">
        <v>98.2</v>
      </c>
      <c r="K758" t="n">
        <v>40.4</v>
      </c>
      <c r="L758" s="2" t="n">
        <v>28469</v>
      </c>
      <c r="M758" t="n">
        <v>62.3</v>
      </c>
      <c r="N758" t="inlineStr">
        <is>
          <t>20260512800799</t>
        </is>
      </c>
      <c r="O758">
        <f>HYPERLINK("https://dart.fss.or.kr/dsaf001/main.do?rcpNo=20260512800799", "공시열람")</f>
        <v/>
      </c>
    </row>
    <row r="759">
      <c r="A759" t="inlineStr">
        <is>
          <t>2026-05-12</t>
        </is>
      </c>
      <c r="B759" t="inlineStr">
        <is>
          <t>KTis</t>
        </is>
      </c>
      <c r="C759" t="inlineStr">
        <is>
          <t>058860</t>
        </is>
      </c>
      <c r="D759" t="inlineStr">
        <is>
          <t>별도</t>
        </is>
      </c>
      <c r="E759" t="inlineStr">
        <is>
          <t>2026Q1</t>
        </is>
      </c>
      <c r="F759" s="2" t="n">
        <v>154904</v>
      </c>
      <c r="G759" t="n">
        <v>1.6</v>
      </c>
      <c r="H759" t="n">
        <v>10.9</v>
      </c>
      <c r="I759" s="2" t="n">
        <v>5219</v>
      </c>
      <c r="J759" t="n">
        <v>28.2</v>
      </c>
      <c r="K759" t="n">
        <v>-30.5</v>
      </c>
      <c r="L759" s="2" t="n">
        <v>4768</v>
      </c>
      <c r="M759" t="n">
        <v>4.8</v>
      </c>
      <c r="N759" t="inlineStr">
        <is>
          <t>20260512800744</t>
        </is>
      </c>
      <c r="O759">
        <f>HYPERLINK("https://dart.fss.or.kr/dsaf001/main.do?rcpNo=20260512800744", "공시열람")</f>
        <v/>
      </c>
    </row>
    <row r="760">
      <c r="A760" t="inlineStr">
        <is>
          <t>2026-05-12</t>
        </is>
      </c>
      <c r="B760" t="inlineStr">
        <is>
          <t>NHN벅스</t>
        </is>
      </c>
      <c r="C760" t="inlineStr">
        <is>
          <t>104200</t>
        </is>
      </c>
      <c r="D760" t="inlineStr">
        <is>
          <t>별도</t>
        </is>
      </c>
      <c r="E760" t="inlineStr">
        <is>
          <t>2026Q1</t>
        </is>
      </c>
      <c r="F760" s="2" t="n">
        <v>10722</v>
      </c>
      <c r="G760" t="n">
        <v>-5.4</v>
      </c>
      <c r="H760" t="n">
        <v>-3.2</v>
      </c>
      <c r="I760" s="2" t="n">
        <v>175</v>
      </c>
      <c r="J760" t="n">
        <v>108.3</v>
      </c>
      <c r="K760" t="inlineStr"/>
      <c r="L760" s="2" t="n">
        <v>478</v>
      </c>
      <c r="M760" t="inlineStr"/>
      <c r="N760" t="inlineStr">
        <is>
          <t>20260512900684</t>
        </is>
      </c>
      <c r="O760">
        <f>HYPERLINK("https://dart.fss.or.kr/dsaf001/main.do?rcpNo=20260512900684", "공시열람")</f>
        <v/>
      </c>
    </row>
    <row r="761">
      <c r="A761" t="inlineStr">
        <is>
          <t>2026-05-12</t>
        </is>
      </c>
      <c r="B761" t="inlineStr">
        <is>
          <t>웹젠</t>
        </is>
      </c>
      <c r="C761" t="inlineStr">
        <is>
          <t>069080</t>
        </is>
      </c>
      <c r="D761" t="inlineStr">
        <is>
          <t>연결</t>
        </is>
      </c>
      <c r="E761" t="inlineStr">
        <is>
          <t>2026Q1</t>
        </is>
      </c>
      <c r="F761" s="2" t="n">
        <v>39373</v>
      </c>
      <c r="G761" t="n">
        <v>-21.2</v>
      </c>
      <c r="H761" t="n">
        <v>-5.2</v>
      </c>
      <c r="I761" s="2" t="n">
        <v>5378</v>
      </c>
      <c r="J761" t="n">
        <v>-23.4</v>
      </c>
      <c r="K761" t="n">
        <v>-39.6</v>
      </c>
      <c r="L761" s="2" t="n">
        <v>8829</v>
      </c>
      <c r="M761" t="n">
        <v>596.2</v>
      </c>
      <c r="N761" t="inlineStr">
        <is>
          <t>20260512900598</t>
        </is>
      </c>
      <c r="O761">
        <f>HYPERLINK("https://dart.fss.or.kr/dsaf001/main.do?rcpNo=20260512900598", "공시열람")</f>
        <v/>
      </c>
    </row>
    <row r="762">
      <c r="A762" t="inlineStr">
        <is>
          <t>2026-05-12</t>
        </is>
      </c>
      <c r="B762" t="inlineStr">
        <is>
          <t>대웅제약</t>
        </is>
      </c>
      <c r="C762" t="inlineStr">
        <is>
          <t>069620</t>
        </is>
      </c>
      <c r="D762" t="inlineStr">
        <is>
          <t>별도</t>
        </is>
      </c>
      <c r="E762" t="inlineStr">
        <is>
          <t>2026Q1</t>
        </is>
      </c>
      <c r="F762" s="2" t="n">
        <v>335663</v>
      </c>
      <c r="G762" t="n">
        <v>-5.7</v>
      </c>
      <c r="H762" t="n">
        <v>6.2</v>
      </c>
      <c r="I762" s="2" t="n">
        <v>27444</v>
      </c>
      <c r="J762" t="n">
        <v>-39.7</v>
      </c>
      <c r="K762" t="n">
        <v>-34.7</v>
      </c>
      <c r="L762" s="2" t="n">
        <v>35128</v>
      </c>
      <c r="M762" t="n">
        <v>20.3</v>
      </c>
      <c r="N762" t="inlineStr">
        <is>
          <t>20260512800575</t>
        </is>
      </c>
      <c r="O762">
        <f>HYPERLINK("https://dart.fss.or.kr/dsaf001/main.do?rcpNo=20260512800575", "공시열람")</f>
        <v/>
      </c>
    </row>
    <row r="763">
      <c r="A763" t="inlineStr">
        <is>
          <t>2026-05-12</t>
        </is>
      </c>
      <c r="B763" t="inlineStr">
        <is>
          <t>GS글로벌</t>
        </is>
      </c>
      <c r="C763" t="inlineStr">
        <is>
          <t>001250</t>
        </is>
      </c>
      <c r="D763" t="inlineStr">
        <is>
          <t>연결</t>
        </is>
      </c>
      <c r="E763" t="inlineStr">
        <is>
          <t>2026Q1</t>
        </is>
      </c>
      <c r="F763" s="2" t="n">
        <v>1099073</v>
      </c>
      <c r="G763" t="n">
        <v>2.9</v>
      </c>
      <c r="H763" t="n">
        <v>7.6</v>
      </c>
      <c r="I763" s="2" t="n">
        <v>12852</v>
      </c>
      <c r="J763" t="n">
        <v>27.3</v>
      </c>
      <c r="K763" t="n">
        <v>-19.5</v>
      </c>
      <c r="L763" s="2" t="n">
        <v>3745</v>
      </c>
      <c r="M763" t="n">
        <v>-57.5</v>
      </c>
      <c r="N763" t="inlineStr">
        <is>
          <t>20260512800588</t>
        </is>
      </c>
      <c r="O763">
        <f>HYPERLINK("https://dart.fss.or.kr/dsaf001/main.do?rcpNo=20260512800588", "공시열람")</f>
        <v/>
      </c>
    </row>
    <row r="764">
      <c r="A764" t="inlineStr">
        <is>
          <t>2026-05-12</t>
        </is>
      </c>
      <c r="B764" t="inlineStr">
        <is>
          <t>위메이드맥스</t>
        </is>
      </c>
      <c r="C764" t="inlineStr">
        <is>
          <t>101730</t>
        </is>
      </c>
      <c r="D764" t="inlineStr">
        <is>
          <t>연결</t>
        </is>
      </c>
      <c r="E764" t="inlineStr">
        <is>
          <t>2026Q1</t>
        </is>
      </c>
      <c r="F764" s="2" t="n">
        <v>32680</v>
      </c>
      <c r="G764" t="n">
        <v>6.99</v>
      </c>
      <c r="H764" t="n">
        <v>-30.63</v>
      </c>
      <c r="I764" s="2" t="n">
        <v>-15348</v>
      </c>
      <c r="J764" t="n">
        <v>14.31</v>
      </c>
      <c r="K764" t="n">
        <v>-540.72</v>
      </c>
      <c r="L764" s="2" t="n">
        <v>-11103</v>
      </c>
      <c r="M764" t="n">
        <v>-1517.99</v>
      </c>
      <c r="N764" t="inlineStr">
        <is>
          <t>20260512900559</t>
        </is>
      </c>
      <c r="O764">
        <f>HYPERLINK("https://dart.fss.or.kr/dsaf001/main.do?rcpNo=20260512900559", "공시열람")</f>
        <v/>
      </c>
    </row>
    <row r="765">
      <c r="A765" t="inlineStr">
        <is>
          <t>2026-05-12</t>
        </is>
      </c>
      <c r="B765" t="inlineStr">
        <is>
          <t>펄어비스</t>
        </is>
      </c>
      <c r="C765" t="inlineStr">
        <is>
          <t>263750</t>
        </is>
      </c>
      <c r="D765" t="inlineStr">
        <is>
          <t>연결</t>
        </is>
      </c>
      <c r="E765" t="inlineStr">
        <is>
          <t>2026Q1</t>
        </is>
      </c>
      <c r="F765" s="2" t="n">
        <v>328499</v>
      </c>
      <c r="G765" t="n">
        <v>382.2</v>
      </c>
      <c r="H765" t="n">
        <v>419.6</v>
      </c>
      <c r="I765" s="2" t="n">
        <v>212096</v>
      </c>
      <c r="J765" t="n">
        <v>28369.3</v>
      </c>
      <c r="K765" t="n">
        <v>2597.4</v>
      </c>
      <c r="L765" s="2" t="n">
        <v>157969</v>
      </c>
      <c r="M765" t="n">
        <v>31557.1</v>
      </c>
      <c r="N765" t="inlineStr">
        <is>
          <t>20260512900568</t>
        </is>
      </c>
      <c r="O765">
        <f>HYPERLINK("https://dart.fss.or.kr/dsaf001/main.do?rcpNo=20260512900568", "공시열람")</f>
        <v/>
      </c>
    </row>
    <row r="766">
      <c r="A766" t="inlineStr">
        <is>
          <t>2026-05-11</t>
        </is>
      </c>
      <c r="B766" t="inlineStr">
        <is>
          <t>엘앤씨바이오</t>
        </is>
      </c>
      <c r="C766" t="inlineStr">
        <is>
          <t>290650</t>
        </is>
      </c>
      <c r="D766" t="inlineStr">
        <is>
          <t>별도</t>
        </is>
      </c>
      <c r="E766" t="inlineStr">
        <is>
          <t>2026Q1</t>
        </is>
      </c>
      <c r="F766" s="2" t="n">
        <v>23815</v>
      </c>
      <c r="G766" t="n">
        <v>15.2</v>
      </c>
      <c r="H766" t="n">
        <v>63.42</v>
      </c>
      <c r="I766" s="2" t="n">
        <v>6468</v>
      </c>
      <c r="J766" t="n">
        <v>165.52</v>
      </c>
      <c r="K766" t="n">
        <v>546.8200000000001</v>
      </c>
      <c r="L766" s="2" t="n">
        <v>3296</v>
      </c>
      <c r="M766" t="n">
        <v>400.61</v>
      </c>
      <c r="N766" t="inlineStr">
        <is>
          <t>20260511900303</t>
        </is>
      </c>
      <c r="O766">
        <f>HYPERLINK("https://dart.fss.or.kr/dsaf001/main.do?rcpNo=20260511900303", "공시열람")</f>
        <v/>
      </c>
    </row>
    <row r="767">
      <c r="A767" t="inlineStr">
        <is>
          <t>2026-05-11</t>
        </is>
      </c>
      <c r="B767" t="inlineStr">
        <is>
          <t>TYM</t>
        </is>
      </c>
      <c r="C767" t="inlineStr">
        <is>
          <t>002900</t>
        </is>
      </c>
      <c r="D767" t="inlineStr">
        <is>
          <t>연결</t>
        </is>
      </c>
      <c r="E767" t="inlineStr">
        <is>
          <t>2026Q1</t>
        </is>
      </c>
      <c r="F767" s="2" t="n">
        <v>289678</v>
      </c>
      <c r="G767" t="n">
        <v>33.6</v>
      </c>
      <c r="H767" t="n">
        <v>28.3</v>
      </c>
      <c r="I767" s="2" t="n">
        <v>35042</v>
      </c>
      <c r="J767" t="n">
        <v>299.2</v>
      </c>
      <c r="K767" t="n">
        <v>131.5</v>
      </c>
      <c r="L767" s="2" t="n">
        <v>30271</v>
      </c>
      <c r="M767" t="n">
        <v>193.1</v>
      </c>
      <c r="N767" t="inlineStr">
        <is>
          <t>20260511800486</t>
        </is>
      </c>
      <c r="O767">
        <f>HYPERLINK("https://dart.fss.or.kr/dsaf001/main.do?rcpNo=20260511800486", "공시열람")</f>
        <v/>
      </c>
    </row>
    <row r="768">
      <c r="A768" t="inlineStr">
        <is>
          <t>2026-05-11</t>
        </is>
      </c>
      <c r="B768" t="inlineStr">
        <is>
          <t>한전KPS</t>
        </is>
      </c>
      <c r="C768" t="inlineStr">
        <is>
          <t>051600</t>
        </is>
      </c>
      <c r="D768" t="inlineStr">
        <is>
          <t>연결</t>
        </is>
      </c>
      <c r="E768" t="inlineStr">
        <is>
          <t>2026Q1</t>
        </is>
      </c>
      <c r="F768" s="2" t="n">
        <v>352394</v>
      </c>
      <c r="G768" t="n">
        <v>-20.06</v>
      </c>
      <c r="H768" t="n">
        <v>22.35</v>
      </c>
      <c r="I768" s="2" t="n">
        <v>37018</v>
      </c>
      <c r="J768" t="n">
        <v>92.28</v>
      </c>
      <c r="K768" t="n">
        <v>374.59</v>
      </c>
      <c r="L768" s="2" t="n">
        <v>29411</v>
      </c>
      <c r="M768" t="n">
        <v>161.87</v>
      </c>
      <c r="N768" t="inlineStr">
        <is>
          <t>20260511800357</t>
        </is>
      </c>
      <c r="O768">
        <f>HYPERLINK("https://dart.fss.or.kr/dsaf001/main.do?rcpNo=20260511800357", "공시열람")</f>
        <v/>
      </c>
    </row>
    <row r="769">
      <c r="A769" t="inlineStr">
        <is>
          <t>2026-05-11</t>
        </is>
      </c>
      <c r="B769" t="inlineStr">
        <is>
          <t>원익QnC</t>
        </is>
      </c>
      <c r="C769" t="inlineStr">
        <is>
          <t>074600</t>
        </is>
      </c>
      <c r="D769" t="inlineStr">
        <is>
          <t>연결</t>
        </is>
      </c>
      <c r="E769" t="inlineStr">
        <is>
          <t>2026Q1</t>
        </is>
      </c>
      <c r="F769" s="2" t="n">
        <v>256233</v>
      </c>
      <c r="G769" t="n">
        <v>2.9</v>
      </c>
      <c r="H769" t="n">
        <v>10.7</v>
      </c>
      <c r="I769" s="2" t="n">
        <v>21862</v>
      </c>
      <c r="J769" t="n">
        <v>18.5</v>
      </c>
      <c r="K769" t="n">
        <v>14.6</v>
      </c>
      <c r="L769" s="2" t="n">
        <v>14421</v>
      </c>
      <c r="M769" t="n">
        <v>-6.1</v>
      </c>
      <c r="N769" t="inlineStr">
        <is>
          <t>20260511900321</t>
        </is>
      </c>
      <c r="O769">
        <f>HYPERLINK("https://dart.fss.or.kr/dsaf001/main.do?rcpNo=20260511900321", "공시열람")</f>
        <v/>
      </c>
    </row>
    <row r="770">
      <c r="A770" t="inlineStr">
        <is>
          <t>2026-05-11</t>
        </is>
      </c>
      <c r="B770" t="inlineStr">
        <is>
          <t>롯데케미칼</t>
        </is>
      </c>
      <c r="C770" t="inlineStr">
        <is>
          <t>011170</t>
        </is>
      </c>
      <c r="D770" t="inlineStr">
        <is>
          <t>연결</t>
        </is>
      </c>
      <c r="E770" t="inlineStr">
        <is>
          <t>2026Q1</t>
        </is>
      </c>
      <c r="F770" s="2" t="n">
        <v>4990521</v>
      </c>
      <c r="G770" t="n">
        <v>6</v>
      </c>
      <c r="H770" t="n">
        <v>1.8</v>
      </c>
      <c r="I770" s="2" t="n">
        <v>73478</v>
      </c>
      <c r="J770" t="inlineStr"/>
      <c r="K770" t="inlineStr"/>
      <c r="L770" s="2" t="n">
        <v>33459</v>
      </c>
      <c r="M770" t="inlineStr"/>
      <c r="N770" t="inlineStr">
        <is>
          <t>20260511800497</t>
        </is>
      </c>
      <c r="O770">
        <f>HYPERLINK("https://dart.fss.or.kr/dsaf001/main.do?rcpNo=20260511800497", "공시열람")</f>
        <v/>
      </c>
    </row>
    <row r="771">
      <c r="A771" t="inlineStr">
        <is>
          <t>2026-05-11</t>
        </is>
      </c>
      <c r="B771" t="inlineStr">
        <is>
          <t>한국석유공업</t>
        </is>
      </c>
      <c r="C771" t="inlineStr">
        <is>
          <t>004090</t>
        </is>
      </c>
      <c r="D771" t="inlineStr">
        <is>
          <t>연결</t>
        </is>
      </c>
      <c r="E771" t="inlineStr">
        <is>
          <t>2026Q1</t>
        </is>
      </c>
      <c r="F771" s="2" t="n">
        <v>171246</v>
      </c>
      <c r="G771" t="n">
        <v>-1.1</v>
      </c>
      <c r="H771" t="n">
        <v>7.6</v>
      </c>
      <c r="I771" s="2" t="n">
        <v>4143</v>
      </c>
      <c r="J771" t="n">
        <v>29.8</v>
      </c>
      <c r="K771" t="n">
        <v>335</v>
      </c>
      <c r="L771" s="2" t="n">
        <v>1527</v>
      </c>
      <c r="M771" t="inlineStr"/>
      <c r="N771" t="inlineStr">
        <is>
          <t>20260511800508</t>
        </is>
      </c>
      <c r="O771">
        <f>HYPERLINK("https://dart.fss.or.kr/dsaf001/main.do?rcpNo=20260511800508", "공시열람")</f>
        <v/>
      </c>
    </row>
    <row r="772">
      <c r="A772" t="inlineStr">
        <is>
          <t>2026-05-11</t>
        </is>
      </c>
      <c r="B772" t="inlineStr">
        <is>
          <t>비엠티</t>
        </is>
      </c>
      <c r="C772" t="inlineStr">
        <is>
          <t>086670</t>
        </is>
      </c>
      <c r="D772" t="inlineStr">
        <is>
          <t>연결</t>
        </is>
      </c>
      <c r="E772" t="inlineStr">
        <is>
          <t>2026Q1</t>
        </is>
      </c>
      <c r="F772" s="2" t="n">
        <v>35569</v>
      </c>
      <c r="G772" t="n">
        <v>5.7</v>
      </c>
      <c r="H772" t="n">
        <v>-2.8</v>
      </c>
      <c r="I772" s="2" t="n">
        <v>1772</v>
      </c>
      <c r="J772" t="n">
        <v>-46.4</v>
      </c>
      <c r="K772" t="n">
        <v>-36.2</v>
      </c>
      <c r="L772" s="2" t="n">
        <v>3643</v>
      </c>
      <c r="M772" t="n">
        <v>1.5</v>
      </c>
      <c r="N772" t="inlineStr">
        <is>
          <t>20260511900352</t>
        </is>
      </c>
      <c r="O772">
        <f>HYPERLINK("https://dart.fss.or.kr/dsaf001/main.do?rcpNo=20260511900352", "공시열람")</f>
        <v/>
      </c>
    </row>
    <row r="773">
      <c r="A773" t="inlineStr">
        <is>
          <t>2026-05-11</t>
        </is>
      </c>
      <c r="B773" t="inlineStr">
        <is>
          <t>트리니티항공</t>
        </is>
      </c>
      <c r="C773" t="inlineStr">
        <is>
          <t>091810</t>
        </is>
      </c>
      <c r="D773" t="inlineStr">
        <is>
          <t>별도</t>
        </is>
      </c>
      <c r="E773" t="inlineStr">
        <is>
          <t>2026Q1</t>
        </is>
      </c>
      <c r="F773" s="2" t="n">
        <v>612239</v>
      </c>
      <c r="G773" t="n">
        <v>16.8</v>
      </c>
      <c r="H773" t="n">
        <v>37</v>
      </c>
      <c r="I773" s="2" t="n">
        <v>19947</v>
      </c>
      <c r="J773" t="inlineStr"/>
      <c r="K773" t="inlineStr"/>
      <c r="L773" s="2" t="n">
        <v>-16046</v>
      </c>
      <c r="M773" t="n">
        <v>65</v>
      </c>
      <c r="N773" t="inlineStr">
        <is>
          <t>20260511800388</t>
        </is>
      </c>
      <c r="O773">
        <f>HYPERLINK("https://dart.fss.or.kr/dsaf001/main.do?rcpNo=20260511800388", "공시열람")</f>
        <v/>
      </c>
    </row>
    <row r="774">
      <c r="A774" t="inlineStr">
        <is>
          <t>2026-05-11</t>
        </is>
      </c>
      <c r="B774" t="inlineStr">
        <is>
          <t>엘앤씨바이오</t>
        </is>
      </c>
      <c r="C774" t="inlineStr">
        <is>
          <t>290650</t>
        </is>
      </c>
      <c r="D774" t="inlineStr">
        <is>
          <t>연결</t>
        </is>
      </c>
      <c r="E774" t="inlineStr">
        <is>
          <t>2025Q1</t>
        </is>
      </c>
      <c r="F774" s="2" t="n">
        <v>30295</v>
      </c>
      <c r="G774" t="n">
        <v>23.24</v>
      </c>
      <c r="H774" t="n">
        <v>70.61</v>
      </c>
      <c r="I774" s="2" t="n">
        <v>5999</v>
      </c>
      <c r="J774" t="n">
        <v>172.9</v>
      </c>
      <c r="K774" t="inlineStr"/>
      <c r="L774" s="2" t="n">
        <v>2726</v>
      </c>
      <c r="M774" t="inlineStr"/>
      <c r="N774" t="inlineStr">
        <is>
          <t>20260511900300</t>
        </is>
      </c>
      <c r="O774">
        <f>HYPERLINK("https://dart.fss.or.kr/dsaf001/main.do?rcpNo=20260511900300", "공시열람")</f>
        <v/>
      </c>
    </row>
    <row r="775">
      <c r="A775" t="inlineStr">
        <is>
          <t>2026-05-11</t>
        </is>
      </c>
      <c r="B775" t="inlineStr">
        <is>
          <t>데브시스터즈</t>
        </is>
      </c>
      <c r="C775" t="inlineStr">
        <is>
          <t>194480</t>
        </is>
      </c>
      <c r="D775" t="inlineStr">
        <is>
          <t>연결</t>
        </is>
      </c>
      <c r="E775" t="inlineStr">
        <is>
          <t>2026Q1</t>
        </is>
      </c>
      <c r="F775" s="2" t="n">
        <v>58471</v>
      </c>
      <c r="G775" t="n">
        <v>-1.97</v>
      </c>
      <c r="H775" t="n">
        <v>-34.36</v>
      </c>
      <c r="I775" s="2" t="n">
        <v>-17374</v>
      </c>
      <c r="J775" t="n">
        <v>-39.69</v>
      </c>
      <c r="K775" t="inlineStr"/>
      <c r="L775" s="2" t="n">
        <v>-15088</v>
      </c>
      <c r="M775" t="inlineStr"/>
      <c r="N775" t="inlineStr">
        <is>
          <t>20260511900279</t>
        </is>
      </c>
      <c r="O775">
        <f>HYPERLINK("https://dart.fss.or.kr/dsaf001/main.do?rcpNo=20260511900279", "공시열람")</f>
        <v/>
      </c>
    </row>
    <row r="776">
      <c r="A776" t="inlineStr">
        <is>
          <t>2026-05-11</t>
        </is>
      </c>
      <c r="B776" t="inlineStr">
        <is>
          <t>삼성증권</t>
        </is>
      </c>
      <c r="C776" t="inlineStr">
        <is>
          <t>016360</t>
        </is>
      </c>
      <c r="D776" t="inlineStr">
        <is>
          <t>연결</t>
        </is>
      </c>
      <c r="E776" t="inlineStr">
        <is>
          <t>2026Q1</t>
        </is>
      </c>
      <c r="F776" s="2" t="n">
        <v>7122713</v>
      </c>
      <c r="G776" t="n">
        <v>65.2</v>
      </c>
      <c r="H776" t="n">
        <v>117.7</v>
      </c>
      <c r="I776" s="2" t="n">
        <v>609532</v>
      </c>
      <c r="J776" t="n">
        <v>84.40000000000001</v>
      </c>
      <c r="K776" t="n">
        <v>82.09999999999999</v>
      </c>
      <c r="L776" s="2" t="n">
        <v>450856</v>
      </c>
      <c r="M776" t="n">
        <v>81.5</v>
      </c>
      <c r="N776" t="inlineStr">
        <is>
          <t>20260511800572</t>
        </is>
      </c>
      <c r="O776">
        <f>HYPERLINK("https://dart.fss.or.kr/dsaf001/main.do?rcpNo=20260511800572", "공시열람")</f>
        <v/>
      </c>
    </row>
    <row r="777">
      <c r="A777" t="inlineStr">
        <is>
          <t>2026-05-11</t>
        </is>
      </c>
      <c r="B777" t="inlineStr">
        <is>
          <t>메쎄이상</t>
        </is>
      </c>
      <c r="C777" t="inlineStr">
        <is>
          <t>408920</t>
        </is>
      </c>
      <c r="D777" t="inlineStr">
        <is>
          <t>연결</t>
        </is>
      </c>
      <c r="E777" t="inlineStr">
        <is>
          <t>2026Q1</t>
        </is>
      </c>
      <c r="F777" s="2" t="n">
        <v>16566</v>
      </c>
      <c r="G777" t="n">
        <v>-18.3</v>
      </c>
      <c r="H777" t="n">
        <v>25.8</v>
      </c>
      <c r="I777" s="2" t="n">
        <v>4959</v>
      </c>
      <c r="J777" t="n">
        <v>71.09999999999999</v>
      </c>
      <c r="K777" t="n">
        <v>50.7</v>
      </c>
      <c r="L777" s="2" t="n">
        <v>4545</v>
      </c>
      <c r="M777" t="n">
        <v>63.8</v>
      </c>
      <c r="N777" t="inlineStr">
        <is>
          <t>20260511900255</t>
        </is>
      </c>
      <c r="O777">
        <f>HYPERLINK("https://dart.fss.or.kr/dsaf001/main.do?rcpNo=20260511900255", "공시열람")</f>
        <v/>
      </c>
    </row>
    <row r="778">
      <c r="A778" t="inlineStr">
        <is>
          <t>2026-05-11</t>
        </is>
      </c>
      <c r="B778" t="inlineStr">
        <is>
          <t>씨앤씨인터내셔널</t>
        </is>
      </c>
      <c r="C778" t="inlineStr">
        <is>
          <t>352480</t>
        </is>
      </c>
      <c r="D778" t="inlineStr">
        <is>
          <t>연결</t>
        </is>
      </c>
      <c r="E778" t="inlineStr">
        <is>
          <t>2026Q1</t>
        </is>
      </c>
      <c r="F778" s="2" t="n">
        <v>70837</v>
      </c>
      <c r="G778" t="n">
        <v>-3.3</v>
      </c>
      <c r="H778" t="n">
        <v>7.4</v>
      </c>
      <c r="I778" s="2" t="n">
        <v>2967</v>
      </c>
      <c r="J778" t="n">
        <v>186.1</v>
      </c>
      <c r="K778" t="n">
        <v>-46.6</v>
      </c>
      <c r="L778" s="2" t="n">
        <v>5083</v>
      </c>
      <c r="M778" t="n">
        <v>25.2</v>
      </c>
      <c r="N778" t="inlineStr">
        <is>
          <t>20260511900256</t>
        </is>
      </c>
      <c r="O778">
        <f>HYPERLINK("https://dart.fss.or.kr/dsaf001/main.do?rcpNo=20260511900256", "공시열람")</f>
        <v/>
      </c>
    </row>
    <row r="779">
      <c r="A779" t="inlineStr">
        <is>
          <t>2026-05-11</t>
        </is>
      </c>
      <c r="B779" t="inlineStr">
        <is>
          <t>서울바이오시스</t>
        </is>
      </c>
      <c r="C779" t="inlineStr">
        <is>
          <t>092190</t>
        </is>
      </c>
      <c r="D779" t="inlineStr">
        <is>
          <t>연결</t>
        </is>
      </c>
      <c r="E779" t="inlineStr">
        <is>
          <t>2026Q1</t>
        </is>
      </c>
      <c r="F779" s="2" t="n">
        <v>187796</v>
      </c>
      <c r="G779" t="n">
        <v>-14.8</v>
      </c>
      <c r="H779" t="n">
        <v>11.9</v>
      </c>
      <c r="I779" s="2" t="n">
        <v>10371</v>
      </c>
      <c r="J779" t="n">
        <v>-44.3</v>
      </c>
      <c r="K779" t="inlineStr"/>
      <c r="L779" s="2" t="n">
        <v>10325</v>
      </c>
      <c r="M779" t="inlineStr"/>
      <c r="N779" t="inlineStr">
        <is>
          <t>20260511900237</t>
        </is>
      </c>
      <c r="O779">
        <f>HYPERLINK("https://dart.fss.or.kr/dsaf001/main.do?rcpNo=20260511900237", "공시열람")</f>
        <v/>
      </c>
    </row>
    <row r="780">
      <c r="A780" t="inlineStr">
        <is>
          <t>2026-05-11</t>
        </is>
      </c>
      <c r="B780" t="inlineStr">
        <is>
          <t>S-Oil</t>
        </is>
      </c>
      <c r="C780" t="inlineStr">
        <is>
          <t>010950</t>
        </is>
      </c>
      <c r="D780" t="inlineStr">
        <is>
          <t>연결</t>
        </is>
      </c>
      <c r="E780" t="inlineStr">
        <is>
          <t>2026Q1</t>
        </is>
      </c>
      <c r="F780" s="2" t="n">
        <v>8942689</v>
      </c>
      <c r="G780" t="n">
        <v>1.7</v>
      </c>
      <c r="H780" t="n">
        <v>-0.5</v>
      </c>
      <c r="I780" s="2" t="n">
        <v>1231078</v>
      </c>
      <c r="J780" t="n">
        <v>231</v>
      </c>
      <c r="K780" t="inlineStr"/>
      <c r="L780" s="2" t="n">
        <v>720991</v>
      </c>
      <c r="M780" t="inlineStr"/>
      <c r="N780" t="inlineStr">
        <is>
          <t>20260511800112</t>
        </is>
      </c>
      <c r="O780">
        <f>HYPERLINK("https://dart.fss.or.kr/dsaf001/main.do?rcpNo=20260511800112", "공시열람")</f>
        <v/>
      </c>
    </row>
    <row r="781">
      <c r="A781" t="inlineStr">
        <is>
          <t>2026-05-11</t>
        </is>
      </c>
      <c r="B781" t="inlineStr">
        <is>
          <t>GC메디아이</t>
        </is>
      </c>
      <c r="C781" t="inlineStr">
        <is>
          <t>032620</t>
        </is>
      </c>
      <c r="D781" t="inlineStr">
        <is>
          <t>연결</t>
        </is>
      </c>
      <c r="E781" t="inlineStr">
        <is>
          <t>2026Q1</t>
        </is>
      </c>
      <c r="F781" s="2" t="n">
        <v>49841</v>
      </c>
      <c r="G781" t="n">
        <v>-6.09</v>
      </c>
      <c r="H781" t="n">
        <v>10.01</v>
      </c>
      <c r="I781" s="2" t="n">
        <v>2241</v>
      </c>
      <c r="J781" t="n">
        <v>-24.94</v>
      </c>
      <c r="K781" t="n">
        <v>421.63</v>
      </c>
      <c r="L781" s="2" t="n">
        <v>482</v>
      </c>
      <c r="M781" t="n">
        <v>-79.19</v>
      </c>
      <c r="N781" t="inlineStr">
        <is>
          <t>20260511900528</t>
        </is>
      </c>
      <c r="O781">
        <f>HYPERLINK("https://dart.fss.or.kr/dsaf001/main.do?rcpNo=20260511900528", "공시열람")</f>
        <v/>
      </c>
    </row>
    <row r="782">
      <c r="A782" t="inlineStr">
        <is>
          <t>2026-05-11</t>
        </is>
      </c>
      <c r="B782" t="inlineStr">
        <is>
          <t>시프트업</t>
        </is>
      </c>
      <c r="C782" t="inlineStr">
        <is>
          <t>462870</t>
        </is>
      </c>
      <c r="D782" t="inlineStr">
        <is>
          <t>연결</t>
        </is>
      </c>
      <c r="E782" t="inlineStr">
        <is>
          <t>2025Q4</t>
        </is>
      </c>
      <c r="F782" s="2" t="n">
        <v>47309</v>
      </c>
      <c r="G782" t="n">
        <v>-26.6</v>
      </c>
      <c r="H782" t="n">
        <v>12</v>
      </c>
      <c r="I782" s="2" t="n">
        <v>21506</v>
      </c>
      <c r="J782" t="n">
        <v>-42.5</v>
      </c>
      <c r="K782" t="n">
        <v>-18.1</v>
      </c>
      <c r="L782" s="2" t="n">
        <v>37796</v>
      </c>
      <c r="M782" t="n">
        <v>40.8</v>
      </c>
      <c r="N782" t="inlineStr">
        <is>
          <t>20260511800596</t>
        </is>
      </c>
      <c r="O782">
        <f>HYPERLINK("https://dart.fss.or.kr/dsaf001/main.do?rcpNo=20260511800596", "공시열람")</f>
        <v/>
      </c>
    </row>
    <row r="783">
      <c r="A783" t="inlineStr">
        <is>
          <t>2026-05-11</t>
        </is>
      </c>
      <c r="B783" t="inlineStr">
        <is>
          <t>더블유씨피</t>
        </is>
      </c>
      <c r="C783" t="inlineStr">
        <is>
          <t>393890</t>
        </is>
      </c>
      <c r="D783" t="inlineStr">
        <is>
          <t>연결</t>
        </is>
      </c>
      <c r="E783" t="inlineStr">
        <is>
          <t>2026Q1</t>
        </is>
      </c>
      <c r="F783" s="2" t="n">
        <v>42868</v>
      </c>
      <c r="G783" t="n">
        <v>57.7</v>
      </c>
      <c r="H783" t="n">
        <v>162.8</v>
      </c>
      <c r="I783" s="2" t="n">
        <v>-20512</v>
      </c>
      <c r="J783" t="n">
        <v>49</v>
      </c>
      <c r="K783" t="n">
        <v>32.6</v>
      </c>
      <c r="L783" s="2" t="n">
        <v>-48410</v>
      </c>
      <c r="M783" t="n">
        <v>-45.1</v>
      </c>
      <c r="N783" t="inlineStr">
        <is>
          <t>20260511900116</t>
        </is>
      </c>
      <c r="O783">
        <f>HYPERLINK("https://dart.fss.or.kr/dsaf001/main.do?rcpNo=20260511900116", "공시열람")</f>
        <v/>
      </c>
    </row>
    <row r="784">
      <c r="A784" t="inlineStr">
        <is>
          <t>2026-05-11</t>
        </is>
      </c>
      <c r="B784" t="inlineStr">
        <is>
          <t>한샘</t>
        </is>
      </c>
      <c r="C784" t="inlineStr">
        <is>
          <t>009240</t>
        </is>
      </c>
      <c r="D784" t="inlineStr">
        <is>
          <t>연결</t>
        </is>
      </c>
      <c r="E784" t="inlineStr">
        <is>
          <t>2026Q1</t>
        </is>
      </c>
      <c r="F784" s="2" t="n">
        <v>399418</v>
      </c>
      <c r="G784" t="n">
        <v>-0.2</v>
      </c>
      <c r="H784" t="n">
        <v>-9.9</v>
      </c>
      <c r="I784" s="2" t="n">
        <v>10074</v>
      </c>
      <c r="J784" t="n">
        <v>241.3</v>
      </c>
      <c r="K784" t="n">
        <v>56.4</v>
      </c>
      <c r="L784" s="2" t="n">
        <v>2625</v>
      </c>
      <c r="M784" t="n">
        <v>-72.59999999999999</v>
      </c>
      <c r="N784" t="inlineStr">
        <is>
          <t>20260511800931</t>
        </is>
      </c>
      <c r="O784">
        <f>HYPERLINK("https://dart.fss.or.kr/dsaf001/main.do?rcpNo=20260511800931", "공시열람")</f>
        <v/>
      </c>
    </row>
    <row r="785">
      <c r="A785" t="inlineStr">
        <is>
          <t>2026-05-11</t>
        </is>
      </c>
      <c r="B785" t="inlineStr">
        <is>
          <t>클리오</t>
        </is>
      </c>
      <c r="C785" t="inlineStr">
        <is>
          <t>237880</t>
        </is>
      </c>
      <c r="D785" t="inlineStr">
        <is>
          <t>연결</t>
        </is>
      </c>
      <c r="E785" t="inlineStr">
        <is>
          <t>2026Q1</t>
        </is>
      </c>
      <c r="F785" s="2" t="n">
        <v>78348</v>
      </c>
      <c r="G785" t="n">
        <v>-2.8</v>
      </c>
      <c r="H785" t="n">
        <v>-4.8</v>
      </c>
      <c r="I785" s="2" t="n">
        <v>5795</v>
      </c>
      <c r="J785" t="n">
        <v>-17.8</v>
      </c>
      <c r="K785" t="n">
        <v>404.2</v>
      </c>
      <c r="L785" s="2" t="n">
        <v>6720</v>
      </c>
      <c r="M785" t="n">
        <v>152.8</v>
      </c>
      <c r="N785" t="inlineStr">
        <is>
          <t>20260511900595</t>
        </is>
      </c>
      <c r="O785">
        <f>HYPERLINK("https://dart.fss.or.kr/dsaf001/main.do?rcpNo=20260511900595", "공시열람")</f>
        <v/>
      </c>
    </row>
    <row r="786">
      <c r="A786" t="inlineStr">
        <is>
          <t>2026-05-11</t>
        </is>
      </c>
      <c r="B786" t="inlineStr">
        <is>
          <t>네오위즈</t>
        </is>
      </c>
      <c r="C786" t="inlineStr">
        <is>
          <t>095660</t>
        </is>
      </c>
      <c r="D786" t="inlineStr">
        <is>
          <t>연결</t>
        </is>
      </c>
      <c r="E786" t="inlineStr">
        <is>
          <t>2026Q1</t>
        </is>
      </c>
      <c r="F786" s="2" t="n">
        <v>101415</v>
      </c>
      <c r="G786" t="n">
        <v>-4.6</v>
      </c>
      <c r="H786" t="n">
        <v>13.9</v>
      </c>
      <c r="I786" s="2" t="n">
        <v>6951</v>
      </c>
      <c r="J786" t="n">
        <v>48.1</v>
      </c>
      <c r="K786" t="n">
        <v>-32</v>
      </c>
      <c r="L786" s="2" t="n">
        <v>15473</v>
      </c>
      <c r="M786" t="n">
        <v>153.3</v>
      </c>
      <c r="N786" t="inlineStr">
        <is>
          <t>20260511900102</t>
        </is>
      </c>
      <c r="O786">
        <f>HYPERLINK("https://dart.fss.or.kr/dsaf001/main.do?rcpNo=20260511900102", "공시열람")</f>
        <v/>
      </c>
    </row>
    <row r="787">
      <c r="A787" t="inlineStr">
        <is>
          <t>2026-05-11</t>
        </is>
      </c>
      <c r="B787" t="inlineStr">
        <is>
          <t>롯데에너지머티리얼즈</t>
        </is>
      </c>
      <c r="C787" t="inlineStr">
        <is>
          <t>020150</t>
        </is>
      </c>
      <c r="D787" t="inlineStr">
        <is>
          <t>연결</t>
        </is>
      </c>
      <c r="E787" t="inlineStr">
        <is>
          <t>2026Q1</t>
        </is>
      </c>
      <c r="F787" s="2" t="n">
        <v>159800</v>
      </c>
      <c r="G787" t="n">
        <v>-6.5</v>
      </c>
      <c r="H787" t="n">
        <v>1.2</v>
      </c>
      <c r="I787" s="2" t="n">
        <v>-5000</v>
      </c>
      <c r="J787" t="n">
        <v>85.3</v>
      </c>
      <c r="K787" t="n">
        <v>89.2</v>
      </c>
      <c r="L787" s="2" t="n">
        <v>3900</v>
      </c>
      <c r="M787" t="inlineStr"/>
      <c r="N787" t="inlineStr">
        <is>
          <t>20260511800111</t>
        </is>
      </c>
      <c r="O787">
        <f>HYPERLINK("https://dart.fss.or.kr/dsaf001/main.do?rcpNo=20260511800111", "공시열람")</f>
        <v/>
      </c>
    </row>
    <row r="788">
      <c r="A788" t="inlineStr">
        <is>
          <t>2026-05-11</t>
        </is>
      </c>
      <c r="B788" t="inlineStr">
        <is>
          <t>씨엠티엑스</t>
        </is>
      </c>
      <c r="C788" t="inlineStr">
        <is>
          <t>388210</t>
        </is>
      </c>
      <c r="D788" t="inlineStr">
        <is>
          <t>연결</t>
        </is>
      </c>
      <c r="E788" t="inlineStr">
        <is>
          <t>2026Q1</t>
        </is>
      </c>
      <c r="F788" s="2" t="n">
        <v>44121</v>
      </c>
      <c r="G788" t="n">
        <v>4.6</v>
      </c>
      <c r="H788" t="n">
        <v>19.4</v>
      </c>
      <c r="I788" s="2" t="n">
        <v>13510</v>
      </c>
      <c r="J788" t="n">
        <v>35</v>
      </c>
      <c r="K788" t="n">
        <v>7</v>
      </c>
      <c r="L788" s="2" t="n">
        <v>14101</v>
      </c>
      <c r="M788" t="n">
        <v>26.7</v>
      </c>
      <c r="N788" t="inlineStr">
        <is>
          <t>20260511901020</t>
        </is>
      </c>
      <c r="O788">
        <f>HYPERLINK("https://dart.fss.or.kr/dsaf001/main.do?rcpNo=20260511901020", "공시열람")</f>
        <v/>
      </c>
    </row>
    <row r="789">
      <c r="A789" t="inlineStr">
        <is>
          <t>2026-05-11</t>
        </is>
      </c>
      <c r="B789" t="inlineStr">
        <is>
          <t>롯데쇼핑</t>
        </is>
      </c>
      <c r="C789" t="inlineStr">
        <is>
          <t>023530</t>
        </is>
      </c>
      <c r="D789" t="inlineStr">
        <is>
          <t>연결</t>
        </is>
      </c>
      <c r="E789" t="inlineStr">
        <is>
          <t>2026Q1</t>
        </is>
      </c>
      <c r="F789" s="2" t="n">
        <v>3581595</v>
      </c>
      <c r="G789" t="n">
        <v>1.7</v>
      </c>
      <c r="H789" t="n">
        <v>3.6</v>
      </c>
      <c r="I789" s="2" t="n">
        <v>252882</v>
      </c>
      <c r="J789" t="n">
        <v>11.1</v>
      </c>
      <c r="K789" t="n">
        <v>70.59999999999999</v>
      </c>
      <c r="L789" s="2" t="n">
        <v>143872</v>
      </c>
      <c r="M789" t="n">
        <v>694.1</v>
      </c>
      <c r="N789" t="inlineStr">
        <is>
          <t>20260511800070</t>
        </is>
      </c>
      <c r="O789">
        <f>HYPERLINK("https://dart.fss.or.kr/dsaf001/main.do?rcpNo=20260511800070", "공시열람")</f>
        <v/>
      </c>
    </row>
    <row r="790">
      <c r="A790" t="inlineStr">
        <is>
          <t>2026-05-11</t>
        </is>
      </c>
      <c r="B790" t="inlineStr">
        <is>
          <t>애경산업</t>
        </is>
      </c>
      <c r="C790" t="inlineStr">
        <is>
          <t>018250</t>
        </is>
      </c>
      <c r="D790" t="inlineStr">
        <is>
          <t>연결</t>
        </is>
      </c>
      <c r="E790" t="inlineStr">
        <is>
          <t>2026Q1</t>
        </is>
      </c>
      <c r="F790" s="2" t="n">
        <v>158791</v>
      </c>
      <c r="G790" t="n">
        <v>-2.5</v>
      </c>
      <c r="H790" t="n">
        <v>5.1</v>
      </c>
      <c r="I790" s="2" t="n">
        <v>-1588</v>
      </c>
      <c r="J790" t="n">
        <v>52.6</v>
      </c>
      <c r="K790" t="inlineStr"/>
      <c r="L790" s="2" t="n">
        <v>13698</v>
      </c>
      <c r="M790" t="n">
        <v>172.2</v>
      </c>
      <c r="N790" t="inlineStr">
        <is>
          <t>20260511800811</t>
        </is>
      </c>
      <c r="O790">
        <f>HYPERLINK("https://dart.fss.or.kr/dsaf001/main.do?rcpNo=20260511800811", "공시열람")</f>
        <v/>
      </c>
    </row>
    <row r="791">
      <c r="A791" t="inlineStr">
        <is>
          <t>2026-05-11</t>
        </is>
      </c>
      <c r="B791" t="inlineStr">
        <is>
          <t>아이크래프트</t>
        </is>
      </c>
      <c r="C791" t="inlineStr">
        <is>
          <t>052460</t>
        </is>
      </c>
      <c r="D791" t="inlineStr">
        <is>
          <t>연결</t>
        </is>
      </c>
      <c r="E791" t="inlineStr">
        <is>
          <t>2026Q1</t>
        </is>
      </c>
      <c r="F791" s="2" t="n">
        <v>16342</v>
      </c>
      <c r="G791" t="n">
        <v>-85.02</v>
      </c>
      <c r="H791" t="n">
        <v>-59.44</v>
      </c>
      <c r="I791" s="2" t="n">
        <v>-2499</v>
      </c>
      <c r="J791" t="inlineStr"/>
      <c r="K791" t="n">
        <v>-52.71</v>
      </c>
      <c r="L791" s="2" t="n">
        <v>-1941</v>
      </c>
      <c r="M791" t="n">
        <v>-70.43000000000001</v>
      </c>
      <c r="N791" t="inlineStr">
        <is>
          <t>20260511900737</t>
        </is>
      </c>
      <c r="O791">
        <f>HYPERLINK("https://dart.fss.or.kr/dsaf001/main.do?rcpNo=20260511900737", "공시열람")</f>
        <v/>
      </c>
    </row>
    <row r="792">
      <c r="A792" t="inlineStr">
        <is>
          <t>2026-05-11</t>
        </is>
      </c>
      <c r="B792" t="inlineStr">
        <is>
          <t>아이크래프트</t>
        </is>
      </c>
      <c r="C792" t="inlineStr">
        <is>
          <t>052460</t>
        </is>
      </c>
      <c r="D792" t="inlineStr">
        <is>
          <t>별도</t>
        </is>
      </c>
      <c r="E792" t="inlineStr">
        <is>
          <t>2026Q1</t>
        </is>
      </c>
      <c r="F792" s="2" t="n">
        <v>11278</v>
      </c>
      <c r="G792" t="n">
        <v>-87.67</v>
      </c>
      <c r="H792" t="n">
        <v>-69.62</v>
      </c>
      <c r="I792" s="2" t="n">
        <v>-2328</v>
      </c>
      <c r="J792" t="inlineStr"/>
      <c r="K792" t="n">
        <v>-46.68</v>
      </c>
      <c r="L792" s="2" t="n">
        <v>-1306</v>
      </c>
      <c r="M792" t="n">
        <v>-28.59</v>
      </c>
      <c r="N792" t="inlineStr">
        <is>
          <t>20260511900729</t>
        </is>
      </c>
      <c r="O792">
        <f>HYPERLINK("https://dart.fss.or.kr/dsaf001/main.do?rcpNo=20260511900729", "공시열람")</f>
        <v/>
      </c>
    </row>
    <row r="793">
      <c r="A793" t="inlineStr">
        <is>
          <t>2026-05-08</t>
        </is>
      </c>
      <c r="B793" t="inlineStr">
        <is>
          <t>한국타이어앤테크놀로지</t>
        </is>
      </c>
      <c r="C793" t="inlineStr">
        <is>
          <t>161390</t>
        </is>
      </c>
      <c r="D793" t="inlineStr">
        <is>
          <t>연결</t>
        </is>
      </c>
      <c r="E793" t="inlineStr">
        <is>
          <t>2026Q1</t>
        </is>
      </c>
      <c r="F793" s="2" t="n">
        <v>5313928</v>
      </c>
      <c r="G793" t="n">
        <v>-2.61</v>
      </c>
      <c r="H793" t="n">
        <v>7.06</v>
      </c>
      <c r="I793" s="2" t="n">
        <v>506964</v>
      </c>
      <c r="J793" t="n">
        <v>-7.29</v>
      </c>
      <c r="K793" t="n">
        <v>42.95</v>
      </c>
      <c r="L793" s="2" t="n">
        <v>372404</v>
      </c>
      <c r="M793" t="n">
        <v>19.28</v>
      </c>
      <c r="N793" t="inlineStr">
        <is>
          <t>20260508800462</t>
        </is>
      </c>
      <c r="O793">
        <f>HYPERLINK("https://dart.fss.or.kr/dsaf001/main.do?rcpNo=20260508800462", "공시열람")</f>
        <v/>
      </c>
    </row>
    <row r="794">
      <c r="A794" t="inlineStr">
        <is>
          <t>2026-05-08</t>
        </is>
      </c>
      <c r="B794" t="inlineStr">
        <is>
          <t>코오롱인더</t>
        </is>
      </c>
      <c r="C794" t="inlineStr">
        <is>
          <t>120110</t>
        </is>
      </c>
      <c r="D794" t="inlineStr">
        <is>
          <t>연결</t>
        </is>
      </c>
      <c r="E794" t="inlineStr">
        <is>
          <t>2026Q1</t>
        </is>
      </c>
      <c r="F794" s="2" t="n">
        <v>1237421</v>
      </c>
      <c r="G794" t="n">
        <v>2.89</v>
      </c>
      <c r="H794" t="n">
        <v>0.47</v>
      </c>
      <c r="I794" s="2" t="n">
        <v>61916</v>
      </c>
      <c r="J794" t="n">
        <v>534.3200000000001</v>
      </c>
      <c r="K794" t="n">
        <v>129.9</v>
      </c>
      <c r="L794" s="2" t="n">
        <v>79707</v>
      </c>
      <c r="M794" t="n">
        <v>303.09</v>
      </c>
      <c r="N794" t="inlineStr">
        <is>
          <t>20260508800601</t>
        </is>
      </c>
      <c r="O794">
        <f>HYPERLINK("https://dart.fss.or.kr/dsaf001/main.do?rcpNo=20260508800601", "공시열람")</f>
        <v/>
      </c>
    </row>
    <row r="795">
      <c r="A795" t="inlineStr">
        <is>
          <t>2026-05-08</t>
        </is>
      </c>
      <c r="B795" t="inlineStr">
        <is>
          <t>DL</t>
        </is>
      </c>
      <c r="C795" t="inlineStr">
        <is>
          <t>000210</t>
        </is>
      </c>
      <c r="D795" t="inlineStr">
        <is>
          <t>연결</t>
        </is>
      </c>
      <c r="E795" t="inlineStr">
        <is>
          <t>2026Q1</t>
        </is>
      </c>
      <c r="F795" s="2" t="n">
        <v>1282759</v>
      </c>
      <c r="G795" t="n">
        <v>4.25</v>
      </c>
      <c r="H795" t="n">
        <v>-7.49</v>
      </c>
      <c r="I795" s="2" t="n">
        <v>112857</v>
      </c>
      <c r="J795" t="n">
        <v>858.12</v>
      </c>
      <c r="K795" t="n">
        <v>7.12</v>
      </c>
      <c r="L795" s="2" t="n">
        <v>12137</v>
      </c>
      <c r="M795" t="inlineStr"/>
      <c r="N795" t="inlineStr">
        <is>
          <t>20260508800440</t>
        </is>
      </c>
      <c r="O795">
        <f>HYPERLINK("https://dart.fss.or.kr/dsaf001/main.do?rcpNo=20260508800440", "공시열람")</f>
        <v/>
      </c>
    </row>
    <row r="796">
      <c r="A796" t="inlineStr">
        <is>
          <t>2026-05-08</t>
        </is>
      </c>
      <c r="B796" t="inlineStr">
        <is>
          <t>SG세계물산</t>
        </is>
      </c>
      <c r="C796" t="inlineStr">
        <is>
          <t>004060</t>
        </is>
      </c>
      <c r="D796" t="inlineStr">
        <is>
          <t>연결</t>
        </is>
      </c>
      <c r="E796" t="inlineStr">
        <is>
          <t>2026Q1</t>
        </is>
      </c>
      <c r="F796" s="2" t="n">
        <v>27747</v>
      </c>
      <c r="G796" t="n">
        <v>-19.7</v>
      </c>
      <c r="H796" t="n">
        <v>-17.8</v>
      </c>
      <c r="I796" s="2" t="n">
        <v>-1874</v>
      </c>
      <c r="J796" t="inlineStr"/>
      <c r="K796" t="n">
        <v>-128.4</v>
      </c>
      <c r="L796" s="2" t="n">
        <v>3008</v>
      </c>
      <c r="M796" t="n">
        <v>1215.3</v>
      </c>
      <c r="N796" t="inlineStr">
        <is>
          <t>20260508800436</t>
        </is>
      </c>
      <c r="O796">
        <f>HYPERLINK("https://dart.fss.or.kr/dsaf001/main.do?rcpNo=20260508800436", "공시열람")</f>
        <v/>
      </c>
    </row>
    <row r="797">
      <c r="A797" t="inlineStr">
        <is>
          <t>2026-05-08</t>
        </is>
      </c>
      <c r="B797" t="inlineStr">
        <is>
          <t>아비코전자</t>
        </is>
      </c>
      <c r="C797" t="inlineStr">
        <is>
          <t>036010</t>
        </is>
      </c>
      <c r="D797" t="inlineStr">
        <is>
          <t>연결</t>
        </is>
      </c>
      <c r="E797" t="inlineStr">
        <is>
          <t>2026Q1</t>
        </is>
      </c>
      <c r="F797" s="2" t="n">
        <v>35262</v>
      </c>
      <c r="G797" t="n">
        <v>3.3</v>
      </c>
      <c r="H797" t="n">
        <v>12.2</v>
      </c>
      <c r="I797" s="2" t="n">
        <v>1946</v>
      </c>
      <c r="J797" t="n">
        <v>-8</v>
      </c>
      <c r="K797" t="n">
        <v>108.2</v>
      </c>
      <c r="L797" s="2" t="n">
        <v>2614</v>
      </c>
      <c r="M797" t="n">
        <v>184.3</v>
      </c>
      <c r="N797" t="inlineStr">
        <is>
          <t>20260508900385</t>
        </is>
      </c>
      <c r="O797">
        <f>HYPERLINK("https://dart.fss.or.kr/dsaf001/main.do?rcpNo=20260508900385", "공시열람")</f>
        <v/>
      </c>
    </row>
    <row r="798">
      <c r="A798" t="inlineStr">
        <is>
          <t>2026-05-08</t>
        </is>
      </c>
      <c r="B798" t="inlineStr">
        <is>
          <t>현대지에프홀딩스</t>
        </is>
      </c>
      <c r="C798" t="inlineStr">
        <is>
          <t>005440</t>
        </is>
      </c>
      <c r="D798" t="inlineStr">
        <is>
          <t>연결</t>
        </is>
      </c>
      <c r="E798" t="inlineStr">
        <is>
          <t>2026Q1</t>
        </is>
      </c>
      <c r="F798" s="2" t="n">
        <v>2083700</v>
      </c>
      <c r="G798" t="n">
        <v>-0.6</v>
      </c>
      <c r="H798" t="n">
        <v>0.6</v>
      </c>
      <c r="I798" s="2" t="n">
        <v>117600</v>
      </c>
      <c r="J798" t="n">
        <v>301.8</v>
      </c>
      <c r="K798" t="n">
        <v>23.9</v>
      </c>
      <c r="L798" s="2" t="n">
        <v>147200</v>
      </c>
      <c r="M798" t="n">
        <v>-27.6</v>
      </c>
      <c r="N798" t="inlineStr">
        <is>
          <t>20260508800386</t>
        </is>
      </c>
      <c r="O798">
        <f>HYPERLINK("https://dart.fss.or.kr/dsaf001/main.do?rcpNo=20260508800386", "공시열람")</f>
        <v/>
      </c>
    </row>
    <row r="799">
      <c r="A799" t="inlineStr">
        <is>
          <t>2026-05-08</t>
        </is>
      </c>
      <c r="B799" t="inlineStr">
        <is>
          <t>이노션</t>
        </is>
      </c>
      <c r="C799" t="inlineStr">
        <is>
          <t>214320</t>
        </is>
      </c>
      <c r="D799" t="inlineStr">
        <is>
          <t>연결</t>
        </is>
      </c>
      <c r="E799" t="inlineStr">
        <is>
          <t>2026Q1</t>
        </is>
      </c>
      <c r="F799" s="2" t="n">
        <v>523792</v>
      </c>
      <c r="G799" t="n">
        <v>-17.1</v>
      </c>
      <c r="H799" t="n">
        <v>4.1</v>
      </c>
      <c r="I799" s="2" t="n">
        <v>39791</v>
      </c>
      <c r="J799" t="n">
        <v>-12</v>
      </c>
      <c r="K799" t="n">
        <v>33.3</v>
      </c>
      <c r="L799" s="2" t="n">
        <v>39614</v>
      </c>
      <c r="M799" t="n">
        <v>134.5</v>
      </c>
      <c r="N799" t="inlineStr">
        <is>
          <t>20260508800468</t>
        </is>
      </c>
      <c r="O799">
        <f>HYPERLINK("https://dart.fss.or.kr/dsaf001/main.do?rcpNo=20260508800468", "공시열람")</f>
        <v/>
      </c>
    </row>
    <row r="800">
      <c r="A800" t="inlineStr">
        <is>
          <t>2026-05-08</t>
        </is>
      </c>
      <c r="B800" t="inlineStr">
        <is>
          <t>빅텍</t>
        </is>
      </c>
      <c r="C800" t="inlineStr">
        <is>
          <t>065450</t>
        </is>
      </c>
      <c r="D800" t="inlineStr">
        <is>
          <t>연결</t>
        </is>
      </c>
      <c r="E800" t="inlineStr">
        <is>
          <t>2026Q1</t>
        </is>
      </c>
      <c r="F800" s="2" t="n">
        <v>20943</v>
      </c>
      <c r="G800" t="n">
        <v>-27.4</v>
      </c>
      <c r="H800" t="n">
        <v>39.9</v>
      </c>
      <c r="I800" s="2" t="n">
        <v>195</v>
      </c>
      <c r="J800" t="n">
        <v>-90.3</v>
      </c>
      <c r="K800" t="n">
        <v>150</v>
      </c>
      <c r="L800" s="2" t="n">
        <v>-419</v>
      </c>
      <c r="M800" t="n">
        <v>11.2</v>
      </c>
      <c r="N800" t="inlineStr">
        <is>
          <t>20260508900481</t>
        </is>
      </c>
      <c r="O800">
        <f>HYPERLINK("https://dart.fss.or.kr/dsaf001/main.do?rcpNo=20260508900481", "공시열람")</f>
        <v/>
      </c>
    </row>
    <row r="801">
      <c r="A801" t="inlineStr">
        <is>
          <t>2026-05-08</t>
        </is>
      </c>
      <c r="B801" t="inlineStr">
        <is>
          <t>현대리바트</t>
        </is>
      </c>
      <c r="C801" t="inlineStr">
        <is>
          <t>079430</t>
        </is>
      </c>
      <c r="D801" t="inlineStr">
        <is>
          <t>연결</t>
        </is>
      </c>
      <c r="E801" t="inlineStr">
        <is>
          <t>2026Q1</t>
        </is>
      </c>
      <c r="F801" s="2" t="n">
        <v>355935</v>
      </c>
      <c r="G801" t="n">
        <v>-0.6</v>
      </c>
      <c r="H801" t="n">
        <v>-18.7</v>
      </c>
      <c r="I801" s="2" t="n">
        <v>1053</v>
      </c>
      <c r="J801" t="inlineStr"/>
      <c r="K801" t="n">
        <v>-88.90000000000001</v>
      </c>
      <c r="L801" s="2" t="n">
        <v>1615</v>
      </c>
      <c r="M801" t="n">
        <v>-75.40000000000001</v>
      </c>
      <c r="N801" t="inlineStr">
        <is>
          <t>20260508800513</t>
        </is>
      </c>
      <c r="O801">
        <f>HYPERLINK("https://dart.fss.or.kr/dsaf001/main.do?rcpNo=20260508800513", "공시열람")</f>
        <v/>
      </c>
    </row>
    <row r="802">
      <c r="A802" t="inlineStr">
        <is>
          <t>2026-05-08</t>
        </is>
      </c>
      <c r="B802" t="inlineStr">
        <is>
          <t>티쓰리</t>
        </is>
      </c>
      <c r="C802" t="inlineStr">
        <is>
          <t>204610</t>
        </is>
      </c>
      <c r="D802" t="inlineStr">
        <is>
          <t>연결</t>
        </is>
      </c>
      <c r="E802" t="inlineStr">
        <is>
          <t>2026Q1</t>
        </is>
      </c>
      <c r="F802" s="2" t="n">
        <v>22089</v>
      </c>
      <c r="G802" t="n">
        <v>29.1</v>
      </c>
      <c r="H802" t="n">
        <v>37.8</v>
      </c>
      <c r="I802" s="2" t="n">
        <v>5842</v>
      </c>
      <c r="J802" t="n">
        <v>25.5</v>
      </c>
      <c r="K802" t="n">
        <v>69.8</v>
      </c>
      <c r="L802" s="2" t="n">
        <v>6374</v>
      </c>
      <c r="M802" t="n">
        <v>75.3</v>
      </c>
      <c r="N802" t="inlineStr">
        <is>
          <t>20260508900584</t>
        </is>
      </c>
      <c r="O802">
        <f>HYPERLINK("https://dart.fss.or.kr/dsaf001/main.do?rcpNo=20260508900584", "공시열람")</f>
        <v/>
      </c>
    </row>
    <row r="803">
      <c r="A803" t="inlineStr">
        <is>
          <t>2026-05-08</t>
        </is>
      </c>
      <c r="B803" t="inlineStr">
        <is>
          <t>티케이지휴켐스</t>
        </is>
      </c>
      <c r="C803" t="inlineStr">
        <is>
          <t>069260</t>
        </is>
      </c>
      <c r="D803" t="inlineStr">
        <is>
          <t>연결</t>
        </is>
      </c>
      <c r="E803" t="inlineStr">
        <is>
          <t>2026Q1</t>
        </is>
      </c>
      <c r="F803" s="2" t="n">
        <v>294894</v>
      </c>
      <c r="G803" t="n">
        <v>6.7</v>
      </c>
      <c r="H803" t="n">
        <v>9.5</v>
      </c>
      <c r="I803" s="2" t="n">
        <v>15195</v>
      </c>
      <c r="J803" t="n">
        <v>229.7</v>
      </c>
      <c r="K803" t="n">
        <v>20.4</v>
      </c>
      <c r="L803" s="2" t="n">
        <v>13331</v>
      </c>
      <c r="M803" t="n">
        <v>-4.6</v>
      </c>
      <c r="N803" t="inlineStr">
        <is>
          <t>20260508800580</t>
        </is>
      </c>
      <c r="O803">
        <f>HYPERLINK("https://dart.fss.or.kr/dsaf001/main.do?rcpNo=20260508800580", "공시열람")</f>
        <v/>
      </c>
    </row>
    <row r="804">
      <c r="A804" t="inlineStr">
        <is>
          <t>2026-05-08</t>
        </is>
      </c>
      <c r="B804" t="inlineStr">
        <is>
          <t>태광</t>
        </is>
      </c>
      <c r="C804" t="inlineStr">
        <is>
          <t>023160</t>
        </is>
      </c>
      <c r="D804" t="inlineStr">
        <is>
          <t>별도</t>
        </is>
      </c>
      <c r="E804" t="inlineStr">
        <is>
          <t>2026Q1</t>
        </is>
      </c>
      <c r="F804" s="2" t="n">
        <v>73835</v>
      </c>
      <c r="G804" t="n">
        <v>3.5</v>
      </c>
      <c r="H804" t="n">
        <v>32.6</v>
      </c>
      <c r="I804" s="2" t="n">
        <v>11040</v>
      </c>
      <c r="J804" t="n">
        <v>-11.7</v>
      </c>
      <c r="K804" t="n">
        <v>36</v>
      </c>
      <c r="L804" s="2" t="n">
        <v>25966</v>
      </c>
      <c r="M804" t="n">
        <v>152.3</v>
      </c>
      <c r="N804" t="inlineStr">
        <is>
          <t>20260508900571</t>
        </is>
      </c>
      <c r="O804">
        <f>HYPERLINK("https://dart.fss.or.kr/dsaf001/main.do?rcpNo=20260508900571", "공시열람")</f>
        <v/>
      </c>
    </row>
    <row r="805">
      <c r="A805" t="inlineStr">
        <is>
          <t>2026-05-08</t>
        </is>
      </c>
      <c r="B805" t="inlineStr">
        <is>
          <t>쎌바이오텍</t>
        </is>
      </c>
      <c r="C805" t="inlineStr">
        <is>
          <t>049960</t>
        </is>
      </c>
      <c r="D805" t="inlineStr">
        <is>
          <t>연결</t>
        </is>
      </c>
      <c r="E805" t="inlineStr">
        <is>
          <t>2026Q1</t>
        </is>
      </c>
      <c r="F805" s="2" t="n">
        <v>14597</v>
      </c>
      <c r="G805" t="n">
        <v>-0.2</v>
      </c>
      <c r="H805" t="n">
        <v>30</v>
      </c>
      <c r="I805" s="2" t="n">
        <v>3187</v>
      </c>
      <c r="J805" t="n">
        <v>4.3</v>
      </c>
      <c r="K805" t="n">
        <v>134</v>
      </c>
      <c r="L805" s="2" t="n">
        <v>5352</v>
      </c>
      <c r="M805" t="n">
        <v>158.6</v>
      </c>
      <c r="N805" t="inlineStr">
        <is>
          <t>20260508900595</t>
        </is>
      </c>
      <c r="O805">
        <f>HYPERLINK("https://dart.fss.or.kr/dsaf001/main.do?rcpNo=20260508900595", "공시열람")</f>
        <v/>
      </c>
    </row>
    <row r="806">
      <c r="A806" t="inlineStr">
        <is>
          <t>2026-05-08</t>
        </is>
      </c>
      <c r="B806" t="inlineStr">
        <is>
          <t>한전기술</t>
        </is>
      </c>
      <c r="C806" t="inlineStr">
        <is>
          <t>052690</t>
        </is>
      </c>
      <c r="D806" t="inlineStr">
        <is>
          <t>연결</t>
        </is>
      </c>
      <c r="E806" t="inlineStr">
        <is>
          <t>2025Q4</t>
        </is>
      </c>
      <c r="F806" s="2" t="n">
        <v>113334</v>
      </c>
      <c r="G806" t="n">
        <v>-41.7</v>
      </c>
      <c r="H806" t="n">
        <v>13.3</v>
      </c>
      <c r="I806" s="2" t="n">
        <v>14063</v>
      </c>
      <c r="J806" t="n">
        <v>-7.4</v>
      </c>
      <c r="K806" t="n">
        <v>194.8</v>
      </c>
      <c r="L806" s="2" t="n">
        <v>14102</v>
      </c>
      <c r="M806" t="n">
        <v>-78.59999999999999</v>
      </c>
      <c r="N806" t="inlineStr">
        <is>
          <t>20260508800748</t>
        </is>
      </c>
      <c r="O806">
        <f>HYPERLINK("https://dart.fss.or.kr/dsaf001/main.do?rcpNo=20260508800748", "공시열람")</f>
        <v/>
      </c>
    </row>
    <row r="807">
      <c r="A807" t="inlineStr">
        <is>
          <t>2026-05-08</t>
        </is>
      </c>
      <c r="B807" t="inlineStr">
        <is>
          <t>녹십자</t>
        </is>
      </c>
      <c r="C807" t="inlineStr">
        <is>
          <t>006280</t>
        </is>
      </c>
      <c r="D807" t="inlineStr">
        <is>
          <t>연결</t>
        </is>
      </c>
      <c r="E807" t="inlineStr">
        <is>
          <t>2026Q1</t>
        </is>
      </c>
      <c r="F807" s="2" t="n">
        <v>435500</v>
      </c>
      <c r="G807" t="n">
        <v>-12.5</v>
      </c>
      <c r="H807" t="n">
        <v>13.5</v>
      </c>
      <c r="I807" s="2" t="n">
        <v>11700</v>
      </c>
      <c r="J807" t="n">
        <v>154.3</v>
      </c>
      <c r="K807" t="n">
        <v>46.3</v>
      </c>
      <c r="L807" s="2" t="n">
        <v>20100</v>
      </c>
      <c r="M807" t="n">
        <v>-9.9</v>
      </c>
      <c r="N807" t="inlineStr">
        <is>
          <t>20260508800627</t>
        </is>
      </c>
      <c r="O807">
        <f>HYPERLINK("https://dart.fss.or.kr/dsaf001/main.do?rcpNo=20260508800627", "공시열람")</f>
        <v/>
      </c>
    </row>
    <row r="808">
      <c r="A808" t="inlineStr">
        <is>
          <t>2026-05-08</t>
        </is>
      </c>
      <c r="B808" t="inlineStr">
        <is>
          <t>태광</t>
        </is>
      </c>
      <c r="C808" t="inlineStr">
        <is>
          <t>023160</t>
        </is>
      </c>
      <c r="D808" t="inlineStr">
        <is>
          <t>연결</t>
        </is>
      </c>
      <c r="E808" t="inlineStr">
        <is>
          <t>2026Q1</t>
        </is>
      </c>
      <c r="F808" s="2" t="n">
        <v>82275</v>
      </c>
      <c r="G808" t="n">
        <v>2.1</v>
      </c>
      <c r="H808" t="n">
        <v>31.4</v>
      </c>
      <c r="I808" s="2" t="n">
        <v>9350</v>
      </c>
      <c r="J808" t="n">
        <v>-22.8</v>
      </c>
      <c r="K808" t="n">
        <v>26.3</v>
      </c>
      <c r="L808" s="2" t="n">
        <v>28820</v>
      </c>
      <c r="M808" t="n">
        <v>181.5</v>
      </c>
      <c r="N808" t="inlineStr">
        <is>
          <t>20260508900573</t>
        </is>
      </c>
      <c r="O808">
        <f>HYPERLINK("https://dart.fss.or.kr/dsaf001/main.do?rcpNo=20260508900573", "공시열람")</f>
        <v/>
      </c>
    </row>
    <row r="809">
      <c r="A809" t="inlineStr">
        <is>
          <t>2026-05-08</t>
        </is>
      </c>
      <c r="B809" t="inlineStr">
        <is>
          <t>씨젠</t>
        </is>
      </c>
      <c r="C809" t="inlineStr">
        <is>
          <t>096530</t>
        </is>
      </c>
      <c r="D809" t="inlineStr">
        <is>
          <t>연결</t>
        </is>
      </c>
      <c r="E809" t="inlineStr">
        <is>
          <t>2025Q1</t>
        </is>
      </c>
      <c r="F809" s="2" t="n">
        <v>129139</v>
      </c>
      <c r="G809" t="n">
        <v>-1.1</v>
      </c>
      <c r="H809" t="n">
        <v>11.3</v>
      </c>
      <c r="I809" s="2" t="n">
        <v>23551</v>
      </c>
      <c r="J809" t="n">
        <v>238.9</v>
      </c>
      <c r="K809" t="n">
        <v>58.6</v>
      </c>
      <c r="L809" s="2" t="n">
        <v>34747</v>
      </c>
      <c r="M809" t="n">
        <v>20.1</v>
      </c>
      <c r="N809" t="inlineStr">
        <is>
          <t>20260508900623</t>
        </is>
      </c>
      <c r="O809">
        <f>HYPERLINK("https://dart.fss.or.kr/dsaf001/main.do?rcpNo=20260508900623", "공시열람")</f>
        <v/>
      </c>
    </row>
    <row r="810">
      <c r="A810" t="inlineStr">
        <is>
          <t>2026-05-08</t>
        </is>
      </c>
      <c r="B810" t="inlineStr">
        <is>
          <t>CJ프레시웨이</t>
        </is>
      </c>
      <c r="C810" t="inlineStr">
        <is>
          <t>051500</t>
        </is>
      </c>
      <c r="D810" t="inlineStr">
        <is>
          <t>연결</t>
        </is>
      </c>
      <c r="E810" t="inlineStr">
        <is>
          <t>2026Q1</t>
        </is>
      </c>
      <c r="F810" s="2" t="n">
        <v>833919</v>
      </c>
      <c r="G810" t="n">
        <v>-7.1</v>
      </c>
      <c r="H810" t="n">
        <v>4.4</v>
      </c>
      <c r="I810" s="2" t="n">
        <v>11034</v>
      </c>
      <c r="J810" t="n">
        <v>-63.2</v>
      </c>
      <c r="K810" t="n">
        <v>3.8</v>
      </c>
      <c r="L810" s="2" t="n">
        <v>3132</v>
      </c>
      <c r="M810" t="n">
        <v>95.90000000000001</v>
      </c>
      <c r="N810" t="inlineStr">
        <is>
          <t>20260508900612</t>
        </is>
      </c>
      <c r="O810">
        <f>HYPERLINK("https://dart.fss.or.kr/dsaf001/main.do?rcpNo=20260508900612", "공시열람")</f>
        <v/>
      </c>
    </row>
    <row r="811">
      <c r="A811" t="inlineStr">
        <is>
          <t>2026-05-08</t>
        </is>
      </c>
      <c r="B811" t="inlineStr">
        <is>
          <t>코스메카코리아</t>
        </is>
      </c>
      <c r="C811" t="inlineStr">
        <is>
          <t>241710</t>
        </is>
      </c>
      <c r="D811" t="inlineStr">
        <is>
          <t>연결</t>
        </is>
      </c>
      <c r="E811" t="inlineStr">
        <is>
          <t>2026Q1</t>
        </is>
      </c>
      <c r="F811" s="2" t="n">
        <v>185143</v>
      </c>
      <c r="G811" t="n">
        <v>3.7</v>
      </c>
      <c r="H811" t="n">
        <v>56.4</v>
      </c>
      <c r="I811" s="2" t="n">
        <v>21880</v>
      </c>
      <c r="J811" t="n">
        <v>4</v>
      </c>
      <c r="K811" t="n">
        <v>78</v>
      </c>
      <c r="L811" s="2" t="n">
        <v>19620</v>
      </c>
      <c r="M811" t="n">
        <v>112.8</v>
      </c>
      <c r="N811" t="inlineStr">
        <is>
          <t>20260508900629</t>
        </is>
      </c>
      <c r="O811">
        <f>HYPERLINK("https://dart.fss.or.kr/dsaf001/main.do?rcpNo=20260508900629", "공시열람")</f>
        <v/>
      </c>
    </row>
    <row r="812">
      <c r="A812" t="inlineStr">
        <is>
          <t>2026-05-08</t>
        </is>
      </c>
      <c r="B812" t="inlineStr">
        <is>
          <t>케이티알파</t>
        </is>
      </c>
      <c r="C812" t="inlineStr">
        <is>
          <t>036030</t>
        </is>
      </c>
      <c r="D812" t="inlineStr">
        <is>
          <t>별도</t>
        </is>
      </c>
      <c r="E812" t="inlineStr">
        <is>
          <t>2026Q1</t>
        </is>
      </c>
      <c r="F812" s="2" t="n">
        <v>96159</v>
      </c>
      <c r="G812" t="n">
        <v>-6.6</v>
      </c>
      <c r="H812" t="n">
        <v>-0.4</v>
      </c>
      <c r="I812" s="2" t="n">
        <v>13527</v>
      </c>
      <c r="J812" t="n">
        <v>103.2</v>
      </c>
      <c r="K812" t="n">
        <v>10.5</v>
      </c>
      <c r="L812" s="2" t="n">
        <v>11426</v>
      </c>
      <c r="M812" t="n">
        <v>5.6</v>
      </c>
      <c r="N812" t="inlineStr">
        <is>
          <t>20260508900648</t>
        </is>
      </c>
      <c r="O812">
        <f>HYPERLINK("https://dart.fss.or.kr/dsaf001/main.do?rcpNo=20260508900648", "공시열람")</f>
        <v/>
      </c>
    </row>
    <row r="813">
      <c r="A813" t="inlineStr">
        <is>
          <t>2026-05-08</t>
        </is>
      </c>
      <c r="B813" t="inlineStr">
        <is>
          <t>CJ CGV</t>
        </is>
      </c>
      <c r="C813" t="inlineStr">
        <is>
          <t>079160</t>
        </is>
      </c>
      <c r="D813" t="inlineStr">
        <is>
          <t>연결</t>
        </is>
      </c>
      <c r="E813" t="inlineStr">
        <is>
          <t>2026Q1</t>
        </is>
      </c>
      <c r="F813" s="2" t="n">
        <v>573378</v>
      </c>
      <c r="G813" t="n">
        <v>-14</v>
      </c>
      <c r="H813" t="n">
        <v>7.5</v>
      </c>
      <c r="I813" s="2" t="n">
        <v>8719</v>
      </c>
      <c r="J813" t="n">
        <v>-87.2</v>
      </c>
      <c r="K813" t="n">
        <v>172.4</v>
      </c>
      <c r="L813" s="2" t="n">
        <v>-25441</v>
      </c>
      <c r="M813" t="n">
        <v>33.2</v>
      </c>
      <c r="N813" t="inlineStr">
        <is>
          <t>20260508800659</t>
        </is>
      </c>
      <c r="O813">
        <f>HYPERLINK("https://dart.fss.or.kr/dsaf001/main.do?rcpNo=20260508800659", "공시열람")</f>
        <v/>
      </c>
    </row>
    <row r="814">
      <c r="A814" t="inlineStr">
        <is>
          <t>2026-05-08</t>
        </is>
      </c>
      <c r="B814" t="inlineStr">
        <is>
          <t>마녀공장</t>
        </is>
      </c>
      <c r="C814" t="inlineStr">
        <is>
          <t>439090</t>
        </is>
      </c>
      <c r="D814" t="inlineStr">
        <is>
          <t>연결</t>
        </is>
      </c>
      <c r="E814" t="inlineStr">
        <is>
          <t>2026Q1</t>
        </is>
      </c>
      <c r="F814" s="2" t="n">
        <v>26915</v>
      </c>
      <c r="G814" t="n">
        <v>4.52</v>
      </c>
      <c r="H814" t="n">
        <v>0.17</v>
      </c>
      <c r="I814" s="2" t="n">
        <v>6053</v>
      </c>
      <c r="J814" t="n">
        <v>197.74</v>
      </c>
      <c r="K814" t="n">
        <v>326.57</v>
      </c>
      <c r="L814" s="2" t="n">
        <v>6103</v>
      </c>
      <c r="M814" t="n">
        <v>119.53</v>
      </c>
      <c r="N814" t="inlineStr">
        <is>
          <t>20260508900676</t>
        </is>
      </c>
      <c r="O814">
        <f>HYPERLINK("https://dart.fss.or.kr/dsaf001/main.do?rcpNo=20260508900676", "공시열람")</f>
        <v/>
      </c>
    </row>
    <row r="815">
      <c r="A815" t="inlineStr">
        <is>
          <t>2026-05-08</t>
        </is>
      </c>
      <c r="B815" t="inlineStr">
        <is>
          <t>동원산업</t>
        </is>
      </c>
      <c r="C815" t="inlineStr">
        <is>
          <t>006040</t>
        </is>
      </c>
      <c r="D815" t="inlineStr">
        <is>
          <t>연결</t>
        </is>
      </c>
      <c r="E815" t="inlineStr">
        <is>
          <t>2026Q1</t>
        </is>
      </c>
      <c r="F815" s="2" t="n">
        <v>2530019</v>
      </c>
      <c r="G815" t="n">
        <v>9.1</v>
      </c>
      <c r="H815" t="n">
        <v>9.1</v>
      </c>
      <c r="I815" s="2" t="n">
        <v>146157</v>
      </c>
      <c r="J815" t="n">
        <v>33.4</v>
      </c>
      <c r="K815" t="n">
        <v>17.1</v>
      </c>
      <c r="L815" s="2" t="n">
        <v>112900</v>
      </c>
      <c r="M815" t="n">
        <v>51</v>
      </c>
      <c r="N815" t="inlineStr">
        <is>
          <t>20260508800762</t>
        </is>
      </c>
      <c r="O815">
        <f>HYPERLINK("https://dart.fss.or.kr/dsaf001/main.do?rcpNo=20260508800762", "공시열람")</f>
        <v/>
      </c>
    </row>
    <row r="816">
      <c r="A816" t="inlineStr">
        <is>
          <t>2026-05-08</t>
        </is>
      </c>
      <c r="B816" t="inlineStr">
        <is>
          <t>SK케미칼</t>
        </is>
      </c>
      <c r="C816" t="inlineStr">
        <is>
          <t>285130</t>
        </is>
      </c>
      <c r="D816" t="inlineStr">
        <is>
          <t>연결</t>
        </is>
      </c>
      <c r="E816" t="inlineStr">
        <is>
          <t>2026Q1</t>
        </is>
      </c>
      <c r="F816" s="2" t="n">
        <v>655889</v>
      </c>
      <c r="G816" t="n">
        <v>5.5</v>
      </c>
      <c r="H816" t="n">
        <v>22.2</v>
      </c>
      <c r="I816" s="2" t="n">
        <v>-18889</v>
      </c>
      <c r="J816" t="n">
        <v>51.7</v>
      </c>
      <c r="K816" t="inlineStr"/>
      <c r="L816" s="2" t="n">
        <v>-26111</v>
      </c>
      <c r="M816" t="inlineStr"/>
      <c r="N816" t="inlineStr">
        <is>
          <t>20260508800692</t>
        </is>
      </c>
      <c r="O816">
        <f>HYPERLINK("https://dart.fss.or.kr/dsaf001/main.do?rcpNo=20260508800692", "공시열람")</f>
        <v/>
      </c>
    </row>
    <row r="817">
      <c r="A817" t="inlineStr">
        <is>
          <t>2026-05-08</t>
        </is>
      </c>
      <c r="B817" t="inlineStr">
        <is>
          <t>아로마티카</t>
        </is>
      </c>
      <c r="C817" t="inlineStr">
        <is>
          <t>0015N0</t>
        </is>
      </c>
      <c r="D817" t="inlineStr">
        <is>
          <t>연결</t>
        </is>
      </c>
      <c r="E817" t="inlineStr">
        <is>
          <t>2026Q1</t>
        </is>
      </c>
      <c r="F817" s="2" t="n">
        <v>14000</v>
      </c>
      <c r="G817" t="n">
        <v>1.8</v>
      </c>
      <c r="H817" t="n">
        <v>19.9</v>
      </c>
      <c r="I817" s="2" t="n">
        <v>1335</v>
      </c>
      <c r="J817" t="n">
        <v>34.2</v>
      </c>
      <c r="K817" t="n">
        <v>18.2</v>
      </c>
      <c r="L817" s="2" t="n">
        <v>1274</v>
      </c>
      <c r="M817" t="n">
        <v>42.2</v>
      </c>
      <c r="N817" t="inlineStr">
        <is>
          <t>20260508900305</t>
        </is>
      </c>
      <c r="O817">
        <f>HYPERLINK("https://dart.fss.or.kr/dsaf001/main.do?rcpNo=20260508900305", "공시열람")</f>
        <v/>
      </c>
    </row>
    <row r="818">
      <c r="A818" t="inlineStr">
        <is>
          <t>2026-05-08</t>
        </is>
      </c>
      <c r="B818" t="inlineStr">
        <is>
          <t>SK케미칼</t>
        </is>
      </c>
      <c r="C818" t="inlineStr">
        <is>
          <t>285130</t>
        </is>
      </c>
      <c r="D818" t="inlineStr">
        <is>
          <t>별도</t>
        </is>
      </c>
      <c r="E818" t="inlineStr">
        <is>
          <t>2026Q1</t>
        </is>
      </c>
      <c r="F818" s="2" t="n">
        <v>385705</v>
      </c>
      <c r="G818" t="n">
        <v>14.2</v>
      </c>
      <c r="H818" t="n">
        <v>11.1</v>
      </c>
      <c r="I818" s="2" t="n">
        <v>21209</v>
      </c>
      <c r="J818" t="n">
        <v>464.4</v>
      </c>
      <c r="K818" t="n">
        <v>-42.6</v>
      </c>
      <c r="L818" s="2" t="n">
        <v>29160</v>
      </c>
      <c r="M818" t="n">
        <v>9.4</v>
      </c>
      <c r="N818" t="inlineStr">
        <is>
          <t>20260508800696</t>
        </is>
      </c>
      <c r="O818">
        <f>HYPERLINK("https://dart.fss.or.kr/dsaf001/main.do?rcpNo=20260508800696", "공시열람")</f>
        <v/>
      </c>
    </row>
    <row r="819">
      <c r="A819" t="inlineStr">
        <is>
          <t>2026-05-08</t>
        </is>
      </c>
      <c r="B819" t="inlineStr">
        <is>
          <t>HDC</t>
        </is>
      </c>
      <c r="C819" t="inlineStr">
        <is>
          <t>012630</t>
        </is>
      </c>
      <c r="D819" t="inlineStr">
        <is>
          <t>연결</t>
        </is>
      </c>
      <c r="E819" t="inlineStr">
        <is>
          <t>2026Q1</t>
        </is>
      </c>
      <c r="F819" s="2" t="n">
        <v>1257391</v>
      </c>
      <c r="G819" t="n">
        <v>-8.800000000000001</v>
      </c>
      <c r="H819" t="n">
        <v>-19.7</v>
      </c>
      <c r="I819" s="2" t="n">
        <v>180346</v>
      </c>
      <c r="J819" t="n">
        <v>37.2</v>
      </c>
      <c r="K819" t="n">
        <v>16.5</v>
      </c>
      <c r="L819" s="2" t="n">
        <v>107167</v>
      </c>
      <c r="M819" t="n">
        <v>-2.1</v>
      </c>
      <c r="N819" t="inlineStr">
        <is>
          <t>20260508800721</t>
        </is>
      </c>
      <c r="O819">
        <f>HYPERLINK("https://dart.fss.or.kr/dsaf001/main.do?rcpNo=20260508800721", "공시열람")</f>
        <v/>
      </c>
    </row>
    <row r="820">
      <c r="A820" t="inlineStr">
        <is>
          <t>2026-05-08</t>
        </is>
      </c>
      <c r="B820" t="inlineStr">
        <is>
          <t>원익IPS</t>
        </is>
      </c>
      <c r="C820" t="inlineStr">
        <is>
          <t>240810</t>
        </is>
      </c>
      <c r="D820" t="inlineStr">
        <is>
          <t>연결</t>
        </is>
      </c>
      <c r="E820" t="inlineStr">
        <is>
          <t>2026Q1</t>
        </is>
      </c>
      <c r="F820" s="2" t="n">
        <v>164901</v>
      </c>
      <c r="G820" t="n">
        <v>-40.03</v>
      </c>
      <c r="H820" t="n">
        <v>32.77</v>
      </c>
      <c r="I820" s="2" t="n">
        <v>10734</v>
      </c>
      <c r="J820" t="n">
        <v>-37.61</v>
      </c>
      <c r="K820" t="inlineStr"/>
      <c r="L820" s="2" t="n">
        <v>22054</v>
      </c>
      <c r="M820" t="inlineStr"/>
      <c r="N820" t="inlineStr">
        <is>
          <t>20260508900769</t>
        </is>
      </c>
      <c r="O820">
        <f>HYPERLINK("https://dart.fss.or.kr/dsaf001/main.do?rcpNo=20260508900769", "공시열람")</f>
        <v/>
      </c>
    </row>
    <row r="821">
      <c r="A821" t="inlineStr">
        <is>
          <t>2026-05-08</t>
        </is>
      </c>
      <c r="B821" t="inlineStr">
        <is>
          <t>롯데웰푸드</t>
        </is>
      </c>
      <c r="C821" t="inlineStr">
        <is>
          <t>280360</t>
        </is>
      </c>
      <c r="D821" t="inlineStr">
        <is>
          <t>연결</t>
        </is>
      </c>
      <c r="E821" t="inlineStr">
        <is>
          <t>2026Q1</t>
        </is>
      </c>
      <c r="F821" s="2" t="n">
        <v>1027305</v>
      </c>
      <c r="G821" t="n">
        <v>0.7</v>
      </c>
      <c r="H821" t="n">
        <v>5.4</v>
      </c>
      <c r="I821" s="2" t="n">
        <v>35789</v>
      </c>
      <c r="J821" t="inlineStr"/>
      <c r="K821" t="n">
        <v>118.4</v>
      </c>
      <c r="L821" s="2" t="n">
        <v>16690</v>
      </c>
      <c r="M821" t="n">
        <v>-26.6</v>
      </c>
      <c r="N821" t="inlineStr">
        <is>
          <t>20260508800354</t>
        </is>
      </c>
      <c r="O821">
        <f>HYPERLINK("https://dart.fss.or.kr/dsaf001/main.do?rcpNo=20260508800354", "공시열람")</f>
        <v/>
      </c>
    </row>
    <row r="822">
      <c r="A822" t="inlineStr">
        <is>
          <t>2026-05-08</t>
        </is>
      </c>
      <c r="B822" t="inlineStr">
        <is>
          <t>바디텍메드</t>
        </is>
      </c>
      <c r="C822" t="inlineStr">
        <is>
          <t>206640</t>
        </is>
      </c>
      <c r="D822" t="inlineStr">
        <is>
          <t>연결</t>
        </is>
      </c>
      <c r="E822" t="inlineStr">
        <is>
          <t>2026Q1</t>
        </is>
      </c>
      <c r="F822" s="2" t="n">
        <v>42848</v>
      </c>
      <c r="G822" t="n">
        <v>3.09</v>
      </c>
      <c r="H822" t="n">
        <v>9.58</v>
      </c>
      <c r="I822" s="2" t="n">
        <v>6804</v>
      </c>
      <c r="J822" t="n">
        <v>34.62</v>
      </c>
      <c r="K822" t="n">
        <v>-15.79</v>
      </c>
      <c r="L822" s="2" t="n">
        <v>9498</v>
      </c>
      <c r="M822" t="n">
        <v>30.85</v>
      </c>
      <c r="N822" t="inlineStr">
        <is>
          <t>20260508900430</t>
        </is>
      </c>
      <c r="O822">
        <f>HYPERLINK("https://dart.fss.or.kr/dsaf001/main.do?rcpNo=20260508900430", "공시열람")</f>
        <v/>
      </c>
    </row>
    <row r="823">
      <c r="A823" t="inlineStr">
        <is>
          <t>2026-05-08</t>
        </is>
      </c>
      <c r="B823" t="inlineStr">
        <is>
          <t>AP시스템</t>
        </is>
      </c>
      <c r="C823" t="inlineStr">
        <is>
          <t>265520</t>
        </is>
      </c>
      <c r="D823" t="inlineStr">
        <is>
          <t>연결</t>
        </is>
      </c>
      <c r="E823" t="inlineStr">
        <is>
          <t>2026Q1</t>
        </is>
      </c>
      <c r="F823" s="2" t="n">
        <v>196133</v>
      </c>
      <c r="G823" t="n">
        <v>49</v>
      </c>
      <c r="H823" t="n">
        <v>60.9</v>
      </c>
      <c r="I823" s="2" t="n">
        <v>17988</v>
      </c>
      <c r="J823" t="n">
        <v>87.09999999999999</v>
      </c>
      <c r="K823" t="n">
        <v>135.4</v>
      </c>
      <c r="L823" s="2" t="n">
        <v>19739</v>
      </c>
      <c r="M823" t="n">
        <v>242.2</v>
      </c>
      <c r="N823" t="inlineStr">
        <is>
          <t>20260508900328</t>
        </is>
      </c>
      <c r="O823">
        <f>HYPERLINK("https://dart.fss.or.kr/dsaf001/main.do?rcpNo=20260508900328", "공시열람")</f>
        <v/>
      </c>
    </row>
    <row r="824">
      <c r="A824" t="inlineStr">
        <is>
          <t>2026-05-08</t>
        </is>
      </c>
      <c r="B824" t="inlineStr">
        <is>
          <t>흥국에프엔비</t>
        </is>
      </c>
      <c r="C824" t="inlineStr">
        <is>
          <t>189980</t>
        </is>
      </c>
      <c r="D824" t="inlineStr">
        <is>
          <t>연결</t>
        </is>
      </c>
      <c r="E824" t="inlineStr">
        <is>
          <t>2026Q1</t>
        </is>
      </c>
      <c r="F824" s="2" t="n">
        <v>20806</v>
      </c>
      <c r="G824" t="n">
        <v>-1.71</v>
      </c>
      <c r="H824" t="n">
        <v>-14.28</v>
      </c>
      <c r="I824" s="2" t="n">
        <v>1009</v>
      </c>
      <c r="J824" t="n">
        <v>109.2</v>
      </c>
      <c r="K824" t="n">
        <v>-53.97</v>
      </c>
      <c r="L824" s="2" t="n">
        <v>153</v>
      </c>
      <c r="M824" t="n">
        <v>-89.13</v>
      </c>
      <c r="N824" t="inlineStr">
        <is>
          <t>20260508900135</t>
        </is>
      </c>
      <c r="O824">
        <f>HYPERLINK("https://dart.fss.or.kr/dsaf001/main.do?rcpNo=20260508900135", "공시열람")</f>
        <v/>
      </c>
    </row>
    <row r="825">
      <c r="A825" t="inlineStr">
        <is>
          <t>2026-05-08</t>
        </is>
      </c>
      <c r="B825" t="inlineStr">
        <is>
          <t>신세계I&amp;C</t>
        </is>
      </c>
      <c r="C825" t="inlineStr">
        <is>
          <t>035510</t>
        </is>
      </c>
      <c r="D825" t="inlineStr">
        <is>
          <t>연결</t>
        </is>
      </c>
      <c r="E825" t="inlineStr">
        <is>
          <t>2026Q1</t>
        </is>
      </c>
      <c r="F825" s="2" t="n">
        <v>178613</v>
      </c>
      <c r="G825" t="n">
        <v>5.01</v>
      </c>
      <c r="H825" t="n">
        <v>3.78</v>
      </c>
      <c r="I825" s="2" t="n">
        <v>12445</v>
      </c>
      <c r="J825" t="n">
        <v>0.01</v>
      </c>
      <c r="K825" t="n">
        <v>16.7</v>
      </c>
      <c r="L825" s="2" t="n">
        <v>10267</v>
      </c>
      <c r="M825" t="n">
        <v>9.289999999999999</v>
      </c>
      <c r="N825" t="inlineStr">
        <is>
          <t>20260508801187</t>
        </is>
      </c>
      <c r="O825">
        <f>HYPERLINK("https://dart.fss.or.kr/dsaf001/main.do?rcpNo=20260508801187", "공시열람")</f>
        <v/>
      </c>
    </row>
    <row r="826">
      <c r="A826" t="inlineStr">
        <is>
          <t>2026-05-08</t>
        </is>
      </c>
      <c r="B826" t="inlineStr">
        <is>
          <t>화천기계</t>
        </is>
      </c>
      <c r="C826" t="inlineStr">
        <is>
          <t>010660</t>
        </is>
      </c>
      <c r="D826" t="inlineStr">
        <is>
          <t>별도</t>
        </is>
      </c>
      <c r="E826" t="inlineStr">
        <is>
          <t>2026Q1</t>
        </is>
      </c>
      <c r="F826" s="2" t="n">
        <v>46246</v>
      </c>
      <c r="G826" t="n">
        <v>-3.2</v>
      </c>
      <c r="H826" t="n">
        <v>0.9</v>
      </c>
      <c r="I826" s="2" t="n">
        <v>-604</v>
      </c>
      <c r="J826" t="n">
        <v>45.5</v>
      </c>
      <c r="K826" t="n">
        <v>39.1</v>
      </c>
      <c r="L826" s="2" t="n">
        <v>1126</v>
      </c>
      <c r="M826" t="inlineStr"/>
      <c r="N826" t="inlineStr">
        <is>
          <t>20260508801030</t>
        </is>
      </c>
      <c r="O826">
        <f>HYPERLINK("https://dart.fss.or.kr/dsaf001/main.do?rcpNo=20260508801030", "공시열람")</f>
        <v/>
      </c>
    </row>
    <row r="827">
      <c r="A827" t="inlineStr">
        <is>
          <t>2026-05-08</t>
        </is>
      </c>
      <c r="B827" t="inlineStr">
        <is>
          <t>제주항공</t>
        </is>
      </c>
      <c r="C827" t="inlineStr">
        <is>
          <t>089590</t>
        </is>
      </c>
      <c r="D827" t="inlineStr">
        <is>
          <t>별도</t>
        </is>
      </c>
      <c r="E827" t="inlineStr">
        <is>
          <t>2026Q1</t>
        </is>
      </c>
      <c r="F827" s="2" t="n">
        <v>498200</v>
      </c>
      <c r="G827" t="n">
        <v>10.9</v>
      </c>
      <c r="H827" t="n">
        <v>36.5</v>
      </c>
      <c r="I827" s="2" t="n">
        <v>64400</v>
      </c>
      <c r="J827" t="n">
        <v>342.5</v>
      </c>
      <c r="K827" t="inlineStr"/>
      <c r="L827" s="2" t="n">
        <v>12200</v>
      </c>
      <c r="M827" t="inlineStr"/>
      <c r="N827" t="inlineStr">
        <is>
          <t>20260508800883</t>
        </is>
      </c>
      <c r="O827">
        <f>HYPERLINK("https://dart.fss.or.kr/dsaf001/main.do?rcpNo=20260508800883", "공시열람")</f>
        <v/>
      </c>
    </row>
    <row r="828">
      <c r="A828" t="inlineStr">
        <is>
          <t>2026-05-08</t>
        </is>
      </c>
      <c r="B828" t="inlineStr">
        <is>
          <t>네오팜</t>
        </is>
      </c>
      <c r="C828" t="inlineStr">
        <is>
          <t>092730</t>
        </is>
      </c>
      <c r="D828" t="inlineStr">
        <is>
          <t>별도</t>
        </is>
      </c>
      <c r="E828" t="inlineStr">
        <is>
          <t>2026Q1</t>
        </is>
      </c>
      <c r="F828" s="2" t="n">
        <v>36223</v>
      </c>
      <c r="G828" t="n">
        <v>-0.5</v>
      </c>
      <c r="H828" t="n">
        <v>14.6</v>
      </c>
      <c r="I828" s="2" t="n">
        <v>8704</v>
      </c>
      <c r="J828" t="n">
        <v>20.6</v>
      </c>
      <c r="K828" t="n">
        <v>11.9</v>
      </c>
      <c r="L828" s="2" t="n">
        <v>8624</v>
      </c>
      <c r="M828" t="n">
        <v>20.9</v>
      </c>
      <c r="N828" t="inlineStr">
        <is>
          <t>20260508900861</t>
        </is>
      </c>
      <c r="O828">
        <f>HYPERLINK("https://dart.fss.or.kr/dsaf001/main.do?rcpNo=20260508900861", "공시열람")</f>
        <v/>
      </c>
    </row>
    <row r="829">
      <c r="A829" t="inlineStr">
        <is>
          <t>2026-05-08</t>
        </is>
      </c>
      <c r="B829" t="inlineStr">
        <is>
          <t>펌텍코리아</t>
        </is>
      </c>
      <c r="C829" t="inlineStr">
        <is>
          <t>251970</t>
        </is>
      </c>
      <c r="D829" t="inlineStr">
        <is>
          <t>연결</t>
        </is>
      </c>
      <c r="E829" t="inlineStr">
        <is>
          <t>2026Q1</t>
        </is>
      </c>
      <c r="F829" s="2" t="n">
        <v>91754</v>
      </c>
      <c r="G829" t="n">
        <v>19</v>
      </c>
      <c r="H829" t="n">
        <v>0</v>
      </c>
      <c r="I829" s="2" t="n">
        <v>12963</v>
      </c>
      <c r="J829" t="n">
        <v>55.6</v>
      </c>
      <c r="K829" t="n">
        <v>-3.5</v>
      </c>
      <c r="L829" s="2" t="n">
        <v>18836</v>
      </c>
      <c r="M829" t="n">
        <v>63.9</v>
      </c>
      <c r="N829" t="inlineStr">
        <is>
          <t>20260508900709</t>
        </is>
      </c>
      <c r="O829">
        <f>HYPERLINK("https://dart.fss.or.kr/dsaf001/main.do?rcpNo=20260508900709", "공시열람")</f>
        <v/>
      </c>
    </row>
    <row r="830">
      <c r="A830" t="inlineStr">
        <is>
          <t>2026-05-08</t>
        </is>
      </c>
      <c r="B830" t="inlineStr">
        <is>
          <t>메가스터디교육</t>
        </is>
      </c>
      <c r="C830" t="inlineStr">
        <is>
          <t>215200</t>
        </is>
      </c>
      <c r="D830" t="inlineStr">
        <is>
          <t>연결</t>
        </is>
      </c>
      <c r="E830" t="inlineStr">
        <is>
          <t>2026Q1</t>
        </is>
      </c>
      <c r="F830" s="2" t="n">
        <v>236531</v>
      </c>
      <c r="G830" t="n">
        <v>20.33</v>
      </c>
      <c r="H830" t="n">
        <v>-0.48</v>
      </c>
      <c r="I830" s="2" t="n">
        <v>25984</v>
      </c>
      <c r="J830" t="n">
        <v>189.46</v>
      </c>
      <c r="K830" t="n">
        <v>-0.83</v>
      </c>
      <c r="L830" s="2" t="n">
        <v>22512</v>
      </c>
      <c r="M830" t="n">
        <v>8.1</v>
      </c>
      <c r="N830" t="inlineStr">
        <is>
          <t>20260508900816</t>
        </is>
      </c>
      <c r="O830">
        <f>HYPERLINK("https://dart.fss.or.kr/dsaf001/main.do?rcpNo=20260508900816", "공시열람")</f>
        <v/>
      </c>
    </row>
    <row r="831">
      <c r="A831" t="inlineStr">
        <is>
          <t>2026-05-08</t>
        </is>
      </c>
      <c r="B831" t="inlineStr">
        <is>
          <t>동원산업</t>
        </is>
      </c>
      <c r="C831" t="inlineStr">
        <is>
          <t>006040</t>
        </is>
      </c>
      <c r="D831" t="inlineStr">
        <is>
          <t>별도</t>
        </is>
      </c>
      <c r="E831" t="inlineStr">
        <is>
          <t>2026Q1</t>
        </is>
      </c>
      <c r="F831" s="2" t="n">
        <v>295752</v>
      </c>
      <c r="G831" t="n">
        <v>6.4</v>
      </c>
      <c r="H831" t="n">
        <v>-7.8</v>
      </c>
      <c r="I831" s="2" t="n">
        <v>66570</v>
      </c>
      <c r="J831" t="n">
        <v>283.2</v>
      </c>
      <c r="K831" t="n">
        <v>-35.7</v>
      </c>
      <c r="L831" s="2" t="n">
        <v>67018</v>
      </c>
      <c r="M831" t="n">
        <v>-24.1</v>
      </c>
      <c r="N831" t="inlineStr">
        <is>
          <t>20260508800783</t>
        </is>
      </c>
      <c r="O831">
        <f>HYPERLINK("https://dart.fss.or.kr/dsaf001/main.do?rcpNo=20260508800783", "공시열람")</f>
        <v/>
      </c>
    </row>
    <row r="832">
      <c r="A832" t="inlineStr">
        <is>
          <t>2026-05-08</t>
        </is>
      </c>
      <c r="B832" t="inlineStr">
        <is>
          <t>대신증권</t>
        </is>
      </c>
      <c r="C832" t="inlineStr">
        <is>
          <t>003540</t>
        </is>
      </c>
      <c r="D832" t="inlineStr">
        <is>
          <t>연결</t>
        </is>
      </c>
      <c r="E832" t="inlineStr">
        <is>
          <t>2026Q1</t>
        </is>
      </c>
      <c r="F832" s="2" t="n">
        <v>2401389</v>
      </c>
      <c r="G832" t="n">
        <v>34.1</v>
      </c>
      <c r="H832" t="n">
        <v>113.5</v>
      </c>
      <c r="I832" s="2" t="n">
        <v>102460</v>
      </c>
      <c r="J832" t="n">
        <v>92.5</v>
      </c>
      <c r="K832" t="n">
        <v>164.2</v>
      </c>
      <c r="L832" s="2" t="n">
        <v>145487</v>
      </c>
      <c r="M832" t="n">
        <v>89.3</v>
      </c>
      <c r="N832" t="inlineStr">
        <is>
          <t>20260508800766</t>
        </is>
      </c>
      <c r="O832">
        <f>HYPERLINK("https://dart.fss.or.kr/dsaf001/main.do?rcpNo=20260508800766", "공시열람")</f>
        <v/>
      </c>
    </row>
    <row r="833">
      <c r="A833" t="inlineStr">
        <is>
          <t>2026-05-08</t>
        </is>
      </c>
      <c r="B833" t="inlineStr">
        <is>
          <t>케이티스카이라이프</t>
        </is>
      </c>
      <c r="C833" t="inlineStr">
        <is>
          <t>053210</t>
        </is>
      </c>
      <c r="D833" t="inlineStr">
        <is>
          <t>별도</t>
        </is>
      </c>
      <c r="E833" t="inlineStr">
        <is>
          <t>2026Q1</t>
        </is>
      </c>
      <c r="F833" s="2" t="n">
        <v>173269</v>
      </c>
      <c r="G833" t="n">
        <v>1.3</v>
      </c>
      <c r="H833" t="n">
        <v>2.2</v>
      </c>
      <c r="I833" s="2" t="n">
        <v>7236</v>
      </c>
      <c r="J833" t="inlineStr"/>
      <c r="K833" t="n">
        <v>-45</v>
      </c>
      <c r="L833" s="2" t="n">
        <v>4067</v>
      </c>
      <c r="M833" t="n">
        <v>-56.2</v>
      </c>
      <c r="N833" t="inlineStr">
        <is>
          <t>20260508800039</t>
        </is>
      </c>
      <c r="O833">
        <f>HYPERLINK("https://dart.fss.or.kr/dsaf001/main.do?rcpNo=20260508800039", "공시열람")</f>
        <v/>
      </c>
    </row>
    <row r="834">
      <c r="A834" t="inlineStr">
        <is>
          <t>2026-05-08</t>
        </is>
      </c>
      <c r="B834" t="inlineStr">
        <is>
          <t>케이티스카이라이프</t>
        </is>
      </c>
      <c r="C834" t="inlineStr">
        <is>
          <t>053210</t>
        </is>
      </c>
      <c r="D834" t="inlineStr">
        <is>
          <t>연결</t>
        </is>
      </c>
      <c r="E834" t="inlineStr">
        <is>
          <t>2026Q1</t>
        </is>
      </c>
      <c r="F834" s="2" t="n">
        <v>238971</v>
      </c>
      <c r="G834" t="n">
        <v>-3.3</v>
      </c>
      <c r="H834" t="n">
        <v>-1.6</v>
      </c>
      <c r="I834" s="2" t="n">
        <v>5936</v>
      </c>
      <c r="J834" t="inlineStr"/>
      <c r="K834" t="n">
        <v>16.2</v>
      </c>
      <c r="L834" s="2" t="n">
        <v>312</v>
      </c>
      <c r="M834" t="n">
        <v>-80.8</v>
      </c>
      <c r="N834" t="inlineStr">
        <is>
          <t>20260508800048</t>
        </is>
      </c>
      <c r="O834">
        <f>HYPERLINK("https://dart.fss.or.kr/dsaf001/main.do?rcpNo=20260508800048", "공시열람")</f>
        <v/>
      </c>
    </row>
    <row r="835">
      <c r="A835" t="inlineStr">
        <is>
          <t>2026-05-08</t>
        </is>
      </c>
      <c r="B835" t="inlineStr">
        <is>
          <t>헥토이노베이션</t>
        </is>
      </c>
      <c r="C835" t="inlineStr">
        <is>
          <t>214180</t>
        </is>
      </c>
      <c r="D835" t="inlineStr">
        <is>
          <t>연결</t>
        </is>
      </c>
      <c r="E835" t="inlineStr">
        <is>
          <t>2026Q1</t>
        </is>
      </c>
      <c r="F835" s="2" t="n">
        <v>112315</v>
      </c>
      <c r="G835" t="n">
        <v>13.6</v>
      </c>
      <c r="H835" t="n">
        <v>25.4</v>
      </c>
      <c r="I835" s="2" t="n">
        <v>14561</v>
      </c>
      <c r="J835" t="n">
        <v>40.6</v>
      </c>
      <c r="K835" t="n">
        <v>24.1</v>
      </c>
      <c r="L835" s="2" t="n">
        <v>11194</v>
      </c>
      <c r="M835" t="n">
        <v>17.8</v>
      </c>
      <c r="N835" t="inlineStr">
        <is>
          <t>20260508900073</t>
        </is>
      </c>
      <c r="O835">
        <f>HYPERLINK("https://dart.fss.or.kr/dsaf001/main.do?rcpNo=20260508900073", "공시열람")</f>
        <v/>
      </c>
    </row>
    <row r="836">
      <c r="A836" t="inlineStr">
        <is>
          <t>2026-05-08</t>
        </is>
      </c>
      <c r="B836" t="inlineStr">
        <is>
          <t>한국콜마</t>
        </is>
      </c>
      <c r="C836" t="inlineStr">
        <is>
          <t>161890</t>
        </is>
      </c>
      <c r="D836" t="inlineStr">
        <is>
          <t>별도</t>
        </is>
      </c>
      <c r="E836" t="inlineStr">
        <is>
          <t>2026Q1</t>
        </is>
      </c>
      <c r="F836" s="2" t="n">
        <v>343047</v>
      </c>
      <c r="G836" t="n">
        <v>27.86</v>
      </c>
      <c r="H836" t="n">
        <v>25.05</v>
      </c>
      <c r="I836" s="2" t="n">
        <v>51234</v>
      </c>
      <c r="J836" t="n">
        <v>129.77</v>
      </c>
      <c r="K836" t="n">
        <v>51.18</v>
      </c>
      <c r="L836" s="2" t="n">
        <v>44722</v>
      </c>
      <c r="M836" t="n">
        <v>54.85</v>
      </c>
      <c r="N836" t="inlineStr">
        <is>
          <t>20260508800086</t>
        </is>
      </c>
      <c r="O836">
        <f>HYPERLINK("https://dart.fss.or.kr/dsaf001/main.do?rcpNo=20260508800086", "공시열람")</f>
        <v/>
      </c>
    </row>
    <row r="837">
      <c r="A837" t="inlineStr">
        <is>
          <t>2026-05-08</t>
        </is>
      </c>
      <c r="B837" t="inlineStr">
        <is>
          <t>한국콜마</t>
        </is>
      </c>
      <c r="C837" t="inlineStr">
        <is>
          <t>161890</t>
        </is>
      </c>
      <c r="D837" t="inlineStr">
        <is>
          <t>연결</t>
        </is>
      </c>
      <c r="E837" t="inlineStr">
        <is>
          <t>2026Q1</t>
        </is>
      </c>
      <c r="F837" s="2" t="n">
        <v>728036</v>
      </c>
      <c r="G837" t="n">
        <v>11.07</v>
      </c>
      <c r="H837" t="n">
        <v>11.48</v>
      </c>
      <c r="I837" s="2" t="n">
        <v>78886</v>
      </c>
      <c r="J837" t="n">
        <v>64.87</v>
      </c>
      <c r="K837" t="n">
        <v>31.61</v>
      </c>
      <c r="L837" s="2" t="n">
        <v>59954</v>
      </c>
      <c r="M837" t="n">
        <v>158.66</v>
      </c>
      <c r="N837" t="inlineStr">
        <is>
          <t>20260508800088</t>
        </is>
      </c>
      <c r="O837">
        <f>HYPERLINK("https://dart.fss.or.kr/dsaf001/main.do?rcpNo=20260508800088", "공시열람")</f>
        <v/>
      </c>
    </row>
    <row r="838">
      <c r="A838" t="inlineStr">
        <is>
          <t>2026-05-08</t>
        </is>
      </c>
      <c r="B838" t="inlineStr">
        <is>
          <t>코웨이</t>
        </is>
      </c>
      <c r="C838" t="inlineStr">
        <is>
          <t>021240</t>
        </is>
      </c>
      <c r="D838" t="inlineStr">
        <is>
          <t>연결</t>
        </is>
      </c>
      <c r="E838" t="inlineStr">
        <is>
          <t>2026Q1</t>
        </is>
      </c>
      <c r="F838" s="2" t="n">
        <v>1329735</v>
      </c>
      <c r="G838" t="n">
        <v>4.3</v>
      </c>
      <c r="H838" t="n">
        <v>13.2</v>
      </c>
      <c r="I838" s="2" t="n">
        <v>250935</v>
      </c>
      <c r="J838" t="n">
        <v>38.2</v>
      </c>
      <c r="K838" t="n">
        <v>18.8</v>
      </c>
      <c r="L838" s="2" t="n">
        <v>182015</v>
      </c>
      <c r="M838" t="n">
        <v>31.1</v>
      </c>
      <c r="N838" t="inlineStr">
        <is>
          <t>20260508800129</t>
        </is>
      </c>
      <c r="O838">
        <f>HYPERLINK("https://dart.fss.or.kr/dsaf001/main.do?rcpNo=20260508800129", "공시열람")</f>
        <v/>
      </c>
    </row>
    <row r="839">
      <c r="A839" t="inlineStr">
        <is>
          <t>2026-05-08</t>
        </is>
      </c>
      <c r="B839" t="inlineStr">
        <is>
          <t>한라IMS</t>
        </is>
      </c>
      <c r="C839" t="inlineStr">
        <is>
          <t>092460</t>
        </is>
      </c>
      <c r="D839" t="inlineStr">
        <is>
          <t>연결</t>
        </is>
      </c>
      <c r="E839" t="inlineStr">
        <is>
          <t>2026Q1</t>
        </is>
      </c>
      <c r="F839" s="2" t="n">
        <v>39357</v>
      </c>
      <c r="G839" t="n">
        <v>-0.6</v>
      </c>
      <c r="H839" t="n">
        <v>48.2</v>
      </c>
      <c r="I839" s="2" t="n">
        <v>5518</v>
      </c>
      <c r="J839" t="n">
        <v>-0.4</v>
      </c>
      <c r="K839" t="n">
        <v>7.6</v>
      </c>
      <c r="L839" s="2" t="n">
        <v>6680</v>
      </c>
      <c r="M839" t="n">
        <v>17.7</v>
      </c>
      <c r="N839" t="inlineStr">
        <is>
          <t>20260508900318</t>
        </is>
      </c>
      <c r="O839">
        <f>HYPERLINK("https://dart.fss.or.kr/dsaf001/main.do?rcpNo=20260508900318", "공시열람")</f>
        <v/>
      </c>
    </row>
    <row r="840">
      <c r="A840" t="inlineStr">
        <is>
          <t>2026-05-08</t>
        </is>
      </c>
      <c r="B840" t="inlineStr">
        <is>
          <t>더즌</t>
        </is>
      </c>
      <c r="C840" t="inlineStr">
        <is>
          <t>462860</t>
        </is>
      </c>
      <c r="D840" t="inlineStr">
        <is>
          <t>별도</t>
        </is>
      </c>
      <c r="E840" t="inlineStr">
        <is>
          <t>2026Q1</t>
        </is>
      </c>
      <c r="F840" s="2" t="n">
        <v>15685</v>
      </c>
      <c r="G840" t="n">
        <v>5.4</v>
      </c>
      <c r="H840" t="n">
        <v>1.9</v>
      </c>
      <c r="I840" s="2" t="n">
        <v>4239</v>
      </c>
      <c r="J840" t="n">
        <v>-3</v>
      </c>
      <c r="K840" t="n">
        <v>50.6</v>
      </c>
      <c r="L840" s="2" t="n">
        <v>3836</v>
      </c>
      <c r="M840" t="n">
        <v>43.6</v>
      </c>
      <c r="N840" t="inlineStr">
        <is>
          <t>20260508900123</t>
        </is>
      </c>
      <c r="O840">
        <f>HYPERLINK("https://dart.fss.or.kr/dsaf001/main.do?rcpNo=20260508900123", "공시열람")</f>
        <v/>
      </c>
    </row>
    <row r="841">
      <c r="A841" t="inlineStr">
        <is>
          <t>2026-05-08</t>
        </is>
      </c>
      <c r="B841" t="inlineStr">
        <is>
          <t>더즌</t>
        </is>
      </c>
      <c r="C841" t="inlineStr">
        <is>
          <t>462860</t>
        </is>
      </c>
      <c r="D841" t="inlineStr">
        <is>
          <t>연결</t>
        </is>
      </c>
      <c r="E841" t="inlineStr">
        <is>
          <t>2026Q1</t>
        </is>
      </c>
      <c r="F841" s="2" t="n">
        <v>15685</v>
      </c>
      <c r="G841" t="n">
        <v>5.5</v>
      </c>
      <c r="H841" t="n">
        <v>1.9</v>
      </c>
      <c r="I841" s="2" t="n">
        <v>3896</v>
      </c>
      <c r="J841" t="n">
        <v>-1.2</v>
      </c>
      <c r="K841" t="n">
        <v>49.4</v>
      </c>
      <c r="L841" s="2" t="n">
        <v>3066</v>
      </c>
      <c r="M841" t="n">
        <v>28</v>
      </c>
      <c r="N841" t="inlineStr">
        <is>
          <t>20260508900120</t>
        </is>
      </c>
      <c r="O841">
        <f>HYPERLINK("https://dart.fss.or.kr/dsaf001/main.do?rcpNo=20260508900120", "공시열람")</f>
        <v/>
      </c>
    </row>
    <row r="842">
      <c r="A842" t="inlineStr">
        <is>
          <t>2026-05-08</t>
        </is>
      </c>
      <c r="B842" t="inlineStr">
        <is>
          <t>롯데렌탈</t>
        </is>
      </c>
      <c r="C842" t="inlineStr">
        <is>
          <t>089860</t>
        </is>
      </c>
      <c r="D842" t="inlineStr">
        <is>
          <t>연결</t>
        </is>
      </c>
      <c r="E842" t="inlineStr">
        <is>
          <t>2026Q1</t>
        </is>
      </c>
      <c r="F842" s="2" t="n">
        <v>730925</v>
      </c>
      <c r="G842" t="n">
        <v>0.6</v>
      </c>
      <c r="H842" t="n">
        <v>6.6</v>
      </c>
      <c r="I842" s="2" t="n">
        <v>83626</v>
      </c>
      <c r="J842" t="n">
        <v>5.4</v>
      </c>
      <c r="K842" t="n">
        <v>24.8</v>
      </c>
      <c r="L842" s="2" t="n">
        <v>30312</v>
      </c>
      <c r="M842" t="n">
        <v>1.6</v>
      </c>
      <c r="N842" t="inlineStr">
        <is>
          <t>20260508800156</t>
        </is>
      </c>
      <c r="O842">
        <f>HYPERLINK("https://dart.fss.or.kr/dsaf001/main.do?rcpNo=20260508800156", "공시열람")</f>
        <v/>
      </c>
    </row>
    <row r="843">
      <c r="A843" t="inlineStr">
        <is>
          <t>2026-05-08</t>
        </is>
      </c>
      <c r="B843" t="inlineStr">
        <is>
          <t>하이록코리아</t>
        </is>
      </c>
      <c r="C843" t="inlineStr">
        <is>
          <t>013030</t>
        </is>
      </c>
      <c r="D843" t="inlineStr">
        <is>
          <t>연결</t>
        </is>
      </c>
      <c r="E843" t="inlineStr">
        <is>
          <t>2026Q1</t>
        </is>
      </c>
      <c r="F843" s="2" t="n">
        <v>54146</v>
      </c>
      <c r="G843" t="n">
        <v>-5.6</v>
      </c>
      <c r="H843" t="n">
        <v>10.4</v>
      </c>
      <c r="I843" s="2" t="n">
        <v>15686</v>
      </c>
      <c r="J843" t="n">
        <v>0.7</v>
      </c>
      <c r="K843" t="n">
        <v>23.5</v>
      </c>
      <c r="L843" s="2" t="n">
        <v>15263</v>
      </c>
      <c r="M843" t="n">
        <v>32.2</v>
      </c>
      <c r="N843" t="inlineStr">
        <is>
          <t>20260508900197</t>
        </is>
      </c>
      <c r="O843">
        <f>HYPERLINK("https://dart.fss.or.kr/dsaf001/main.do?rcpNo=20260508900197", "공시열람")</f>
        <v/>
      </c>
    </row>
    <row r="844">
      <c r="A844" t="inlineStr">
        <is>
          <t>2026-05-08</t>
        </is>
      </c>
      <c r="B844" t="inlineStr">
        <is>
          <t>코텍</t>
        </is>
      </c>
      <c r="C844" t="inlineStr">
        <is>
          <t>052330</t>
        </is>
      </c>
      <c r="D844" t="inlineStr">
        <is>
          <t>연결</t>
        </is>
      </c>
      <c r="E844" t="inlineStr">
        <is>
          <t>2026Q1</t>
        </is>
      </c>
      <c r="F844" s="2" t="n">
        <v>116827</v>
      </c>
      <c r="G844" t="n">
        <v>3.9</v>
      </c>
      <c r="H844" t="n">
        <v>38.5</v>
      </c>
      <c r="I844" s="2" t="n">
        <v>15425</v>
      </c>
      <c r="J844" t="n">
        <v>26.5</v>
      </c>
      <c r="K844" t="n">
        <v>44.5</v>
      </c>
      <c r="L844" s="2" t="n">
        <v>15725</v>
      </c>
      <c r="M844" t="n">
        <v>75.59999999999999</v>
      </c>
      <c r="N844" t="inlineStr">
        <is>
          <t>20260508900188</t>
        </is>
      </c>
      <c r="O844">
        <f>HYPERLINK("https://dart.fss.or.kr/dsaf001/main.do?rcpNo=20260508900188", "공시열람")</f>
        <v/>
      </c>
    </row>
    <row r="845">
      <c r="A845" t="inlineStr">
        <is>
          <t>2026-05-08</t>
        </is>
      </c>
      <c r="B845" t="inlineStr">
        <is>
          <t>코렌텍</t>
        </is>
      </c>
      <c r="C845" t="inlineStr">
        <is>
          <t>104540</t>
        </is>
      </c>
      <c r="D845" t="inlineStr">
        <is>
          <t>연결</t>
        </is>
      </c>
      <c r="E845" t="inlineStr">
        <is>
          <t>2026Q1</t>
        </is>
      </c>
      <c r="F845" s="2" t="n">
        <v>24576</v>
      </c>
      <c r="G845" t="n">
        <v>-14.1</v>
      </c>
      <c r="H845" t="n">
        <v>8.6</v>
      </c>
      <c r="I845" s="2" t="n">
        <v>886</v>
      </c>
      <c r="J845" t="n">
        <v>-71.3</v>
      </c>
      <c r="K845" t="n">
        <v>-15.1</v>
      </c>
      <c r="L845" s="2" t="n">
        <v>1331</v>
      </c>
      <c r="M845" t="n">
        <v>-50.8</v>
      </c>
      <c r="N845" t="inlineStr">
        <is>
          <t>20260508900221</t>
        </is>
      </c>
      <c r="O845">
        <f>HYPERLINK("https://dart.fss.or.kr/dsaf001/main.do?rcpNo=20260508900221", "공시열람")</f>
        <v/>
      </c>
    </row>
    <row r="846">
      <c r="A846" t="inlineStr">
        <is>
          <t>2026-05-08</t>
        </is>
      </c>
      <c r="B846" t="inlineStr">
        <is>
          <t>성광벤드</t>
        </is>
      </c>
      <c r="C846" t="inlineStr">
        <is>
          <t>014620</t>
        </is>
      </c>
      <c r="D846" t="inlineStr">
        <is>
          <t>연결</t>
        </is>
      </c>
      <c r="E846" t="inlineStr">
        <is>
          <t>2026Q1</t>
        </is>
      </c>
      <c r="F846" s="2" t="n">
        <v>59137</v>
      </c>
      <c r="G846" t="n">
        <v>-0.3</v>
      </c>
      <c r="H846" t="n">
        <v>-7.2</v>
      </c>
      <c r="I846" s="2" t="n">
        <v>6569</v>
      </c>
      <c r="J846" t="n">
        <v>-24.6</v>
      </c>
      <c r="K846" t="n">
        <v>-38.9</v>
      </c>
      <c r="L846" s="2" t="n">
        <v>8427</v>
      </c>
      <c r="M846" t="n">
        <v>-8.199999999999999</v>
      </c>
      <c r="N846" t="inlineStr">
        <is>
          <t>20260508900194</t>
        </is>
      </c>
      <c r="O846">
        <f>HYPERLINK("https://dart.fss.or.kr/dsaf001/main.do?rcpNo=20260508900194", "공시열람")</f>
        <v/>
      </c>
    </row>
    <row r="847">
      <c r="A847" t="inlineStr">
        <is>
          <t>2026-05-08</t>
        </is>
      </c>
      <c r="B847" t="inlineStr">
        <is>
          <t>파마리서치</t>
        </is>
      </c>
      <c r="C847" t="inlineStr">
        <is>
          <t>214450</t>
        </is>
      </c>
      <c r="D847" t="inlineStr">
        <is>
          <t>연결</t>
        </is>
      </c>
      <c r="E847" t="inlineStr">
        <is>
          <t>2026Q1</t>
        </is>
      </c>
      <c r="F847" s="2" t="n">
        <v>146100</v>
      </c>
      <c r="G847" t="n">
        <v>1.9</v>
      </c>
      <c r="H847" t="n">
        <v>25</v>
      </c>
      <c r="I847" s="2" t="n">
        <v>57292</v>
      </c>
      <c r="J847" t="n">
        <v>10.4</v>
      </c>
      <c r="K847" t="n">
        <v>28.1</v>
      </c>
      <c r="L847" s="2" t="n">
        <v>48748</v>
      </c>
      <c r="M847" t="n">
        <v>35.3</v>
      </c>
      <c r="N847" t="inlineStr">
        <is>
          <t>20260508900237</t>
        </is>
      </c>
      <c r="O847">
        <f>HYPERLINK("https://dart.fss.or.kr/dsaf001/main.do?rcpNo=20260508900237", "공시열람")</f>
        <v/>
      </c>
    </row>
    <row r="848">
      <c r="A848" t="inlineStr">
        <is>
          <t>2026-05-08</t>
        </is>
      </c>
      <c r="B848" t="inlineStr">
        <is>
          <t>와이지엔터테인먼트</t>
        </is>
      </c>
      <c r="C848" t="inlineStr">
        <is>
          <t>122870</t>
        </is>
      </c>
      <c r="D848" t="inlineStr">
        <is>
          <t>연결</t>
        </is>
      </c>
      <c r="E848" t="inlineStr">
        <is>
          <t>2026Q1</t>
        </is>
      </c>
      <c r="F848" s="2" t="n">
        <v>147119</v>
      </c>
      <c r="G848" t="n">
        <v>-14.3</v>
      </c>
      <c r="H848" t="n">
        <v>46.9</v>
      </c>
      <c r="I848" s="2" t="n">
        <v>19418</v>
      </c>
      <c r="J848" t="n">
        <v>-13.1</v>
      </c>
      <c r="K848" t="n">
        <v>103.9</v>
      </c>
      <c r="L848" s="2" t="n">
        <v>9763</v>
      </c>
      <c r="M848" t="n">
        <v>-4.6</v>
      </c>
      <c r="N848" t="inlineStr">
        <is>
          <t>20260508900242</t>
        </is>
      </c>
      <c r="O848">
        <f>HYPERLINK("https://dart.fss.or.kr/dsaf001/main.do?rcpNo=20260508900242", "공시열람")</f>
        <v/>
      </c>
    </row>
    <row r="849">
      <c r="A849" t="inlineStr">
        <is>
          <t>2026-05-08</t>
        </is>
      </c>
      <c r="B849" t="inlineStr">
        <is>
          <t>지역난방공사</t>
        </is>
      </c>
      <c r="C849" t="inlineStr">
        <is>
          <t>071320</t>
        </is>
      </c>
      <c r="D849" t="inlineStr">
        <is>
          <t>연결</t>
        </is>
      </c>
      <c r="E849" t="inlineStr">
        <is>
          <t>2026Q1</t>
        </is>
      </c>
      <c r="F849" s="2" t="n">
        <v>1434112</v>
      </c>
      <c r="G849" t="n">
        <v>37.9</v>
      </c>
      <c r="H849" t="n">
        <v>-9.1</v>
      </c>
      <c r="I849" s="2" t="n">
        <v>320153</v>
      </c>
      <c r="J849" t="n">
        <v>154</v>
      </c>
      <c r="K849" t="n">
        <v>-1.1</v>
      </c>
      <c r="L849" s="2" t="n">
        <v>216313</v>
      </c>
      <c r="M849" t="n">
        <v>-7.4</v>
      </c>
      <c r="N849" t="inlineStr">
        <is>
          <t>20260508800271</t>
        </is>
      </c>
      <c r="O849">
        <f>HYPERLINK("https://dart.fss.or.kr/dsaf001/main.do?rcpNo=20260508800271", "공시열람")</f>
        <v/>
      </c>
    </row>
    <row r="850">
      <c r="A850" t="inlineStr">
        <is>
          <t>2026-05-08</t>
        </is>
      </c>
      <c r="B850" t="inlineStr">
        <is>
          <t>티비에이치글로벌</t>
        </is>
      </c>
      <c r="C850" t="inlineStr">
        <is>
          <t>084870</t>
        </is>
      </c>
      <c r="D850" t="inlineStr">
        <is>
          <t>연결</t>
        </is>
      </c>
      <c r="E850" t="inlineStr">
        <is>
          <t>2026Q1</t>
        </is>
      </c>
      <c r="F850" s="2" t="n">
        <v>47289</v>
      </c>
      <c r="G850" t="n">
        <v>-19.3</v>
      </c>
      <c r="H850" t="n">
        <v>16.9</v>
      </c>
      <c r="I850" s="2" t="n">
        <v>-910</v>
      </c>
      <c r="J850" t="inlineStr"/>
      <c r="K850" t="n">
        <v>67.3</v>
      </c>
      <c r="L850" s="2" t="n">
        <v>-2430</v>
      </c>
      <c r="M850" t="n">
        <v>9.199999999999999</v>
      </c>
      <c r="N850" t="inlineStr">
        <is>
          <t>20260508800278</t>
        </is>
      </c>
      <c r="O850">
        <f>HYPERLINK("https://dart.fss.or.kr/dsaf001/main.do?rcpNo=20260508800278", "공시열람")</f>
        <v/>
      </c>
    </row>
    <row r="851">
      <c r="A851" t="inlineStr">
        <is>
          <t>2026-05-08</t>
        </is>
      </c>
      <c r="B851" t="inlineStr">
        <is>
          <t>알테오젠</t>
        </is>
      </c>
      <c r="C851" t="inlineStr">
        <is>
          <t>196170</t>
        </is>
      </c>
      <c r="D851" t="inlineStr">
        <is>
          <t>연결</t>
        </is>
      </c>
      <c r="E851" t="inlineStr">
        <is>
          <t>2026Q1</t>
        </is>
      </c>
      <c r="F851" s="2" t="n">
        <v>71599</v>
      </c>
      <c r="G851" t="n">
        <v>11</v>
      </c>
      <c r="H851" t="n">
        <v>-14.5</v>
      </c>
      <c r="I851" s="2" t="n">
        <v>39301</v>
      </c>
      <c r="J851" t="n">
        <v>100.1</v>
      </c>
      <c r="K851" t="n">
        <v>-35.6</v>
      </c>
      <c r="L851" s="2" t="n">
        <v>71344</v>
      </c>
      <c r="M851" t="n">
        <v>-14.1</v>
      </c>
      <c r="N851" t="inlineStr">
        <is>
          <t>20260508900289</t>
        </is>
      </c>
      <c r="O851">
        <f>HYPERLINK("https://dart.fss.or.kr/dsaf001/main.do?rcpNo=20260508900289", "공시열람")</f>
        <v/>
      </c>
    </row>
    <row r="852">
      <c r="A852" t="inlineStr">
        <is>
          <t>2026-05-08</t>
        </is>
      </c>
      <c r="B852" t="inlineStr">
        <is>
          <t>아진전자부품</t>
        </is>
      </c>
      <c r="C852" t="inlineStr">
        <is>
          <t>009320</t>
        </is>
      </c>
      <c r="D852" t="inlineStr">
        <is>
          <t>별도</t>
        </is>
      </c>
      <c r="E852" t="inlineStr">
        <is>
          <t>2026Q1</t>
        </is>
      </c>
      <c r="F852" s="2" t="n">
        <v>36554</v>
      </c>
      <c r="G852" t="n">
        <v>1.8</v>
      </c>
      <c r="H852" t="n">
        <v>7.6</v>
      </c>
      <c r="I852" s="2" t="n">
        <v>912</v>
      </c>
      <c r="J852" t="n">
        <v>-10.2</v>
      </c>
      <c r="K852" t="n">
        <v>8.1</v>
      </c>
      <c r="L852" s="2" t="n">
        <v>438</v>
      </c>
      <c r="M852" t="n">
        <v>-47</v>
      </c>
      <c r="N852" t="inlineStr">
        <is>
          <t>20260508800312</t>
        </is>
      </c>
      <c r="O852">
        <f>HYPERLINK("https://dart.fss.or.kr/dsaf001/main.do?rcpNo=20260508800312", "공시열람")</f>
        <v/>
      </c>
    </row>
    <row r="853">
      <c r="A853" t="inlineStr">
        <is>
          <t>2026-05-08</t>
        </is>
      </c>
      <c r="B853" t="inlineStr">
        <is>
          <t>잉글우드랩</t>
        </is>
      </c>
      <c r="C853" t="inlineStr">
        <is>
          <t>950140</t>
        </is>
      </c>
      <c r="D853" t="inlineStr">
        <is>
          <t>연결</t>
        </is>
      </c>
      <c r="E853" t="inlineStr">
        <is>
          <t>2026Q1</t>
        </is>
      </c>
      <c r="F853" s="2" t="n">
        <v>49739</v>
      </c>
      <c r="G853" t="n">
        <v>-8.800000000000001</v>
      </c>
      <c r="H853" t="n">
        <v>16.9</v>
      </c>
      <c r="I853" s="2" t="n">
        <v>5603</v>
      </c>
      <c r="J853" t="n">
        <v>-39.7</v>
      </c>
      <c r="K853" t="n">
        <v>22.5</v>
      </c>
      <c r="L853" s="2" t="n">
        <v>7064</v>
      </c>
      <c r="M853" t="n">
        <v>117.7</v>
      </c>
      <c r="N853" t="inlineStr">
        <is>
          <t>20260508900642</t>
        </is>
      </c>
      <c r="O853">
        <f>HYPERLINK("https://dart.fss.or.kr/dsaf001/main.do?rcpNo=20260508900642", "공시열람")</f>
        <v/>
      </c>
    </row>
    <row r="854">
      <c r="A854" t="inlineStr">
        <is>
          <t>2026-05-07</t>
        </is>
      </c>
      <c r="B854" t="inlineStr">
        <is>
          <t>케이씨씨글라스</t>
        </is>
      </c>
      <c r="C854" t="inlineStr">
        <is>
          <t>344820</t>
        </is>
      </c>
      <c r="D854" t="inlineStr">
        <is>
          <t>연결</t>
        </is>
      </c>
      <c r="E854" t="inlineStr">
        <is>
          <t>2026Q1</t>
        </is>
      </c>
      <c r="F854" s="2" t="n">
        <v>466638</v>
      </c>
      <c r="G854" t="n">
        <v>1.9</v>
      </c>
      <c r="H854" t="n">
        <v>4</v>
      </c>
      <c r="I854" s="2" t="n">
        <v>-10085</v>
      </c>
      <c r="J854" t="n">
        <v>49.4</v>
      </c>
      <c r="K854" t="n">
        <v>-79.3</v>
      </c>
      <c r="L854" s="2" t="n">
        <v>-7089</v>
      </c>
      <c r="M854" t="n">
        <v>36.8</v>
      </c>
      <c r="N854" t="inlineStr">
        <is>
          <t>20260507800748</t>
        </is>
      </c>
      <c r="O854">
        <f>HYPERLINK("https://dart.fss.or.kr/dsaf001/main.do?rcpNo=20260507800748", "공시열람")</f>
        <v/>
      </c>
    </row>
    <row r="855">
      <c r="A855" t="inlineStr">
        <is>
          <t>2026-05-07</t>
        </is>
      </c>
      <c r="B855" t="inlineStr">
        <is>
          <t>롯데하이마트</t>
        </is>
      </c>
      <c r="C855" t="inlineStr">
        <is>
          <t>071840</t>
        </is>
      </c>
      <c r="D855" t="inlineStr">
        <is>
          <t>별도</t>
        </is>
      </c>
      <c r="E855" t="inlineStr">
        <is>
          <t>2026Q1</t>
        </is>
      </c>
      <c r="F855" s="2" t="n">
        <v>496908</v>
      </c>
      <c r="G855" t="n">
        <v>-5.2</v>
      </c>
      <c r="H855" t="n">
        <v>-6.1</v>
      </c>
      <c r="I855" s="2" t="n">
        <v>-14780</v>
      </c>
      <c r="J855" t="n">
        <v>-69.09999999999999</v>
      </c>
      <c r="K855" t="n">
        <v>-33.6</v>
      </c>
      <c r="L855" s="2" t="n">
        <v>-20403</v>
      </c>
      <c r="M855" t="n">
        <v>-47.9</v>
      </c>
      <c r="N855" t="inlineStr">
        <is>
          <t>20260507800140</t>
        </is>
      </c>
      <c r="O855">
        <f>HYPERLINK("https://dart.fss.or.kr/dsaf001/main.do?rcpNo=20260507800140", "공시열람")</f>
        <v/>
      </c>
    </row>
    <row r="856">
      <c r="A856" t="inlineStr">
        <is>
          <t>2026-05-07</t>
        </is>
      </c>
      <c r="B856" t="inlineStr">
        <is>
          <t>넥써쓰</t>
        </is>
      </c>
      <c r="C856" t="inlineStr">
        <is>
          <t>205500</t>
        </is>
      </c>
      <c r="D856" t="inlineStr">
        <is>
          <t>연결</t>
        </is>
      </c>
      <c r="E856" t="inlineStr">
        <is>
          <t>2026Q1</t>
        </is>
      </c>
      <c r="F856" s="2" t="n">
        <v>11616</v>
      </c>
      <c r="G856" t="n">
        <v>0.1</v>
      </c>
      <c r="H856" t="n">
        <v>76</v>
      </c>
      <c r="I856" s="2" t="n">
        <v>132</v>
      </c>
      <c r="J856" t="n">
        <v>-76</v>
      </c>
      <c r="K856" t="n">
        <v>-47.6</v>
      </c>
      <c r="L856" s="2" t="n">
        <v>-3040</v>
      </c>
      <c r="M856" t="n">
        <v>-483.4</v>
      </c>
      <c r="N856" t="inlineStr">
        <is>
          <t>20260507900420</t>
        </is>
      </c>
      <c r="O856">
        <f>HYPERLINK("https://dart.fss.or.kr/dsaf001/main.do?rcpNo=20260507900420", "공시열람")</f>
        <v/>
      </c>
    </row>
    <row r="857">
      <c r="A857" t="inlineStr">
        <is>
          <t>2026-05-07</t>
        </is>
      </c>
      <c r="B857" t="inlineStr">
        <is>
          <t>동진쎄미켐</t>
        </is>
      </c>
      <c r="C857" t="inlineStr">
        <is>
          <t>005290</t>
        </is>
      </c>
      <c r="D857" t="inlineStr">
        <is>
          <t>연결</t>
        </is>
      </c>
      <c r="E857" t="inlineStr">
        <is>
          <t>2026Q1</t>
        </is>
      </c>
      <c r="F857" s="2" t="n">
        <v>328086</v>
      </c>
      <c r="G857" t="n">
        <v>6.1</v>
      </c>
      <c r="H857" t="n">
        <v>13.2</v>
      </c>
      <c r="I857" s="2" t="n">
        <v>66593</v>
      </c>
      <c r="J857" t="n">
        <v>60</v>
      </c>
      <c r="K857" t="n">
        <v>39.4</v>
      </c>
      <c r="L857" s="2" t="n">
        <v>66899</v>
      </c>
      <c r="M857" t="n">
        <v>85.2</v>
      </c>
      <c r="N857" t="inlineStr">
        <is>
          <t>20260507900214</t>
        </is>
      </c>
      <c r="O857">
        <f>HYPERLINK("https://dart.fss.or.kr/dsaf001/main.do?rcpNo=20260507900214", "공시열람")</f>
        <v/>
      </c>
    </row>
    <row r="858">
      <c r="A858" t="inlineStr">
        <is>
          <t>2026-05-07</t>
        </is>
      </c>
      <c r="B858" t="inlineStr">
        <is>
          <t>케이엔더블유</t>
        </is>
      </c>
      <c r="C858" t="inlineStr">
        <is>
          <t>105330</t>
        </is>
      </c>
      <c r="D858" t="inlineStr">
        <is>
          <t>연결</t>
        </is>
      </c>
      <c r="E858" t="inlineStr">
        <is>
          <t>2026Q1</t>
        </is>
      </c>
      <c r="F858" s="2" t="n">
        <v>16628</v>
      </c>
      <c r="G858" t="n">
        <v>-22.25</v>
      </c>
      <c r="H858" t="n">
        <v>-15.14</v>
      </c>
      <c r="I858" s="2" t="n">
        <v>-1122</v>
      </c>
      <c r="J858" t="n">
        <v>-26.16</v>
      </c>
      <c r="K858" t="n">
        <v>-4.97</v>
      </c>
      <c r="L858" s="2" t="n">
        <v>-1513</v>
      </c>
      <c r="M858" t="n">
        <v>-7.79</v>
      </c>
      <c r="N858" t="inlineStr">
        <is>
          <t>20260507900183</t>
        </is>
      </c>
      <c r="O858">
        <f>HYPERLINK("https://dart.fss.or.kr/dsaf001/main.do?rcpNo=20260507900183", "공시열람")</f>
        <v/>
      </c>
    </row>
    <row r="859">
      <c r="A859" t="inlineStr">
        <is>
          <t>2026-05-07</t>
        </is>
      </c>
      <c r="B859" t="inlineStr">
        <is>
          <t>헥토파이낸셜</t>
        </is>
      </c>
      <c r="C859" t="inlineStr">
        <is>
          <t>234340</t>
        </is>
      </c>
      <c r="D859" t="inlineStr">
        <is>
          <t>연결</t>
        </is>
      </c>
      <c r="E859" t="inlineStr">
        <is>
          <t>2026Q1</t>
        </is>
      </c>
      <c r="F859" s="2" t="n">
        <v>57471</v>
      </c>
      <c r="G859" t="n">
        <v>12.3</v>
      </c>
      <c r="H859" t="n">
        <v>25</v>
      </c>
      <c r="I859" s="2" t="n">
        <v>9137</v>
      </c>
      <c r="J859" t="n">
        <v>156.2</v>
      </c>
      <c r="K859" t="n">
        <v>149.8</v>
      </c>
      <c r="L859" s="2" t="n">
        <v>6816</v>
      </c>
      <c r="M859" t="n">
        <v>110.9</v>
      </c>
      <c r="N859" t="inlineStr">
        <is>
          <t>20260507900193</t>
        </is>
      </c>
      <c r="O859">
        <f>HYPERLINK("https://dart.fss.or.kr/dsaf001/main.do?rcpNo=20260507900193", "공시열람")</f>
        <v/>
      </c>
    </row>
    <row r="860">
      <c r="A860" t="inlineStr">
        <is>
          <t>2026-05-07</t>
        </is>
      </c>
      <c r="B860" t="inlineStr">
        <is>
          <t>헥토파이낸셜</t>
        </is>
      </c>
      <c r="C860" t="inlineStr">
        <is>
          <t>234340</t>
        </is>
      </c>
      <c r="D860" t="inlineStr">
        <is>
          <t>별도</t>
        </is>
      </c>
      <c r="E860" t="inlineStr">
        <is>
          <t>2026Q1</t>
        </is>
      </c>
      <c r="F860" s="2" t="n">
        <v>51229</v>
      </c>
      <c r="G860" t="n">
        <v>14.8</v>
      </c>
      <c r="H860" t="n">
        <v>25.1</v>
      </c>
      <c r="I860" s="2" t="n">
        <v>10099</v>
      </c>
      <c r="J860" t="n">
        <v>116.3</v>
      </c>
      <c r="K860" t="n">
        <v>129.3</v>
      </c>
      <c r="L860" s="2" t="n">
        <v>7961</v>
      </c>
      <c r="M860" t="n">
        <v>94</v>
      </c>
      <c r="N860" t="inlineStr">
        <is>
          <t>20260507900188</t>
        </is>
      </c>
      <c r="O860">
        <f>HYPERLINK("https://dart.fss.or.kr/dsaf001/main.do?rcpNo=20260507900188", "공시열람")</f>
        <v/>
      </c>
    </row>
    <row r="861">
      <c r="A861" t="inlineStr">
        <is>
          <t>2026-05-07</t>
        </is>
      </c>
      <c r="B861" t="inlineStr">
        <is>
          <t>LG헬로비전</t>
        </is>
      </c>
      <c r="C861" t="inlineStr">
        <is>
          <t>037560</t>
        </is>
      </c>
      <c r="D861" t="inlineStr">
        <is>
          <t>연결</t>
        </is>
      </c>
      <c r="E861" t="inlineStr">
        <is>
          <t>2026Q1</t>
        </is>
      </c>
      <c r="F861" s="2" t="n">
        <v>255386</v>
      </c>
      <c r="G861" t="n">
        <v>-14.7</v>
      </c>
      <c r="H861" t="n">
        <v>-18.5</v>
      </c>
      <c r="I861" s="2" t="n">
        <v>5096</v>
      </c>
      <c r="J861" t="inlineStr"/>
      <c r="K861" t="n">
        <v>-28.4</v>
      </c>
      <c r="L861" s="2" t="n">
        <v>3021</v>
      </c>
      <c r="M861" t="n">
        <v>1.5</v>
      </c>
      <c r="N861" t="inlineStr">
        <is>
          <t>20260507800190</t>
        </is>
      </c>
      <c r="O861">
        <f>HYPERLINK("https://dart.fss.or.kr/dsaf001/main.do?rcpNo=20260507800190", "공시열람")</f>
        <v/>
      </c>
    </row>
    <row r="862">
      <c r="A862" t="inlineStr">
        <is>
          <t>2026-05-07</t>
        </is>
      </c>
      <c r="B862" t="inlineStr">
        <is>
          <t>디지털대성</t>
        </is>
      </c>
      <c r="C862" t="inlineStr">
        <is>
          <t>068930</t>
        </is>
      </c>
      <c r="D862" t="inlineStr">
        <is>
          <t>연결</t>
        </is>
      </c>
      <c r="E862" t="inlineStr">
        <is>
          <t>2026Q1</t>
        </is>
      </c>
      <c r="F862" s="2" t="n">
        <v>69787</v>
      </c>
      <c r="G862" t="n">
        <v>29.47</v>
      </c>
      <c r="H862" t="n">
        <v>15.56</v>
      </c>
      <c r="I862" s="2" t="n">
        <v>10160</v>
      </c>
      <c r="J862" t="inlineStr"/>
      <c r="K862" t="n">
        <v>95.91</v>
      </c>
      <c r="L862" s="2" t="n">
        <v>7119</v>
      </c>
      <c r="M862" t="n">
        <v>206.19</v>
      </c>
      <c r="N862" t="inlineStr">
        <is>
          <t>20260507900185</t>
        </is>
      </c>
      <c r="O862">
        <f>HYPERLINK("https://dart.fss.or.kr/dsaf001/main.do?rcpNo=20260507900185", "공시열람")</f>
        <v/>
      </c>
    </row>
    <row r="863">
      <c r="A863" t="inlineStr">
        <is>
          <t>2026-05-07</t>
        </is>
      </c>
      <c r="B863" t="inlineStr">
        <is>
          <t>LG유플러스</t>
        </is>
      </c>
      <c r="C863" t="inlineStr">
        <is>
          <t>032640</t>
        </is>
      </c>
      <c r="D863" t="inlineStr">
        <is>
          <t>연결</t>
        </is>
      </c>
      <c r="E863" t="inlineStr">
        <is>
          <t>2026Q1</t>
        </is>
      </c>
      <c r="F863" s="2" t="n">
        <v>3803700</v>
      </c>
      <c r="G863" t="n">
        <v>-1.2</v>
      </c>
      <c r="H863" t="n">
        <v>1.5</v>
      </c>
      <c r="I863" s="2" t="n">
        <v>272300</v>
      </c>
      <c r="J863" t="n">
        <v>59.7</v>
      </c>
      <c r="K863" t="n">
        <v>6.6</v>
      </c>
      <c r="L863" s="2" t="n">
        <v>176000</v>
      </c>
      <c r="M863" t="n">
        <v>8.4</v>
      </c>
      <c r="N863" t="inlineStr">
        <is>
          <t>20260507800172</t>
        </is>
      </c>
      <c r="O863">
        <f>HYPERLINK("https://dart.fss.or.kr/dsaf001/main.do?rcpNo=20260507800172", "공시열람")</f>
        <v/>
      </c>
    </row>
    <row r="864">
      <c r="A864" t="inlineStr">
        <is>
          <t>2026-05-07</t>
        </is>
      </c>
      <c r="B864" t="inlineStr">
        <is>
          <t>에스케이바이오팜</t>
        </is>
      </c>
      <c r="C864" t="inlineStr">
        <is>
          <t>326030</t>
        </is>
      </c>
      <c r="D864" t="inlineStr">
        <is>
          <t>연결</t>
        </is>
      </c>
      <c r="E864" t="inlineStr">
        <is>
          <t>2026Q1</t>
        </is>
      </c>
      <c r="F864" s="2" t="n">
        <v>227886</v>
      </c>
      <c r="G864" t="n">
        <v>17.2</v>
      </c>
      <c r="H864" t="n">
        <v>57.8</v>
      </c>
      <c r="I864" s="2" t="n">
        <v>89768</v>
      </c>
      <c r="J864" t="n">
        <v>94</v>
      </c>
      <c r="K864" t="n">
        <v>249.7</v>
      </c>
      <c r="L864" s="2" t="n">
        <v>102734</v>
      </c>
      <c r="M864" t="n">
        <v>423.5</v>
      </c>
      <c r="N864" t="inlineStr">
        <is>
          <t>20260507800178</t>
        </is>
      </c>
      <c r="O864">
        <f>HYPERLINK("https://dart.fss.or.kr/dsaf001/main.do?rcpNo=20260507800178", "공시열람")</f>
        <v/>
      </c>
    </row>
    <row r="865">
      <c r="A865" t="inlineStr">
        <is>
          <t>2026-05-07</t>
        </is>
      </c>
      <c r="B865" t="inlineStr">
        <is>
          <t>LG유플러스</t>
        </is>
      </c>
      <c r="C865" t="inlineStr">
        <is>
          <t>032640</t>
        </is>
      </c>
      <c r="D865" t="inlineStr">
        <is>
          <t>별도</t>
        </is>
      </c>
      <c r="E865" t="inlineStr">
        <is>
          <t>2026Q1</t>
        </is>
      </c>
      <c r="F865" s="2" t="n">
        <v>3546400</v>
      </c>
      <c r="G865" t="n">
        <v>-0.1</v>
      </c>
      <c r="H865" t="n">
        <v>3</v>
      </c>
      <c r="I865" s="2" t="n">
        <v>271500</v>
      </c>
      <c r="J865" t="n">
        <v>47.7</v>
      </c>
      <c r="K865" t="n">
        <v>4.1</v>
      </c>
      <c r="L865" s="2" t="n">
        <v>181300</v>
      </c>
      <c r="M865" t="n">
        <v>4.3</v>
      </c>
      <c r="N865" t="inlineStr">
        <is>
          <t>20260507800169</t>
        </is>
      </c>
      <c r="O865">
        <f>HYPERLINK("https://dart.fss.or.kr/dsaf001/main.do?rcpNo=20260507800169", "공시열람")</f>
        <v/>
      </c>
    </row>
    <row r="866">
      <c r="A866" t="inlineStr">
        <is>
          <t>2026-05-07</t>
        </is>
      </c>
      <c r="B866" t="inlineStr">
        <is>
          <t>에이피알</t>
        </is>
      </c>
      <c r="C866" t="inlineStr">
        <is>
          <t>278470</t>
        </is>
      </c>
      <c r="D866" t="inlineStr">
        <is>
          <t>연결</t>
        </is>
      </c>
      <c r="E866" t="inlineStr">
        <is>
          <t>2026Q1</t>
        </is>
      </c>
      <c r="F866" s="2" t="n">
        <v>593356</v>
      </c>
      <c r="G866" t="n">
        <v>8.300000000000001</v>
      </c>
      <c r="H866" t="n">
        <v>123</v>
      </c>
      <c r="I866" s="2" t="n">
        <v>152272</v>
      </c>
      <c r="J866" t="n">
        <v>17</v>
      </c>
      <c r="K866" t="n">
        <v>173.7</v>
      </c>
      <c r="L866" s="2" t="n">
        <v>117264</v>
      </c>
      <c r="M866" t="n">
        <v>134.8</v>
      </c>
      <c r="N866" t="inlineStr">
        <is>
          <t>20260507800150</t>
        </is>
      </c>
      <c r="O866">
        <f>HYPERLINK("https://dart.fss.or.kr/dsaf001/main.do?rcpNo=20260507800150", "공시열람")</f>
        <v/>
      </c>
    </row>
    <row r="867">
      <c r="A867" t="inlineStr">
        <is>
          <t>2026-05-07</t>
        </is>
      </c>
      <c r="B867" t="inlineStr">
        <is>
          <t>SK텔레콤</t>
        </is>
      </c>
      <c r="C867" t="inlineStr">
        <is>
          <t>017670</t>
        </is>
      </c>
      <c r="D867" t="inlineStr">
        <is>
          <t>연결</t>
        </is>
      </c>
      <c r="E867" t="inlineStr">
        <is>
          <t>2026Q1</t>
        </is>
      </c>
      <c r="F867" s="2" t="n">
        <v>4392300</v>
      </c>
      <c r="G867" t="n">
        <v>1.47</v>
      </c>
      <c r="H867" t="n">
        <v>-1.38</v>
      </c>
      <c r="I867" s="2" t="n">
        <v>537600</v>
      </c>
      <c r="J867" t="n">
        <v>351.25</v>
      </c>
      <c r="K867" t="n">
        <v>-5.25</v>
      </c>
      <c r="L867" s="2" t="n">
        <v>316400</v>
      </c>
      <c r="M867" t="n">
        <v>-12.49</v>
      </c>
      <c r="N867" t="inlineStr">
        <is>
          <t>20260507800134</t>
        </is>
      </c>
      <c r="O867">
        <f>HYPERLINK("https://dart.fss.or.kr/dsaf001/main.do?rcpNo=20260507800134", "공시열람")</f>
        <v/>
      </c>
    </row>
    <row r="868">
      <c r="A868" t="inlineStr">
        <is>
          <t>2026-05-07</t>
        </is>
      </c>
      <c r="B868" t="inlineStr">
        <is>
          <t>SK텔레콤</t>
        </is>
      </c>
      <c r="C868" t="inlineStr">
        <is>
          <t>017670</t>
        </is>
      </c>
      <c r="D868" t="inlineStr">
        <is>
          <t>별도</t>
        </is>
      </c>
      <c r="E868" t="inlineStr">
        <is>
          <t>2026Q1</t>
        </is>
      </c>
      <c r="F868" s="2" t="n">
        <v>3105800</v>
      </c>
      <c r="G868" t="n">
        <v>0.71</v>
      </c>
      <c r="H868" t="n">
        <v>-1.95</v>
      </c>
      <c r="I868" s="2" t="n">
        <v>409500</v>
      </c>
      <c r="J868" t="n">
        <v>213.2</v>
      </c>
      <c r="K868" t="n">
        <v>-15.1</v>
      </c>
      <c r="L868" s="2" t="n">
        <v>332700</v>
      </c>
      <c r="M868" t="n">
        <v>-29.9</v>
      </c>
      <c r="N868" t="inlineStr">
        <is>
          <t>20260507800131</t>
        </is>
      </c>
      <c r="O868">
        <f>HYPERLINK("https://dart.fss.or.kr/dsaf001/main.do?rcpNo=20260507800131", "공시열람")</f>
        <v/>
      </c>
    </row>
    <row r="869">
      <c r="A869" t="inlineStr">
        <is>
          <t>2026-05-07</t>
        </is>
      </c>
      <c r="B869" t="inlineStr">
        <is>
          <t>현대공업</t>
        </is>
      </c>
      <c r="C869" t="inlineStr">
        <is>
          <t>170030</t>
        </is>
      </c>
      <c r="D869" t="inlineStr">
        <is>
          <t>연결</t>
        </is>
      </c>
      <c r="E869" t="inlineStr">
        <is>
          <t>2026Q1</t>
        </is>
      </c>
      <c r="F869" s="2" t="n">
        <v>91174</v>
      </c>
      <c r="G869" t="n">
        <v>-7.75</v>
      </c>
      <c r="H869" t="n">
        <v>8.34</v>
      </c>
      <c r="I869" s="2" t="n">
        <v>5515</v>
      </c>
      <c r="J869" t="n">
        <v>417.84</v>
      </c>
      <c r="K869" t="n">
        <v>594.58</v>
      </c>
      <c r="L869" s="2" t="n">
        <v>5043</v>
      </c>
      <c r="M869" t="n">
        <v>257.66</v>
      </c>
      <c r="N869" t="inlineStr">
        <is>
          <t>20260507900117</t>
        </is>
      </c>
      <c r="O869">
        <f>HYPERLINK("https://dart.fss.or.kr/dsaf001/main.do?rcpNo=20260507900117", "공시열람")</f>
        <v/>
      </c>
    </row>
    <row r="870">
      <c r="A870" t="inlineStr">
        <is>
          <t>2026-05-07</t>
        </is>
      </c>
      <c r="B870" t="inlineStr">
        <is>
          <t>카카오</t>
        </is>
      </c>
      <c r="C870" t="inlineStr">
        <is>
          <t>035720</t>
        </is>
      </c>
      <c r="D870" t="inlineStr">
        <is>
          <t>별도</t>
        </is>
      </c>
      <c r="E870" t="inlineStr">
        <is>
          <t>2026Q1</t>
        </is>
      </c>
      <c r="F870" s="2" t="n">
        <v>700932</v>
      </c>
      <c r="G870" t="n">
        <v>-3.5</v>
      </c>
      <c r="H870" t="n">
        <v>5.9</v>
      </c>
      <c r="I870" s="2" t="n">
        <v>119311</v>
      </c>
      <c r="J870" t="n">
        <v>-6.7</v>
      </c>
      <c r="K870" t="n">
        <v>14.8</v>
      </c>
      <c r="L870" s="2" t="n">
        <v>164425</v>
      </c>
      <c r="M870" t="n">
        <v>105.1</v>
      </c>
      <c r="N870" t="inlineStr">
        <is>
          <t>20260507800006</t>
        </is>
      </c>
      <c r="O870">
        <f>HYPERLINK("https://dart.fss.or.kr/dsaf001/main.do?rcpNo=20260507800006", "공시열람")</f>
        <v/>
      </c>
    </row>
    <row r="871">
      <c r="A871" t="inlineStr">
        <is>
          <t>2026-05-07</t>
        </is>
      </c>
      <c r="B871" t="inlineStr">
        <is>
          <t>카카오</t>
        </is>
      </c>
      <c r="C871" t="inlineStr">
        <is>
          <t>035720</t>
        </is>
      </c>
      <c r="D871" t="inlineStr">
        <is>
          <t>연결</t>
        </is>
      </c>
      <c r="E871" t="inlineStr">
        <is>
          <t>2026Q1</t>
        </is>
      </c>
      <c r="F871" s="2" t="n">
        <v>1942077</v>
      </c>
      <c r="G871" t="n">
        <v>-8.4</v>
      </c>
      <c r="H871" t="n">
        <v>4.2</v>
      </c>
      <c r="I871" s="2" t="n">
        <v>211398</v>
      </c>
      <c r="J871" t="n">
        <v>-9.1</v>
      </c>
      <c r="K871" t="n">
        <v>100.6</v>
      </c>
      <c r="L871" s="2" t="n">
        <v>226836</v>
      </c>
      <c r="M871" t="n">
        <v>13.2</v>
      </c>
      <c r="N871" t="inlineStr">
        <is>
          <t>20260507800004</t>
        </is>
      </c>
      <c r="O871">
        <f>HYPERLINK("https://dart.fss.or.kr/dsaf001/main.do?rcpNo=20260507800004", "공시열람")</f>
        <v/>
      </c>
    </row>
    <row r="872">
      <c r="A872" t="inlineStr">
        <is>
          <t>2026-05-07</t>
        </is>
      </c>
      <c r="B872" t="inlineStr">
        <is>
          <t>휴젤</t>
        </is>
      </c>
      <c r="C872" t="inlineStr">
        <is>
          <t>145020</t>
        </is>
      </c>
      <c r="D872" t="inlineStr">
        <is>
          <t>연결</t>
        </is>
      </c>
      <c r="E872" t="inlineStr">
        <is>
          <t>2026Q1</t>
        </is>
      </c>
      <c r="F872" s="2" t="n">
        <v>116639</v>
      </c>
      <c r="G872" t="n">
        <v>-2.1</v>
      </c>
      <c r="H872" t="n">
        <v>29.9</v>
      </c>
      <c r="I872" s="2" t="n">
        <v>47625</v>
      </c>
      <c r="J872" t="n">
        <v>-17.6</v>
      </c>
      <c r="K872" t="n">
        <v>22.3</v>
      </c>
      <c r="L872" s="2" t="n">
        <v>40607</v>
      </c>
      <c r="M872" t="n">
        <v>31.5</v>
      </c>
      <c r="N872" t="inlineStr">
        <is>
          <t>20260507900340</t>
        </is>
      </c>
      <c r="O872">
        <f>HYPERLINK("https://dart.fss.or.kr/dsaf001/main.do?rcpNo=20260507900340", "공시열람")</f>
        <v/>
      </c>
    </row>
    <row r="873">
      <c r="A873" t="inlineStr">
        <is>
          <t>2026-05-07</t>
        </is>
      </c>
      <c r="B873" t="inlineStr">
        <is>
          <t>BGF리테일</t>
        </is>
      </c>
      <c r="C873" t="inlineStr">
        <is>
          <t>282330</t>
        </is>
      </c>
      <c r="D873" t="inlineStr">
        <is>
          <t>연결</t>
        </is>
      </c>
      <c r="E873" t="inlineStr">
        <is>
          <t>2026Q1</t>
        </is>
      </c>
      <c r="F873" s="2" t="n">
        <v>2120400</v>
      </c>
      <c r="G873" t="n">
        <v>-7.5</v>
      </c>
      <c r="H873" t="n">
        <v>5.2</v>
      </c>
      <c r="I873" s="2" t="n">
        <v>38100</v>
      </c>
      <c r="J873" t="n">
        <v>-40.7</v>
      </c>
      <c r="K873" t="n">
        <v>68.59999999999999</v>
      </c>
      <c r="L873" s="2" t="n">
        <v>29300</v>
      </c>
      <c r="M873" t="n">
        <v>118.7</v>
      </c>
      <c r="N873" t="inlineStr">
        <is>
          <t>20260507800404</t>
        </is>
      </c>
      <c r="O873">
        <f>HYPERLINK("https://dart.fss.or.kr/dsaf001/main.do?rcpNo=20260507800404", "공시열람")</f>
        <v/>
      </c>
    </row>
    <row r="874">
      <c r="A874" t="inlineStr">
        <is>
          <t>2026-05-07</t>
        </is>
      </c>
      <c r="B874" t="inlineStr">
        <is>
          <t>KG이니시스</t>
        </is>
      </c>
      <c r="C874" t="inlineStr">
        <is>
          <t>035600</t>
        </is>
      </c>
      <c r="D874" t="inlineStr">
        <is>
          <t>연결</t>
        </is>
      </c>
      <c r="E874" t="inlineStr">
        <is>
          <t>2026Q1</t>
        </is>
      </c>
      <c r="F874" s="2" t="n">
        <v>381672</v>
      </c>
      <c r="G874" t="n">
        <v>8.699999999999999</v>
      </c>
      <c r="H874" t="n">
        <v>16.2</v>
      </c>
      <c r="I874" s="2" t="n">
        <v>25462</v>
      </c>
      <c r="J874" t="n">
        <v>20.8</v>
      </c>
      <c r="K874" t="n">
        <v>4.7</v>
      </c>
      <c r="L874" s="2" t="n">
        <v>17448</v>
      </c>
      <c r="M874" t="n">
        <v>-0.4</v>
      </c>
      <c r="N874" t="inlineStr">
        <is>
          <t>20260507900230</t>
        </is>
      </c>
      <c r="O874">
        <f>HYPERLINK("https://dart.fss.or.kr/dsaf001/main.do?rcpNo=20260507900230", "공시열람")</f>
        <v/>
      </c>
    </row>
    <row r="875">
      <c r="A875" t="inlineStr">
        <is>
          <t>2026-05-07</t>
        </is>
      </c>
      <c r="B875" t="inlineStr">
        <is>
          <t>대교</t>
        </is>
      </c>
      <c r="C875" t="inlineStr">
        <is>
          <t>019680</t>
        </is>
      </c>
      <c r="D875" t="inlineStr">
        <is>
          <t>연결</t>
        </is>
      </c>
      <c r="E875" t="inlineStr">
        <is>
          <t>2026Q1</t>
        </is>
      </c>
      <c r="F875" s="2" t="n">
        <v>157700</v>
      </c>
      <c r="G875" t="n">
        <v>-2.2</v>
      </c>
      <c r="H875" t="n">
        <v>-4.8</v>
      </c>
      <c r="I875" s="2" t="n">
        <v>-3600</v>
      </c>
      <c r="J875" t="n">
        <v>17.6</v>
      </c>
      <c r="K875" t="inlineStr"/>
      <c r="L875" s="2" t="n">
        <v>-4000</v>
      </c>
      <c r="M875" t="inlineStr"/>
      <c r="N875" t="inlineStr">
        <is>
          <t>20260507800256</t>
        </is>
      </c>
      <c r="O875">
        <f>HYPERLINK("https://dart.fss.or.kr/dsaf001/main.do?rcpNo=20260507800256", "공시열람")</f>
        <v/>
      </c>
    </row>
    <row r="876">
      <c r="A876" t="inlineStr">
        <is>
          <t>2026-05-07</t>
        </is>
      </c>
      <c r="B876" t="inlineStr">
        <is>
          <t>뉴인텍</t>
        </is>
      </c>
      <c r="C876" t="inlineStr">
        <is>
          <t>012340</t>
        </is>
      </c>
      <c r="D876" t="inlineStr">
        <is>
          <t>연결</t>
        </is>
      </c>
      <c r="E876" t="inlineStr">
        <is>
          <t>2026Q1</t>
        </is>
      </c>
      <c r="F876" s="2" t="n">
        <v>23100</v>
      </c>
      <c r="G876" t="n">
        <v>12.97</v>
      </c>
      <c r="H876" t="n">
        <v>12.1</v>
      </c>
      <c r="I876" s="2" t="n">
        <v>24</v>
      </c>
      <c r="J876" t="inlineStr"/>
      <c r="K876" t="inlineStr"/>
      <c r="L876" s="2" t="n">
        <v>-234</v>
      </c>
      <c r="M876" t="n">
        <v>74.40000000000001</v>
      </c>
      <c r="N876" t="inlineStr">
        <is>
          <t>20260507900231</t>
        </is>
      </c>
      <c r="O876">
        <f>HYPERLINK("https://dart.fss.or.kr/dsaf001/main.do?rcpNo=20260507900231", "공시열람")</f>
        <v/>
      </c>
    </row>
    <row r="877">
      <c r="A877" t="inlineStr">
        <is>
          <t>2026-05-07</t>
        </is>
      </c>
      <c r="B877" t="inlineStr">
        <is>
          <t>원익머트리얼즈</t>
        </is>
      </c>
      <c r="C877" t="inlineStr">
        <is>
          <t>104830</t>
        </is>
      </c>
      <c r="D877" t="inlineStr">
        <is>
          <t>연결</t>
        </is>
      </c>
      <c r="E877" t="inlineStr">
        <is>
          <t>2026Q1</t>
        </is>
      </c>
      <c r="F877" s="2" t="n">
        <v>88180</v>
      </c>
      <c r="G877" t="n">
        <v>1.77</v>
      </c>
      <c r="H877" t="n">
        <v>13.06</v>
      </c>
      <c r="I877" s="2" t="n">
        <v>15701</v>
      </c>
      <c r="J877" t="n">
        <v>-3.5</v>
      </c>
      <c r="K877" t="n">
        <v>6.35</v>
      </c>
      <c r="L877" s="2" t="n">
        <v>14443</v>
      </c>
      <c r="M877" t="n">
        <v>18.97</v>
      </c>
      <c r="N877" t="inlineStr">
        <is>
          <t>20260507900389</t>
        </is>
      </c>
      <c r="O877">
        <f>HYPERLINK("https://dart.fss.or.kr/dsaf001/main.do?rcpNo=20260507900389", "공시열람")</f>
        <v/>
      </c>
    </row>
    <row r="878">
      <c r="A878" t="inlineStr">
        <is>
          <t>2026-05-07</t>
        </is>
      </c>
      <c r="B878" t="inlineStr">
        <is>
          <t>HD현대중공업</t>
        </is>
      </c>
      <c r="C878" t="inlineStr">
        <is>
          <t>329180</t>
        </is>
      </c>
      <c r="D878" t="inlineStr">
        <is>
          <t>별도</t>
        </is>
      </c>
      <c r="E878" t="inlineStr">
        <is>
          <t>2026Q1</t>
        </is>
      </c>
      <c r="F878" s="2" t="n">
        <v>5899200</v>
      </c>
      <c r="G878" t="n">
        <v>13.7</v>
      </c>
      <c r="H878" t="n">
        <v>54.4</v>
      </c>
      <c r="I878" s="2" t="n">
        <v>900000</v>
      </c>
      <c r="J878" t="n">
        <v>55.7</v>
      </c>
      <c r="K878" t="n">
        <v>106.7</v>
      </c>
      <c r="L878" s="2" t="n">
        <v>768600</v>
      </c>
      <c r="M878" t="n">
        <v>169.6</v>
      </c>
      <c r="N878" t="inlineStr">
        <is>
          <t>20260507800358</t>
        </is>
      </c>
      <c r="O878">
        <f>HYPERLINK("https://dart.fss.or.kr/dsaf001/main.do?rcpNo=20260507800358", "공시열람")</f>
        <v/>
      </c>
    </row>
    <row r="879">
      <c r="A879" t="inlineStr">
        <is>
          <t>2026-05-07</t>
        </is>
      </c>
      <c r="B879" t="inlineStr">
        <is>
          <t>HD한국조선해양</t>
        </is>
      </c>
      <c r="C879" t="inlineStr">
        <is>
          <t>009540</t>
        </is>
      </c>
      <c r="D879" t="inlineStr">
        <is>
          <t>별도</t>
        </is>
      </c>
      <c r="E879" t="inlineStr">
        <is>
          <t>2026Q1</t>
        </is>
      </c>
      <c r="F879" s="2" t="n">
        <v>790700</v>
      </c>
      <c r="G879" t="n">
        <v>145.9</v>
      </c>
      <c r="H879" t="n">
        <v>43.3</v>
      </c>
      <c r="I879" s="2" t="n">
        <v>528500</v>
      </c>
      <c r="J879" t="n">
        <v>12483.3</v>
      </c>
      <c r="K879" t="n">
        <v>27</v>
      </c>
      <c r="L879" s="2" t="n">
        <v>569200</v>
      </c>
      <c r="M879" t="n">
        <v>34.2</v>
      </c>
      <c r="N879" t="inlineStr">
        <is>
          <t>20260507800362</t>
        </is>
      </c>
      <c r="O879">
        <f>HYPERLINK("https://dart.fss.or.kr/dsaf001/main.do?rcpNo=20260507800362", "공시열람")</f>
        <v/>
      </c>
    </row>
    <row r="880">
      <c r="A880" t="inlineStr">
        <is>
          <t>2026-05-07</t>
        </is>
      </c>
      <c r="B880" t="inlineStr">
        <is>
          <t>HD한국조선해양</t>
        </is>
      </c>
      <c r="C880" t="inlineStr">
        <is>
          <t>009540</t>
        </is>
      </c>
      <c r="D880" t="inlineStr">
        <is>
          <t>연결</t>
        </is>
      </c>
      <c r="E880" t="inlineStr">
        <is>
          <t>2026Q1</t>
        </is>
      </c>
      <c r="F880" s="2" t="n">
        <v>8140900</v>
      </c>
      <c r="G880" t="n">
        <v>-0.1</v>
      </c>
      <c r="H880" t="n">
        <v>20.2</v>
      </c>
      <c r="I880" s="2" t="n">
        <v>1356000</v>
      </c>
      <c r="J880" t="n">
        <v>30.6</v>
      </c>
      <c r="K880" t="n">
        <v>57.8</v>
      </c>
      <c r="L880" s="2" t="n">
        <v>1141400</v>
      </c>
      <c r="M880" t="n">
        <v>86.59999999999999</v>
      </c>
      <c r="N880" t="inlineStr">
        <is>
          <t>20260507800366</t>
        </is>
      </c>
      <c r="O880">
        <f>HYPERLINK("https://dart.fss.or.kr/dsaf001/main.do?rcpNo=20260507800366", "공시열람")</f>
        <v/>
      </c>
    </row>
    <row r="881">
      <c r="A881" t="inlineStr">
        <is>
          <t>2026-05-07</t>
        </is>
      </c>
      <c r="B881" t="inlineStr">
        <is>
          <t>조이웍스앤코</t>
        </is>
      </c>
      <c r="C881" t="inlineStr">
        <is>
          <t>309930</t>
        </is>
      </c>
      <c r="D881" t="inlineStr">
        <is>
          <t>별도</t>
        </is>
      </c>
      <c r="E881" t="inlineStr">
        <is>
          <t>2026Q1</t>
        </is>
      </c>
      <c r="F881" s="2" t="n">
        <v>21030</v>
      </c>
      <c r="G881" t="n">
        <v>19.3</v>
      </c>
      <c r="H881" t="n">
        <v>86.31999999999999</v>
      </c>
      <c r="I881" s="2" t="n">
        <v>3480</v>
      </c>
      <c r="J881" t="inlineStr"/>
      <c r="K881" t="inlineStr"/>
      <c r="L881" s="2" t="n">
        <v>3192</v>
      </c>
      <c r="M881" t="inlineStr"/>
      <c r="N881" t="inlineStr">
        <is>
          <t>20260507900364</t>
        </is>
      </c>
      <c r="O881">
        <f>HYPERLINK("https://dart.fss.or.kr/dsaf001/main.do?rcpNo=20260507900364", "공시열람")</f>
        <v/>
      </c>
    </row>
    <row r="882">
      <c r="A882" t="inlineStr">
        <is>
          <t>2026-05-07</t>
        </is>
      </c>
      <c r="B882" t="inlineStr">
        <is>
          <t>HD현대마린엔진</t>
        </is>
      </c>
      <c r="C882" t="inlineStr">
        <is>
          <t>071970</t>
        </is>
      </c>
      <c r="D882" t="inlineStr">
        <is>
          <t>연결</t>
        </is>
      </c>
      <c r="E882" t="inlineStr">
        <is>
          <t>2026Q1</t>
        </is>
      </c>
      <c r="F882" s="2" t="n">
        <v>133461</v>
      </c>
      <c r="G882" t="n">
        <v>20.3</v>
      </c>
      <c r="H882" t="n">
        <v>60.8</v>
      </c>
      <c r="I882" s="2" t="n">
        <v>32564</v>
      </c>
      <c r="J882" t="n">
        <v>16.8</v>
      </c>
      <c r="K882" t="n">
        <v>217</v>
      </c>
      <c r="L882" s="2" t="n">
        <v>28148</v>
      </c>
      <c r="M882" t="n">
        <v>103</v>
      </c>
      <c r="N882" t="inlineStr">
        <is>
          <t>20260507800374</t>
        </is>
      </c>
      <c r="O882">
        <f>HYPERLINK("https://dart.fss.or.kr/dsaf001/main.do?rcpNo=20260507800374", "공시열람")</f>
        <v/>
      </c>
    </row>
    <row r="883">
      <c r="A883" t="inlineStr">
        <is>
          <t>2026-05-07</t>
        </is>
      </c>
      <c r="B883" t="inlineStr">
        <is>
          <t>금호석유화학</t>
        </is>
      </c>
      <c r="C883" t="inlineStr">
        <is>
          <t>011780</t>
        </is>
      </c>
      <c r="D883" t="inlineStr">
        <is>
          <t>연결</t>
        </is>
      </c>
      <c r="E883" t="inlineStr">
        <is>
          <t>2026Q1</t>
        </is>
      </c>
      <c r="F883" s="2" t="n">
        <v>1779958</v>
      </c>
      <c r="G883" t="n">
        <v>11.97</v>
      </c>
      <c r="H883" t="n">
        <v>-6.72</v>
      </c>
      <c r="I883" s="2" t="n">
        <v>59403</v>
      </c>
      <c r="J883" t="n">
        <v>3715.92</v>
      </c>
      <c r="K883" t="n">
        <v>-50.75</v>
      </c>
      <c r="L883" s="2" t="n">
        <v>96292</v>
      </c>
      <c r="M883" t="n">
        <v>-22.86</v>
      </c>
      <c r="N883" t="inlineStr">
        <is>
          <t>20260507800370</t>
        </is>
      </c>
      <c r="O883">
        <f>HYPERLINK("https://dart.fss.or.kr/dsaf001/main.do?rcpNo=20260507800370", "공시열람")</f>
        <v/>
      </c>
    </row>
    <row r="884">
      <c r="A884" t="inlineStr">
        <is>
          <t>2026-05-07</t>
        </is>
      </c>
      <c r="B884" t="inlineStr">
        <is>
          <t>KG에코솔루션</t>
        </is>
      </c>
      <c r="C884" t="inlineStr">
        <is>
          <t>151860</t>
        </is>
      </c>
      <c r="D884" t="inlineStr">
        <is>
          <t>연결</t>
        </is>
      </c>
      <c r="E884" t="inlineStr">
        <is>
          <t>2026Q1</t>
        </is>
      </c>
      <c r="F884" s="2" t="n">
        <v>1969514</v>
      </c>
      <c r="G884" t="n">
        <v>0.8</v>
      </c>
      <c r="H884" t="n">
        <v>12.7</v>
      </c>
      <c r="I884" s="2" t="n">
        <v>32795</v>
      </c>
      <c r="J884" t="n">
        <v>278.7</v>
      </c>
      <c r="K884" t="n">
        <v>-56.5</v>
      </c>
      <c r="L884" s="2" t="n">
        <v>70430</v>
      </c>
      <c r="M884" t="n">
        <v>39.5</v>
      </c>
      <c r="N884" t="inlineStr">
        <is>
          <t>20260507900384</t>
        </is>
      </c>
      <c r="O884">
        <f>HYPERLINK("https://dart.fss.or.kr/dsaf001/main.do?rcpNo=20260507900384", "공시열람")</f>
        <v/>
      </c>
    </row>
    <row r="885">
      <c r="A885" t="inlineStr">
        <is>
          <t>2026-05-07</t>
        </is>
      </c>
      <c r="B885" t="inlineStr">
        <is>
          <t>엠씨넥스</t>
        </is>
      </c>
      <c r="C885" t="inlineStr">
        <is>
          <t>097520</t>
        </is>
      </c>
      <c r="D885" t="inlineStr">
        <is>
          <t>연결</t>
        </is>
      </c>
      <c r="E885" t="inlineStr">
        <is>
          <t>2026Q1</t>
        </is>
      </c>
      <c r="F885" s="2" t="n">
        <v>303489</v>
      </c>
      <c r="G885" t="n">
        <v>0.71</v>
      </c>
      <c r="H885" t="n">
        <v>-12.77</v>
      </c>
      <c r="I885" s="2" t="n">
        <v>11412</v>
      </c>
      <c r="J885" t="n">
        <v>38.85</v>
      </c>
      <c r="K885" t="n">
        <v>-45.44</v>
      </c>
      <c r="L885" s="2" t="n">
        <v>14601</v>
      </c>
      <c r="M885" t="n">
        <v>-27.24</v>
      </c>
      <c r="N885" t="inlineStr">
        <is>
          <t>20260507800410</t>
        </is>
      </c>
      <c r="O885">
        <f>HYPERLINK("https://dart.fss.or.kr/dsaf001/main.do?rcpNo=20260507800410", "공시열람")</f>
        <v/>
      </c>
    </row>
    <row r="886">
      <c r="A886" t="inlineStr">
        <is>
          <t>2026-05-07</t>
        </is>
      </c>
      <c r="B886" t="inlineStr">
        <is>
          <t>KT나스미디어</t>
        </is>
      </c>
      <c r="C886" t="inlineStr">
        <is>
          <t>089600</t>
        </is>
      </c>
      <c r="D886" t="inlineStr">
        <is>
          <t>별도</t>
        </is>
      </c>
      <c r="E886" t="inlineStr">
        <is>
          <t>2026Q1</t>
        </is>
      </c>
      <c r="F886" s="2" t="n">
        <v>26450</v>
      </c>
      <c r="G886" t="n">
        <v>-28.4</v>
      </c>
      <c r="H886" t="n">
        <v>12.5</v>
      </c>
      <c r="I886" s="2" t="n">
        <v>3323</v>
      </c>
      <c r="J886" t="n">
        <v>-5.9</v>
      </c>
      <c r="K886" t="n">
        <v>36.5</v>
      </c>
      <c r="L886" s="2" t="n">
        <v>3658</v>
      </c>
      <c r="M886" t="n">
        <v>23.3</v>
      </c>
      <c r="N886" t="inlineStr">
        <is>
          <t>20260507900257</t>
        </is>
      </c>
      <c r="O886">
        <f>HYPERLINK("https://dart.fss.or.kr/dsaf001/main.do?rcpNo=20260507900257", "공시열람")</f>
        <v/>
      </c>
    </row>
    <row r="887">
      <c r="A887" t="inlineStr">
        <is>
          <t>2026-05-07</t>
        </is>
      </c>
      <c r="B887" t="inlineStr">
        <is>
          <t>BGF에코머티리얼즈</t>
        </is>
      </c>
      <c r="C887" t="inlineStr">
        <is>
          <t>126600</t>
        </is>
      </c>
      <c r="D887" t="inlineStr">
        <is>
          <t>연결</t>
        </is>
      </c>
      <c r="E887" t="inlineStr">
        <is>
          <t>2026Q1</t>
        </is>
      </c>
      <c r="F887" s="2" t="n">
        <v>92840</v>
      </c>
      <c r="G887" t="n">
        <v>-1.5</v>
      </c>
      <c r="H887" t="n">
        <v>-6.3</v>
      </c>
      <c r="I887" s="2" t="n">
        <v>3228</v>
      </c>
      <c r="J887" t="n">
        <v>424.9</v>
      </c>
      <c r="K887" t="n">
        <v>-33</v>
      </c>
      <c r="L887" s="2" t="n">
        <v>2651</v>
      </c>
      <c r="M887" t="n">
        <v>-4.9</v>
      </c>
      <c r="N887" t="inlineStr">
        <is>
          <t>20260507900331</t>
        </is>
      </c>
      <c r="O887">
        <f>HYPERLINK("https://dart.fss.or.kr/dsaf001/main.do?rcpNo=20260507900331", "공시열람")</f>
        <v/>
      </c>
    </row>
    <row r="888">
      <c r="A888" t="inlineStr">
        <is>
          <t>2026-05-07</t>
        </is>
      </c>
      <c r="B888" t="inlineStr">
        <is>
          <t>인터로조</t>
        </is>
      </c>
      <c r="C888" t="inlineStr">
        <is>
          <t>119610</t>
        </is>
      </c>
      <c r="D888" t="inlineStr">
        <is>
          <t>연결</t>
        </is>
      </c>
      <c r="E888" t="inlineStr">
        <is>
          <t>2026Q1</t>
        </is>
      </c>
      <c r="F888" s="2" t="n">
        <v>30716</v>
      </c>
      <c r="G888" t="n">
        <v>-2.9</v>
      </c>
      <c r="H888" t="n">
        <v>32.8</v>
      </c>
      <c r="I888" s="2" t="n">
        <v>6226</v>
      </c>
      <c r="J888" t="n">
        <v>-0.3</v>
      </c>
      <c r="K888" t="n">
        <v>185.9</v>
      </c>
      <c r="L888" s="2" t="n">
        <v>4968</v>
      </c>
      <c r="M888" t="n">
        <v>252.4</v>
      </c>
      <c r="N888" t="inlineStr">
        <is>
          <t>20260507900334</t>
        </is>
      </c>
      <c r="O888">
        <f>HYPERLINK("https://dart.fss.or.kr/dsaf001/main.do?rcpNo=20260507900334", "공시열람")</f>
        <v/>
      </c>
    </row>
    <row r="889">
      <c r="A889" t="inlineStr">
        <is>
          <t>2026-05-07</t>
        </is>
      </c>
      <c r="B889" t="inlineStr">
        <is>
          <t>스튜디오드래곤</t>
        </is>
      </c>
      <c r="C889" t="inlineStr">
        <is>
          <t>253450</t>
        </is>
      </c>
      <c r="D889" t="inlineStr">
        <is>
          <t>연결</t>
        </is>
      </c>
      <c r="E889" t="inlineStr">
        <is>
          <t>2026Q1</t>
        </is>
      </c>
      <c r="F889" s="2" t="n">
        <v>155269</v>
      </c>
      <c r="G889" t="n">
        <v>6.4</v>
      </c>
      <c r="H889" t="n">
        <v>16</v>
      </c>
      <c r="I889" s="2" t="n">
        <v>6415</v>
      </c>
      <c r="J889" t="n">
        <v>-65.40000000000001</v>
      </c>
      <c r="K889" t="n">
        <v>50.1</v>
      </c>
      <c r="L889" s="2" t="n">
        <v>6554</v>
      </c>
      <c r="M889" t="n">
        <v>177</v>
      </c>
      <c r="N889" t="inlineStr">
        <is>
          <t>20260507900322</t>
        </is>
      </c>
      <c r="O889">
        <f>HYPERLINK("https://dart.fss.or.kr/dsaf001/main.do?rcpNo=20260507900322", "공시열람")</f>
        <v/>
      </c>
    </row>
    <row r="890">
      <c r="A890" t="inlineStr">
        <is>
          <t>2026-05-07</t>
        </is>
      </c>
      <c r="B890" t="inlineStr">
        <is>
          <t>신성이엔지</t>
        </is>
      </c>
      <c r="C890" t="inlineStr">
        <is>
          <t>011930</t>
        </is>
      </c>
      <c r="D890" t="inlineStr">
        <is>
          <t>연결</t>
        </is>
      </c>
      <c r="E890" t="inlineStr">
        <is>
          <t>2026Q1</t>
        </is>
      </c>
      <c r="F890" s="2" t="n">
        <v>153688</v>
      </c>
      <c r="G890" t="n">
        <v>0.7</v>
      </c>
      <c r="H890" t="n">
        <v>32.1</v>
      </c>
      <c r="I890" s="2" t="n">
        <v>-2234</v>
      </c>
      <c r="J890" t="inlineStr"/>
      <c r="K890" t="n">
        <v>57.4</v>
      </c>
      <c r="L890" s="2" t="n">
        <v>-3586</v>
      </c>
      <c r="M890" t="n">
        <v>48.2</v>
      </c>
      <c r="N890" t="inlineStr">
        <is>
          <t>20260507800312</t>
        </is>
      </c>
      <c r="O890">
        <f>HYPERLINK("https://dart.fss.or.kr/dsaf001/main.do?rcpNo=20260507800312", "공시열람")</f>
        <v/>
      </c>
    </row>
    <row r="891">
      <c r="A891" t="inlineStr">
        <is>
          <t>2026-05-07</t>
        </is>
      </c>
      <c r="B891" t="inlineStr">
        <is>
          <t>가온그룹</t>
        </is>
      </c>
      <c r="C891" t="inlineStr">
        <is>
          <t>078890</t>
        </is>
      </c>
      <c r="D891" t="inlineStr">
        <is>
          <t>연결</t>
        </is>
      </c>
      <c r="E891" t="inlineStr">
        <is>
          <t>2026Q1</t>
        </is>
      </c>
      <c r="F891" s="2" t="n">
        <v>121753</v>
      </c>
      <c r="G891" t="n">
        <v>-13.8</v>
      </c>
      <c r="H891" t="n">
        <v>-4.3</v>
      </c>
      <c r="I891" s="2" t="n">
        <v>11300</v>
      </c>
      <c r="J891" t="n">
        <v>32.7</v>
      </c>
      <c r="K891" t="n">
        <v>2450.8</v>
      </c>
      <c r="L891" s="2" t="inlineStr"/>
      <c r="M891" t="inlineStr"/>
      <c r="N891" t="inlineStr">
        <is>
          <t>20260507900304</t>
        </is>
      </c>
      <c r="O891">
        <f>HYPERLINK("https://dart.fss.or.kr/dsaf001/main.do?rcpNo=20260507900304", "공시열람")</f>
        <v/>
      </c>
    </row>
    <row r="892">
      <c r="A892" t="inlineStr">
        <is>
          <t>2026-05-07</t>
        </is>
      </c>
      <c r="B892" t="inlineStr">
        <is>
          <t>GS리테일</t>
        </is>
      </c>
      <c r="C892" t="inlineStr">
        <is>
          <t>007070</t>
        </is>
      </c>
      <c r="D892" t="inlineStr">
        <is>
          <t>연결</t>
        </is>
      </c>
      <c r="E892" t="inlineStr">
        <is>
          <t>2026Q1</t>
        </is>
      </c>
      <c r="F892" s="2" t="n">
        <v>2854876</v>
      </c>
      <c r="G892" t="n">
        <v>-5.7</v>
      </c>
      <c r="H892" t="n">
        <v>3.8</v>
      </c>
      <c r="I892" s="2" t="n">
        <v>58274</v>
      </c>
      <c r="J892" t="n">
        <v>9.300000000000001</v>
      </c>
      <c r="K892" t="n">
        <v>39.4</v>
      </c>
      <c r="L892" s="2" t="n">
        <v>42503</v>
      </c>
      <c r="M892" t="n">
        <v>783.6</v>
      </c>
      <c r="N892" t="inlineStr">
        <is>
          <t>20260507800302</t>
        </is>
      </c>
      <c r="O892">
        <f>HYPERLINK("https://dart.fss.or.kr/dsaf001/main.do?rcpNo=20260507800302", "공시열람")</f>
        <v/>
      </c>
    </row>
    <row r="893">
      <c r="A893" t="inlineStr">
        <is>
          <t>2026-05-07</t>
        </is>
      </c>
      <c r="B893" t="inlineStr">
        <is>
          <t>씨에스윈드</t>
        </is>
      </c>
      <c r="C893" t="inlineStr">
        <is>
          <t>112610</t>
        </is>
      </c>
      <c r="D893" t="inlineStr">
        <is>
          <t>연결</t>
        </is>
      </c>
      <c r="E893" t="inlineStr">
        <is>
          <t>2026Q1</t>
        </is>
      </c>
      <c r="F893" s="2" t="n">
        <v>711127</v>
      </c>
      <c r="G893" t="n">
        <v>-9.1</v>
      </c>
      <c r="H893" t="n">
        <v>-21.2</v>
      </c>
      <c r="I893" s="2" t="n">
        <v>74289</v>
      </c>
      <c r="J893" t="n">
        <v>5.9</v>
      </c>
      <c r="K893" t="n">
        <v>-40.7</v>
      </c>
      <c r="L893" s="2" t="n">
        <v>43857</v>
      </c>
      <c r="M893" t="n">
        <v>-54.1</v>
      </c>
      <c r="N893" t="inlineStr">
        <is>
          <t>20260507800296</t>
        </is>
      </c>
      <c r="O893">
        <f>HYPERLINK("https://dart.fss.or.kr/dsaf001/main.do?rcpNo=20260507800296", "공시열람")</f>
        <v/>
      </c>
    </row>
    <row r="894">
      <c r="A894" t="inlineStr">
        <is>
          <t>2026-05-07</t>
        </is>
      </c>
      <c r="B894" t="inlineStr">
        <is>
          <t>한섬</t>
        </is>
      </c>
      <c r="C894" t="inlineStr">
        <is>
          <t>020000</t>
        </is>
      </c>
      <c r="D894" t="inlineStr">
        <is>
          <t>연결</t>
        </is>
      </c>
      <c r="E894" t="inlineStr">
        <is>
          <t>2026Q1</t>
        </is>
      </c>
      <c r="F894" s="2" t="n">
        <v>410366</v>
      </c>
      <c r="G894" t="n">
        <v>-11.5</v>
      </c>
      <c r="H894" t="n">
        <v>7.9</v>
      </c>
      <c r="I894" s="2" t="n">
        <v>36528</v>
      </c>
      <c r="J894" t="n">
        <v>34.4</v>
      </c>
      <c r="K894" t="n">
        <v>67.7</v>
      </c>
      <c r="L894" s="2" t="n">
        <v>27343</v>
      </c>
      <c r="M894" t="n">
        <v>49</v>
      </c>
      <c r="N894" t="inlineStr">
        <is>
          <t>20260507800416</t>
        </is>
      </c>
      <c r="O894">
        <f>HYPERLINK("https://dart.fss.or.kr/dsaf001/main.do?rcpNo=20260507800416", "공시열람")</f>
        <v/>
      </c>
    </row>
    <row r="895">
      <c r="A895" t="inlineStr">
        <is>
          <t>2026-05-07</t>
        </is>
      </c>
      <c r="B895" t="inlineStr">
        <is>
          <t>KG에코솔루션</t>
        </is>
      </c>
      <c r="C895" t="inlineStr">
        <is>
          <t>151860</t>
        </is>
      </c>
      <c r="D895" t="inlineStr">
        <is>
          <t>별도</t>
        </is>
      </c>
      <c r="E895" t="inlineStr">
        <is>
          <t>2026Q1</t>
        </is>
      </c>
      <c r="F895" s="2" t="n">
        <v>40518</v>
      </c>
      <c r="G895" t="n">
        <v>38.6</v>
      </c>
      <c r="H895" t="n">
        <v>26</v>
      </c>
      <c r="I895" s="2" t="n">
        <v>12364</v>
      </c>
      <c r="J895" t="inlineStr"/>
      <c r="K895" t="n">
        <v>-5.2</v>
      </c>
      <c r="L895" s="2" t="n">
        <v>10531</v>
      </c>
      <c r="M895" t="n">
        <v>13.2</v>
      </c>
      <c r="N895" t="inlineStr">
        <is>
          <t>20260507900449</t>
        </is>
      </c>
      <c r="O895">
        <f>HYPERLINK("https://dart.fss.or.kr/dsaf001/main.do?rcpNo=20260507900449", "공시열람")</f>
        <v/>
      </c>
    </row>
    <row r="896">
      <c r="A896" t="inlineStr">
        <is>
          <t>2026-05-07</t>
        </is>
      </c>
      <c r="B896" t="inlineStr">
        <is>
          <t>이수앱지스</t>
        </is>
      </c>
      <c r="C896" t="inlineStr">
        <is>
          <t>086890</t>
        </is>
      </c>
      <c r="D896" t="inlineStr">
        <is>
          <t>별도</t>
        </is>
      </c>
      <c r="E896" t="inlineStr">
        <is>
          <t>2026Q1</t>
        </is>
      </c>
      <c r="F896" s="2" t="n">
        <v>9452</v>
      </c>
      <c r="G896" t="n">
        <v>-13.5</v>
      </c>
      <c r="H896" t="n">
        <v>31.6</v>
      </c>
      <c r="I896" s="2" t="n">
        <v>-3441</v>
      </c>
      <c r="J896" t="n">
        <v>56.1</v>
      </c>
      <c r="K896" t="n">
        <v>-643.2</v>
      </c>
      <c r="L896" s="2" t="n">
        <v>-202</v>
      </c>
      <c r="M896" t="n">
        <v>97.7</v>
      </c>
      <c r="N896" t="inlineStr">
        <is>
          <t>20260507900706</t>
        </is>
      </c>
      <c r="O896">
        <f>HYPERLINK("https://dart.fss.or.kr/dsaf001/main.do?rcpNo=20260507900706", "공시열람")</f>
        <v/>
      </c>
    </row>
    <row r="897">
      <c r="A897" t="inlineStr">
        <is>
          <t>2026-05-07</t>
        </is>
      </c>
      <c r="B897" t="inlineStr">
        <is>
          <t>텔레칩스</t>
        </is>
      </c>
      <c r="C897" t="inlineStr">
        <is>
          <t>054450</t>
        </is>
      </c>
      <c r="D897" t="inlineStr">
        <is>
          <t>연결</t>
        </is>
      </c>
      <c r="E897" t="inlineStr">
        <is>
          <t>2026Q1</t>
        </is>
      </c>
      <c r="F897" s="2" t="n">
        <v>66080</v>
      </c>
      <c r="G897" t="n">
        <v>24.6</v>
      </c>
      <c r="H897" t="n">
        <v>46.2</v>
      </c>
      <c r="I897" s="2" t="n">
        <v>6122</v>
      </c>
      <c r="J897" t="n">
        <v>128.1</v>
      </c>
      <c r="K897" t="inlineStr"/>
      <c r="L897" s="2" t="n">
        <v>944</v>
      </c>
      <c r="M897" t="inlineStr"/>
      <c r="N897" t="inlineStr">
        <is>
          <t>20260507900575</t>
        </is>
      </c>
      <c r="O897">
        <f>HYPERLINK("https://dart.fss.or.kr/dsaf001/main.do?rcpNo=20260507900575", "공시열람")</f>
        <v/>
      </c>
    </row>
    <row r="898">
      <c r="A898" t="inlineStr">
        <is>
          <t>2026-05-07</t>
        </is>
      </c>
      <c r="B898" t="inlineStr">
        <is>
          <t>LIG디펜스앤에어로스페이스</t>
        </is>
      </c>
      <c r="C898" t="inlineStr">
        <is>
          <t>079550</t>
        </is>
      </c>
      <c r="D898" t="inlineStr">
        <is>
          <t>연결</t>
        </is>
      </c>
      <c r="E898" t="inlineStr">
        <is>
          <t>2026Q1</t>
        </is>
      </c>
      <c r="F898" s="2" t="n">
        <v>1167900</v>
      </c>
      <c r="G898" t="n">
        <v>-16.9</v>
      </c>
      <c r="H898" t="n">
        <v>28.7</v>
      </c>
      <c r="I898" s="2" t="n">
        <v>171100</v>
      </c>
      <c r="J898" t="n">
        <v>342.4</v>
      </c>
      <c r="K898" t="n">
        <v>56.1</v>
      </c>
      <c r="L898" s="2" t="n">
        <v>135400</v>
      </c>
      <c r="M898" t="n">
        <v>69.40000000000001</v>
      </c>
      <c r="N898" t="inlineStr">
        <is>
          <t>20260507800328</t>
        </is>
      </c>
      <c r="O898">
        <f>HYPERLINK("https://dart.fss.or.kr/dsaf001/main.do?rcpNo=20260507800328", "공시열람")</f>
        <v/>
      </c>
    </row>
    <row r="899">
      <c r="A899" t="inlineStr">
        <is>
          <t>2026-05-07</t>
        </is>
      </c>
      <c r="B899" t="inlineStr">
        <is>
          <t>HD현대중공업</t>
        </is>
      </c>
      <c r="C899" t="inlineStr">
        <is>
          <t>329180</t>
        </is>
      </c>
      <c r="D899" t="inlineStr">
        <is>
          <t>연결</t>
        </is>
      </c>
      <c r="E899" t="inlineStr">
        <is>
          <t>2026Q1</t>
        </is>
      </c>
      <c r="F899" s="2" t="n">
        <v>5916300</v>
      </c>
      <c r="G899" t="n">
        <v>13.9</v>
      </c>
      <c r="H899" t="n">
        <v>54.8</v>
      </c>
      <c r="I899" s="2" t="n">
        <v>905400</v>
      </c>
      <c r="J899" t="n">
        <v>57.5</v>
      </c>
      <c r="K899" t="n">
        <v>108.8</v>
      </c>
      <c r="L899" s="2" t="n">
        <v>773800</v>
      </c>
      <c r="M899" t="n">
        <v>172.3</v>
      </c>
      <c r="N899" t="inlineStr">
        <is>
          <t>20260507800353</t>
        </is>
      </c>
      <c r="O899">
        <f>HYPERLINK("https://dart.fss.or.kr/dsaf001/main.do?rcpNo=20260507800353", "공시열람")</f>
        <v/>
      </c>
    </row>
    <row r="900">
      <c r="A900" t="inlineStr">
        <is>
          <t>2026-05-07</t>
        </is>
      </c>
      <c r="B900" t="inlineStr">
        <is>
          <t>HD한국조선해양</t>
        </is>
      </c>
      <c r="C900" t="inlineStr">
        <is>
          <t>009540</t>
        </is>
      </c>
      <c r="D900" t="inlineStr">
        <is>
          <t>별도</t>
        </is>
      </c>
      <c r="E900" t="inlineStr">
        <is>
          <t>2026Q1</t>
        </is>
      </c>
      <c r="F900" s="2" t="n">
        <v>2124500</v>
      </c>
      <c r="G900" t="n">
        <v>5.2</v>
      </c>
      <c r="H900" t="n">
        <v>8</v>
      </c>
      <c r="I900" s="2" t="n">
        <v>395200</v>
      </c>
      <c r="J900" t="n">
        <v>24</v>
      </c>
      <c r="K900" t="n">
        <v>8</v>
      </c>
      <c r="L900" s="2" t="n">
        <v>355400</v>
      </c>
      <c r="M900" t="n">
        <v>31</v>
      </c>
      <c r="N900" t="inlineStr">
        <is>
          <t>20260507800356</t>
        </is>
      </c>
      <c r="O900">
        <f>HYPERLINK("https://dart.fss.or.kr/dsaf001/main.do?rcpNo=20260507800356", "공시열람")</f>
        <v/>
      </c>
    </row>
    <row r="901">
      <c r="A901" t="inlineStr">
        <is>
          <t>2026-05-07</t>
        </is>
      </c>
      <c r="B901" t="inlineStr">
        <is>
          <t>인바디</t>
        </is>
      </c>
      <c r="C901" t="inlineStr">
        <is>
          <t>041830</t>
        </is>
      </c>
      <c r="D901" t="inlineStr">
        <is>
          <t>연결</t>
        </is>
      </c>
      <c r="E901" t="inlineStr">
        <is>
          <t>2026Q1</t>
        </is>
      </c>
      <c r="F901" s="2" t="n">
        <v>68445</v>
      </c>
      <c r="G901" t="n">
        <v>9.699999999999999</v>
      </c>
      <c r="H901" t="n">
        <v>23.1</v>
      </c>
      <c r="I901" s="2" t="n">
        <v>13025</v>
      </c>
      <c r="J901" t="n">
        <v>36.8</v>
      </c>
      <c r="K901" t="n">
        <v>86</v>
      </c>
      <c r="L901" s="2" t="n">
        <v>16298</v>
      </c>
      <c r="M901" t="n">
        <v>138.1</v>
      </c>
      <c r="N901" t="inlineStr">
        <is>
          <t>20260507900970</t>
        </is>
      </c>
      <c r="O901">
        <f>HYPERLINK("https://dart.fss.or.kr/dsaf001/main.do?rcpNo=20260507900970", "공시열람")</f>
        <v/>
      </c>
    </row>
    <row r="902">
      <c r="A902" t="inlineStr">
        <is>
          <t>2026-05-07</t>
        </is>
      </c>
      <c r="B902" t="inlineStr">
        <is>
          <t>카페24</t>
        </is>
      </c>
      <c r="C902" t="inlineStr">
        <is>
          <t>042000</t>
        </is>
      </c>
      <c r="D902" t="inlineStr">
        <is>
          <t>연결</t>
        </is>
      </c>
      <c r="E902" t="inlineStr">
        <is>
          <t>2026Q1</t>
        </is>
      </c>
      <c r="F902" s="2" t="n">
        <v>75504</v>
      </c>
      <c r="G902" t="n">
        <v>-13.5</v>
      </c>
      <c r="H902" t="n">
        <v>6</v>
      </c>
      <c r="I902" s="2" t="n">
        <v>6236</v>
      </c>
      <c r="J902" t="n">
        <v>-52</v>
      </c>
      <c r="K902" t="n">
        <v>4.6</v>
      </c>
      <c r="L902" s="2" t="n">
        <v>6357</v>
      </c>
      <c r="M902" t="n">
        <v>20.7</v>
      </c>
      <c r="N902" t="inlineStr">
        <is>
          <t>20260507900853</t>
        </is>
      </c>
      <c r="O902">
        <f>HYPERLINK("https://dart.fss.or.kr/dsaf001/main.do?rcpNo=20260507900853", "공시열람")</f>
        <v/>
      </c>
    </row>
    <row r="903">
      <c r="A903" t="inlineStr">
        <is>
          <t>2026-05-07</t>
        </is>
      </c>
      <c r="B903" t="inlineStr">
        <is>
          <t>하림</t>
        </is>
      </c>
      <c r="C903" t="inlineStr">
        <is>
          <t>136480</t>
        </is>
      </c>
      <c r="D903" t="inlineStr">
        <is>
          <t>별도</t>
        </is>
      </c>
      <c r="E903" t="inlineStr">
        <is>
          <t>2026Q1</t>
        </is>
      </c>
      <c r="F903" s="2" t="n">
        <v>315182</v>
      </c>
      <c r="G903" t="n">
        <v>3.82</v>
      </c>
      <c r="H903" t="n">
        <v>1.7</v>
      </c>
      <c r="I903" s="2" t="n">
        <v>10991</v>
      </c>
      <c r="J903" t="n">
        <v>557.36</v>
      </c>
      <c r="K903" t="n">
        <v>82.03</v>
      </c>
      <c r="L903" s="2" t="n">
        <v>2749</v>
      </c>
      <c r="M903" t="n">
        <v>45.99</v>
      </c>
      <c r="N903" t="inlineStr">
        <is>
          <t>20260507900862</t>
        </is>
      </c>
      <c r="O903">
        <f>HYPERLINK("https://dart.fss.or.kr/dsaf001/main.do?rcpNo=20260507900862", "공시열람")</f>
        <v/>
      </c>
    </row>
    <row r="904">
      <c r="A904" t="inlineStr">
        <is>
          <t>2026-05-07</t>
        </is>
      </c>
      <c r="B904" t="inlineStr">
        <is>
          <t>하림</t>
        </is>
      </c>
      <c r="C904" t="inlineStr">
        <is>
          <t>136480</t>
        </is>
      </c>
      <c r="D904" t="inlineStr">
        <is>
          <t>연결</t>
        </is>
      </c>
      <c r="E904" t="inlineStr">
        <is>
          <t>2026Q1</t>
        </is>
      </c>
      <c r="F904" s="2" t="n">
        <v>327959</v>
      </c>
      <c r="G904" t="n">
        <v>3.83</v>
      </c>
      <c r="H904" t="n">
        <v>1.7</v>
      </c>
      <c r="I904" s="2" t="n">
        <v>11660</v>
      </c>
      <c r="J904" t="n">
        <v>369.97</v>
      </c>
      <c r="K904" t="n">
        <v>67.81999999999999</v>
      </c>
      <c r="L904" s="2" t="n">
        <v>3478</v>
      </c>
      <c r="M904" t="n">
        <v>21.74</v>
      </c>
      <c r="N904" t="inlineStr">
        <is>
          <t>20260507900859</t>
        </is>
      </c>
      <c r="O904">
        <f>HYPERLINK("https://dart.fss.or.kr/dsaf001/main.do?rcpNo=20260507900859", "공시열람")</f>
        <v/>
      </c>
    </row>
    <row r="905">
      <c r="A905" t="inlineStr">
        <is>
          <t>2026-05-07</t>
        </is>
      </c>
      <c r="B905" t="inlineStr">
        <is>
          <t>DB</t>
        </is>
      </c>
      <c r="C905" t="inlineStr">
        <is>
          <t>012030</t>
        </is>
      </c>
      <c r="D905" t="inlineStr">
        <is>
          <t>연결</t>
        </is>
      </c>
      <c r="E905" t="inlineStr">
        <is>
          <t>2026Q1</t>
        </is>
      </c>
      <c r="F905" s="2" t="n">
        <v>166770</v>
      </c>
      <c r="G905" t="n">
        <v>-13.2</v>
      </c>
      <c r="H905" t="n">
        <v>17.5</v>
      </c>
      <c r="I905" s="2" t="n">
        <v>18736</v>
      </c>
      <c r="J905" t="n">
        <v>692.9</v>
      </c>
      <c r="K905" t="n">
        <v>7.9</v>
      </c>
      <c r="L905" s="2" t="n">
        <v>29646</v>
      </c>
      <c r="M905" t="n">
        <v>39.5</v>
      </c>
      <c r="N905" t="inlineStr">
        <is>
          <t>20260507800851</t>
        </is>
      </c>
      <c r="O905">
        <f>HYPERLINK("https://dart.fss.or.kr/dsaf001/main.do?rcpNo=20260507800851", "공시열람")</f>
        <v/>
      </c>
    </row>
    <row r="906">
      <c r="A906" t="inlineStr">
        <is>
          <t>2026-05-07</t>
        </is>
      </c>
      <c r="B906" t="inlineStr">
        <is>
          <t>지씨셀</t>
        </is>
      </c>
      <c r="C906" t="inlineStr">
        <is>
          <t>144510</t>
        </is>
      </c>
      <c r="D906" t="inlineStr">
        <is>
          <t>연결</t>
        </is>
      </c>
      <c r="E906" t="inlineStr">
        <is>
          <t>2026Q1</t>
        </is>
      </c>
      <c r="F906" s="2" t="n">
        <v>37373</v>
      </c>
      <c r="G906" t="n">
        <v>-1.7</v>
      </c>
      <c r="H906" t="n">
        <v>-5.5</v>
      </c>
      <c r="I906" s="2" t="n">
        <v>-5114</v>
      </c>
      <c r="J906" t="n">
        <v>-18.2</v>
      </c>
      <c r="K906" t="n">
        <v>10.2</v>
      </c>
      <c r="L906" s="2" t="n">
        <v>-2942</v>
      </c>
      <c r="M906" t="n">
        <v>83.59999999999999</v>
      </c>
      <c r="N906" t="inlineStr">
        <is>
          <t>20260507900766</t>
        </is>
      </c>
      <c r="O906">
        <f>HYPERLINK("https://dart.fss.or.kr/dsaf001/main.do?rcpNo=20260507900766", "공시열람")</f>
        <v/>
      </c>
    </row>
    <row r="907">
      <c r="A907" t="inlineStr">
        <is>
          <t>2026-05-07</t>
        </is>
      </c>
      <c r="B907" t="inlineStr">
        <is>
          <t>BGF</t>
        </is>
      </c>
      <c r="C907" t="inlineStr">
        <is>
          <t>027410</t>
        </is>
      </c>
      <c r="D907" t="inlineStr">
        <is>
          <t>연결</t>
        </is>
      </c>
      <c r="E907" t="inlineStr">
        <is>
          <t>2026Q1</t>
        </is>
      </c>
      <c r="F907" s="2" t="n">
        <v>104900</v>
      </c>
      <c r="G907" t="n">
        <v>-6.4</v>
      </c>
      <c r="H907" t="n">
        <v>-0.9</v>
      </c>
      <c r="I907" s="2" t="n">
        <v>8500</v>
      </c>
      <c r="J907" t="n">
        <v>-28.6</v>
      </c>
      <c r="K907" t="n">
        <v>63.5</v>
      </c>
      <c r="L907" s="2" t="n">
        <v>9100</v>
      </c>
      <c r="M907" t="n">
        <v>102.2</v>
      </c>
      <c r="N907" t="inlineStr">
        <is>
          <t>20260507800441</t>
        </is>
      </c>
      <c r="O907">
        <f>HYPERLINK("https://dart.fss.or.kr/dsaf001/main.do?rcpNo=20260507800441", "공시열람")</f>
        <v/>
      </c>
    </row>
    <row r="908">
      <c r="A908" t="inlineStr">
        <is>
          <t>2026-05-07</t>
        </is>
      </c>
      <c r="B908" t="inlineStr">
        <is>
          <t>녹십자엠에스</t>
        </is>
      </c>
      <c r="C908" t="inlineStr">
        <is>
          <t>142280</t>
        </is>
      </c>
      <c r="D908" t="inlineStr">
        <is>
          <t>연결</t>
        </is>
      </c>
      <c r="E908" t="inlineStr">
        <is>
          <t>2026Q1</t>
        </is>
      </c>
      <c r="F908" s="2" t="n">
        <v>23551</v>
      </c>
      <c r="G908" t="n">
        <v>-6</v>
      </c>
      <c r="H908" t="n">
        <v>-11.1</v>
      </c>
      <c r="I908" s="2" t="n">
        <v>292</v>
      </c>
      <c r="J908" t="n">
        <v>-25.1</v>
      </c>
      <c r="K908" t="n">
        <v>-41.1</v>
      </c>
      <c r="L908" s="2" t="n">
        <v>221</v>
      </c>
      <c r="M908" t="inlineStr"/>
      <c r="N908" t="inlineStr">
        <is>
          <t>20260507900616</t>
        </is>
      </c>
      <c r="O908">
        <f>HYPERLINK("https://dart.fss.or.kr/dsaf001/main.do?rcpNo=20260507900616", "공시열람")</f>
        <v/>
      </c>
    </row>
    <row r="909">
      <c r="A909" t="inlineStr">
        <is>
          <t>2026-05-07</t>
        </is>
      </c>
      <c r="B909" t="inlineStr">
        <is>
          <t>녹십자웰빙</t>
        </is>
      </c>
      <c r="C909" t="inlineStr">
        <is>
          <t>234690</t>
        </is>
      </c>
      <c r="D909" t="inlineStr">
        <is>
          <t>연결</t>
        </is>
      </c>
      <c r="E909" t="inlineStr">
        <is>
          <t>2026Q1</t>
        </is>
      </c>
      <c r="F909" s="2" t="n">
        <v>49125</v>
      </c>
      <c r="G909" t="n">
        <v>0.8</v>
      </c>
      <c r="H909" t="n">
        <v>41.3</v>
      </c>
      <c r="I909" s="2" t="n">
        <v>4823</v>
      </c>
      <c r="J909" t="n">
        <v>67.90000000000001</v>
      </c>
      <c r="K909" t="n">
        <v>-3.3</v>
      </c>
      <c r="L909" s="2" t="n">
        <v>-3046</v>
      </c>
      <c r="M909" t="inlineStr"/>
      <c r="N909" t="inlineStr">
        <is>
          <t>20260507900578</t>
        </is>
      </c>
      <c r="O909">
        <f>HYPERLINK("https://dart.fss.or.kr/dsaf001/main.do?rcpNo=20260507900578", "공시열람")</f>
        <v/>
      </c>
    </row>
    <row r="910">
      <c r="A910" t="inlineStr">
        <is>
          <t>2026-05-07</t>
        </is>
      </c>
      <c r="B910" t="inlineStr">
        <is>
          <t>콘텐트리중앙</t>
        </is>
      </c>
      <c r="C910" t="inlineStr">
        <is>
          <t>036420</t>
        </is>
      </c>
      <c r="D910" t="inlineStr">
        <is>
          <t>연결</t>
        </is>
      </c>
      <c r="E910" t="inlineStr">
        <is>
          <t>2026Q1</t>
        </is>
      </c>
      <c r="F910" s="2" t="n">
        <v>191787</v>
      </c>
      <c r="G910" t="n">
        <v>-27.3</v>
      </c>
      <c r="H910" t="n">
        <v>-14.8</v>
      </c>
      <c r="I910" s="2" t="n">
        <v>-1560</v>
      </c>
      <c r="J910" t="inlineStr"/>
      <c r="K910" t="n">
        <v>87.09999999999999</v>
      </c>
      <c r="L910" s="2" t="n">
        <v>-23740</v>
      </c>
      <c r="M910" t="n">
        <v>36.5</v>
      </c>
      <c r="N910" t="inlineStr">
        <is>
          <t>20260507800589</t>
        </is>
      </c>
      <c r="O910">
        <f>HYPERLINK("https://dart.fss.or.kr/dsaf001/main.do?rcpNo=20260507800589", "공시열람")</f>
        <v/>
      </c>
    </row>
    <row r="911">
      <c r="A911" t="inlineStr">
        <is>
          <t>2026-05-07</t>
        </is>
      </c>
      <c r="B911" t="inlineStr">
        <is>
          <t>케이티앤지</t>
        </is>
      </c>
      <c r="C911" t="inlineStr">
        <is>
          <t>033780</t>
        </is>
      </c>
      <c r="D911" t="inlineStr">
        <is>
          <t>연결</t>
        </is>
      </c>
      <c r="E911" t="inlineStr">
        <is>
          <t>2026Q1</t>
        </is>
      </c>
      <c r="F911" s="2" t="n">
        <v>1703598</v>
      </c>
      <c r="G911" t="n">
        <v>-0.6</v>
      </c>
      <c r="H911" t="n">
        <v>14.3</v>
      </c>
      <c r="I911" s="2" t="n">
        <v>364537</v>
      </c>
      <c r="J911" t="n">
        <v>50.1</v>
      </c>
      <c r="K911" t="n">
        <v>27.7</v>
      </c>
      <c r="L911" s="2" t="n">
        <v>378240</v>
      </c>
      <c r="M911" t="n">
        <v>46.6</v>
      </c>
      <c r="N911" t="inlineStr">
        <is>
          <t>20260507800610</t>
        </is>
      </c>
      <c r="O911">
        <f>HYPERLINK("https://dart.fss.or.kr/dsaf001/main.do?rcpNo=20260507800610", "공시열람")</f>
        <v/>
      </c>
    </row>
    <row r="912">
      <c r="A912" t="inlineStr">
        <is>
          <t>2026-05-07</t>
        </is>
      </c>
      <c r="B912" t="inlineStr">
        <is>
          <t>KTcs</t>
        </is>
      </c>
      <c r="C912" t="inlineStr">
        <is>
          <t>058850</t>
        </is>
      </c>
      <c r="D912" t="inlineStr">
        <is>
          <t>별도</t>
        </is>
      </c>
      <c r="E912" t="inlineStr">
        <is>
          <t>2026Q1</t>
        </is>
      </c>
      <c r="F912" s="2" t="n">
        <v>164492</v>
      </c>
      <c r="G912" t="n">
        <v>-2.4</v>
      </c>
      <c r="H912" t="n">
        <v>1.2</v>
      </c>
      <c r="I912" s="2" t="n">
        <v>7625</v>
      </c>
      <c r="J912" t="inlineStr"/>
      <c r="K912" t="n">
        <v>67.8</v>
      </c>
      <c r="L912" s="2" t="n">
        <v>5776</v>
      </c>
      <c r="M912" t="n">
        <v>62.8</v>
      </c>
      <c r="N912" t="inlineStr">
        <is>
          <t>20260507800540</t>
        </is>
      </c>
      <c r="O912">
        <f>HYPERLINK("https://dart.fss.or.kr/dsaf001/main.do?rcpNo=20260507800540", "공시열람")</f>
        <v/>
      </c>
    </row>
    <row r="913">
      <c r="A913" t="inlineStr">
        <is>
          <t>2026-05-07</t>
        </is>
      </c>
      <c r="B913" t="inlineStr">
        <is>
          <t>한국항공우주</t>
        </is>
      </c>
      <c r="C913" t="inlineStr">
        <is>
          <t>047810</t>
        </is>
      </c>
      <c r="D913" t="inlineStr">
        <is>
          <t>연결</t>
        </is>
      </c>
      <c r="E913" t="inlineStr">
        <is>
          <t>2026Q1</t>
        </is>
      </c>
      <c r="F913" s="2" t="n">
        <v>1092700</v>
      </c>
      <c r="G913" t="n">
        <v>-25.5</v>
      </c>
      <c r="H913" t="n">
        <v>56.3</v>
      </c>
      <c r="I913" s="2" t="n">
        <v>67100</v>
      </c>
      <c r="J913" t="n">
        <v>-12.8</v>
      </c>
      <c r="K913" t="n">
        <v>43.4</v>
      </c>
      <c r="L913" s="2" t="n">
        <v>41300</v>
      </c>
      <c r="M913" t="n">
        <v>41.7</v>
      </c>
      <c r="N913" t="inlineStr">
        <is>
          <t>20260507800545</t>
        </is>
      </c>
      <c r="O913">
        <f>HYPERLINK("https://dart.fss.or.kr/dsaf001/main.do?rcpNo=20260507800545", "공시열람")</f>
        <v/>
      </c>
    </row>
    <row r="914">
      <c r="A914" t="inlineStr">
        <is>
          <t>2026-05-07</t>
        </is>
      </c>
      <c r="B914" t="inlineStr">
        <is>
          <t>레드캡투어</t>
        </is>
      </c>
      <c r="C914" t="inlineStr">
        <is>
          <t>038390</t>
        </is>
      </c>
      <c r="D914" t="inlineStr">
        <is>
          <t>연결</t>
        </is>
      </c>
      <c r="E914" t="inlineStr">
        <is>
          <t>2026Q1</t>
        </is>
      </c>
      <c r="F914" s="2" t="n">
        <v>92351</v>
      </c>
      <c r="G914" t="n">
        <v>20.6</v>
      </c>
      <c r="H914" t="n">
        <v>-12.3</v>
      </c>
      <c r="I914" s="2" t="n">
        <v>17921</v>
      </c>
      <c r="J914" t="n">
        <v>251.5</v>
      </c>
      <c r="K914" t="n">
        <v>0.4</v>
      </c>
      <c r="L914" s="2" t="n">
        <v>10865</v>
      </c>
      <c r="M914" t="n">
        <v>2.8</v>
      </c>
      <c r="N914" t="inlineStr">
        <is>
          <t>20260507900563</t>
        </is>
      </c>
      <c r="O914">
        <f>HYPERLINK("https://dart.fss.or.kr/dsaf001/main.do?rcpNo=20260507900563", "공시열람")</f>
        <v/>
      </c>
    </row>
    <row r="915">
      <c r="A915" t="inlineStr">
        <is>
          <t>2026-05-07</t>
        </is>
      </c>
      <c r="B915" t="inlineStr">
        <is>
          <t>KTcs</t>
        </is>
      </c>
      <c r="C915" t="inlineStr">
        <is>
          <t>058850</t>
        </is>
      </c>
      <c r="D915" t="inlineStr">
        <is>
          <t>연결</t>
        </is>
      </c>
      <c r="E915" t="inlineStr">
        <is>
          <t>2026Q1</t>
        </is>
      </c>
      <c r="F915" s="2" t="n">
        <v>235761</v>
      </c>
      <c r="G915" t="n">
        <v>-18.9</v>
      </c>
      <c r="H915" t="n">
        <v>0.2</v>
      </c>
      <c r="I915" s="2" t="n">
        <v>10499</v>
      </c>
      <c r="J915" t="n">
        <v>793.5</v>
      </c>
      <c r="K915" t="n">
        <v>58.3</v>
      </c>
      <c r="L915" s="2" t="n">
        <v>8127</v>
      </c>
      <c r="M915" t="n">
        <v>53.5</v>
      </c>
      <c r="N915" t="inlineStr">
        <is>
          <t>20260507800537</t>
        </is>
      </c>
      <c r="O915">
        <f>HYPERLINK("https://dart.fss.or.kr/dsaf001/main.do?rcpNo=20260507800537", "공시열람")</f>
        <v/>
      </c>
    </row>
    <row r="916">
      <c r="A916" t="inlineStr">
        <is>
          <t>2026-05-07</t>
        </is>
      </c>
      <c r="B916" t="inlineStr">
        <is>
          <t>넷마블</t>
        </is>
      </c>
      <c r="C916" t="inlineStr">
        <is>
          <t>251270</t>
        </is>
      </c>
      <c r="D916" t="inlineStr">
        <is>
          <t>연결</t>
        </is>
      </c>
      <c r="E916" t="inlineStr">
        <is>
          <t>2026Q1</t>
        </is>
      </c>
      <c r="F916" s="2" t="n">
        <v>651700</v>
      </c>
      <c r="G916" t="n">
        <v>-18.3</v>
      </c>
      <c r="H916" t="n">
        <v>4.5</v>
      </c>
      <c r="I916" s="2" t="n">
        <v>53100</v>
      </c>
      <c r="J916" t="n">
        <v>-52.1</v>
      </c>
      <c r="K916" t="n">
        <v>6.8</v>
      </c>
      <c r="L916" s="2" t="n">
        <v>210900</v>
      </c>
      <c r="M916" t="n">
        <v>163</v>
      </c>
      <c r="N916" t="inlineStr">
        <is>
          <t>20260507800558</t>
        </is>
      </c>
      <c r="O916">
        <f>HYPERLINK("https://dart.fss.or.kr/dsaf001/main.do?rcpNo=20260507800558", "공시열람")</f>
        <v/>
      </c>
    </row>
    <row r="917">
      <c r="A917" t="inlineStr">
        <is>
          <t>2026-05-07</t>
        </is>
      </c>
      <c r="B917" t="inlineStr">
        <is>
          <t>CJ ENM</t>
        </is>
      </c>
      <c r="C917" t="inlineStr">
        <is>
          <t>035760</t>
        </is>
      </c>
      <c r="D917" t="inlineStr">
        <is>
          <t>연결</t>
        </is>
      </c>
      <c r="E917" t="inlineStr">
        <is>
          <t>2026Q1</t>
        </is>
      </c>
      <c r="F917" s="2" t="n">
        <v>1329666</v>
      </c>
      <c r="G917" t="n">
        <v>-7.5</v>
      </c>
      <c r="H917" t="n">
        <v>16.8</v>
      </c>
      <c r="I917" s="2" t="n">
        <v>1460</v>
      </c>
      <c r="J917" t="n">
        <v>-98.3</v>
      </c>
      <c r="K917" t="n">
        <v>107.1</v>
      </c>
      <c r="L917" s="2" t="n">
        <v>-6104</v>
      </c>
      <c r="M917" t="n">
        <v>92.59999999999999</v>
      </c>
      <c r="N917" t="inlineStr">
        <is>
          <t>20260507900329</t>
        </is>
      </c>
      <c r="O917">
        <f>HYPERLINK("https://dart.fss.or.kr/dsaf001/main.do?rcpNo=20260507900329", "공시열람")</f>
        <v/>
      </c>
    </row>
    <row r="918">
      <c r="A918" t="inlineStr">
        <is>
          <t>2026-05-07</t>
        </is>
      </c>
      <c r="B918" t="inlineStr">
        <is>
          <t>코스맥스엔비티</t>
        </is>
      </c>
      <c r="C918" t="inlineStr">
        <is>
          <t>222040</t>
        </is>
      </c>
      <c r="D918" t="inlineStr">
        <is>
          <t>연결</t>
        </is>
      </c>
      <c r="E918" t="inlineStr">
        <is>
          <t>2026Q1</t>
        </is>
      </c>
      <c r="F918" s="2" t="n">
        <v>93262</v>
      </c>
      <c r="G918" t="n">
        <v>26.1</v>
      </c>
      <c r="H918" t="n">
        <v>29.2</v>
      </c>
      <c r="I918" s="2" t="n">
        <v>10274</v>
      </c>
      <c r="J918" t="n">
        <v>479.1</v>
      </c>
      <c r="K918" t="n">
        <v>1080.1</v>
      </c>
      <c r="L918" s="2" t="n">
        <v>9144</v>
      </c>
      <c r="M918" t="inlineStr"/>
      <c r="N918" t="inlineStr">
        <is>
          <t>20260507900519</t>
        </is>
      </c>
      <c r="O918">
        <f>HYPERLINK("https://dart.fss.or.kr/dsaf001/main.do?rcpNo=20260507900519", "공시열람")</f>
        <v/>
      </c>
    </row>
    <row r="919">
      <c r="A919" t="inlineStr">
        <is>
          <t>2026-05-07</t>
        </is>
      </c>
      <c r="B919" t="inlineStr">
        <is>
          <t>아이쓰리시스템</t>
        </is>
      </c>
      <c r="C919" t="inlineStr">
        <is>
          <t>214430</t>
        </is>
      </c>
      <c r="D919" t="inlineStr">
        <is>
          <t>별도</t>
        </is>
      </c>
      <c r="E919" t="inlineStr">
        <is>
          <t>2026Q1</t>
        </is>
      </c>
      <c r="F919" s="2" t="n">
        <v>32371</v>
      </c>
      <c r="G919" t="n">
        <v>13.7</v>
      </c>
      <c r="H919" t="n">
        <v>-15.1</v>
      </c>
      <c r="I919" s="2" t="n">
        <v>4374</v>
      </c>
      <c r="J919" t="n">
        <v>14.9</v>
      </c>
      <c r="K919" t="n">
        <v>-24.4</v>
      </c>
      <c r="L919" s="2" t="n">
        <v>4893</v>
      </c>
      <c r="M919" t="n">
        <v>-13.1</v>
      </c>
      <c r="N919" t="inlineStr">
        <is>
          <t>20260507900490</t>
        </is>
      </c>
      <c r="O919">
        <f>HYPERLINK("https://dart.fss.or.kr/dsaf001/main.do?rcpNo=20260507900490", "공시열람")</f>
        <v/>
      </c>
    </row>
    <row r="920">
      <c r="A920" t="inlineStr">
        <is>
          <t>2026-05-07</t>
        </is>
      </c>
      <c r="B920" t="inlineStr">
        <is>
          <t>KG케미칼</t>
        </is>
      </c>
      <c r="C920" t="inlineStr">
        <is>
          <t>001390</t>
        </is>
      </c>
      <c r="D920" t="inlineStr">
        <is>
          <t>연결</t>
        </is>
      </c>
      <c r="E920" t="inlineStr">
        <is>
          <t>2026Q1</t>
        </is>
      </c>
      <c r="F920" s="2" t="n">
        <v>2393426</v>
      </c>
      <c r="G920" t="n">
        <v>2.45</v>
      </c>
      <c r="H920" t="n">
        <v>12.81</v>
      </c>
      <c r="I920" s="2" t="n">
        <v>64593</v>
      </c>
      <c r="J920" t="n">
        <v>115.04</v>
      </c>
      <c r="K920" t="n">
        <v>-39.39</v>
      </c>
      <c r="L920" s="2" t="n">
        <v>92012</v>
      </c>
      <c r="M920" t="n">
        <v>25.28</v>
      </c>
      <c r="N920" t="inlineStr">
        <is>
          <t>20260507800509</t>
        </is>
      </c>
      <c r="O920">
        <f>HYPERLINK("https://dart.fss.or.kr/dsaf001/main.do?rcpNo=20260507800509", "공시열람")</f>
        <v/>
      </c>
    </row>
    <row r="921">
      <c r="A921" t="inlineStr">
        <is>
          <t>2026-05-07</t>
        </is>
      </c>
      <c r="B921" t="inlineStr">
        <is>
          <t>LG</t>
        </is>
      </c>
      <c r="C921" t="inlineStr">
        <is>
          <t>003550</t>
        </is>
      </c>
      <c r="D921" t="inlineStr">
        <is>
          <t>연결</t>
        </is>
      </c>
      <c r="E921" t="inlineStr">
        <is>
          <t>2026Q1</t>
        </is>
      </c>
      <c r="F921" s="2" t="n">
        <v>1800623</v>
      </c>
      <c r="G921" t="n">
        <v>18.3</v>
      </c>
      <c r="H921" t="n">
        <v>-7</v>
      </c>
      <c r="I921" s="2" t="n">
        <v>413830</v>
      </c>
      <c r="J921" t="inlineStr"/>
      <c r="K921" t="n">
        <v>-35.1</v>
      </c>
      <c r="L921" s="2" t="n">
        <v>378965</v>
      </c>
      <c r="M921" t="n">
        <v>-37.7</v>
      </c>
      <c r="N921" t="inlineStr">
        <is>
          <t>20260507800505</t>
        </is>
      </c>
      <c r="O921">
        <f>HYPERLINK("https://dart.fss.or.kr/dsaf001/main.do?rcpNo=20260507800505", "공시열람")</f>
        <v/>
      </c>
    </row>
    <row r="922">
      <c r="A922" t="inlineStr">
        <is>
          <t>2026-05-07</t>
        </is>
      </c>
      <c r="B922" t="inlineStr">
        <is>
          <t>KZ정밀</t>
        </is>
      </c>
      <c r="C922" t="inlineStr">
        <is>
          <t>036560</t>
        </is>
      </c>
      <c r="D922" t="inlineStr">
        <is>
          <t>별도</t>
        </is>
      </c>
      <c r="E922" t="inlineStr">
        <is>
          <t>2026Q1</t>
        </is>
      </c>
      <c r="F922" s="2" t="n">
        <v>22968</v>
      </c>
      <c r="G922" t="n">
        <v>-19.9</v>
      </c>
      <c r="H922" t="n">
        <v>5.8</v>
      </c>
      <c r="I922" s="2" t="n">
        <v>1826</v>
      </c>
      <c r="J922" t="n">
        <v>32.7</v>
      </c>
      <c r="K922" t="n">
        <v>-4.3</v>
      </c>
      <c r="L922" s="2" t="n">
        <v>8524</v>
      </c>
      <c r="M922" t="n">
        <v>221.9</v>
      </c>
      <c r="N922" t="inlineStr">
        <is>
          <t>20260507900499</t>
        </is>
      </c>
      <c r="O922">
        <f>HYPERLINK("https://dart.fss.or.kr/dsaf001/main.do?rcpNo=20260507900499", "공시열람")</f>
        <v/>
      </c>
    </row>
    <row r="923">
      <c r="A923" t="inlineStr">
        <is>
          <t>2026-05-07</t>
        </is>
      </c>
      <c r="B923" t="inlineStr">
        <is>
          <t>모델솔루션</t>
        </is>
      </c>
      <c r="C923" t="inlineStr">
        <is>
          <t>417970</t>
        </is>
      </c>
      <c r="D923" t="inlineStr">
        <is>
          <t>별도</t>
        </is>
      </c>
      <c r="E923" t="inlineStr">
        <is>
          <t>2026Q1</t>
        </is>
      </c>
      <c r="F923" s="2" t="n">
        <v>18709</v>
      </c>
      <c r="G923" t="n">
        <v>-11.56</v>
      </c>
      <c r="H923" t="n">
        <v>13.99</v>
      </c>
      <c r="I923" s="2" t="n">
        <v>748</v>
      </c>
      <c r="J923" t="n">
        <v>-71.36</v>
      </c>
      <c r="K923" t="n">
        <v>46.04</v>
      </c>
      <c r="L923" s="2" t="n">
        <v>1966</v>
      </c>
      <c r="M923" t="n">
        <v>225.13</v>
      </c>
      <c r="N923" t="inlineStr">
        <is>
          <t>20260507900492</t>
        </is>
      </c>
      <c r="O923">
        <f>HYPERLINK("https://dart.fss.or.kr/dsaf001/main.do?rcpNo=20260507900492", "공시열람")</f>
        <v/>
      </c>
    </row>
    <row r="924">
      <c r="A924" t="inlineStr">
        <is>
          <t>2026-05-07</t>
        </is>
      </c>
      <c r="B924" t="inlineStr">
        <is>
          <t>HL D&amp;I</t>
        </is>
      </c>
      <c r="C924" t="inlineStr">
        <is>
          <t>014790</t>
        </is>
      </c>
      <c r="D924" t="inlineStr">
        <is>
          <t>연결</t>
        </is>
      </c>
      <c r="E924" t="inlineStr">
        <is>
          <t>2026Q1</t>
        </is>
      </c>
      <c r="F924" s="2" t="n">
        <v>384616</v>
      </c>
      <c r="G924" t="n">
        <v>-27.9</v>
      </c>
      <c r="H924" t="n">
        <v>18.4</v>
      </c>
      <c r="I924" s="2" t="n">
        <v>18984</v>
      </c>
      <c r="J924" t="n">
        <v>-6.6</v>
      </c>
      <c r="K924" t="n">
        <v>34</v>
      </c>
      <c r="L924" s="2" t="n">
        <v>6548</v>
      </c>
      <c r="M924" t="n">
        <v>94.09999999999999</v>
      </c>
      <c r="N924" t="inlineStr">
        <is>
          <t>20260507800475</t>
        </is>
      </c>
      <c r="O924">
        <f>HYPERLINK("https://dart.fss.or.kr/dsaf001/main.do?rcpNo=20260507800475", "공시열람")</f>
        <v/>
      </c>
    </row>
    <row r="925">
      <c r="A925" t="inlineStr">
        <is>
          <t>2026-05-06</t>
        </is>
      </c>
      <c r="B925" t="inlineStr">
        <is>
          <t>케이피에프</t>
        </is>
      </c>
      <c r="C925" t="inlineStr">
        <is>
          <t>024880</t>
        </is>
      </c>
      <c r="D925" t="inlineStr">
        <is>
          <t>연결</t>
        </is>
      </c>
      <c r="E925" t="inlineStr">
        <is>
          <t>2026Q1</t>
        </is>
      </c>
      <c r="F925" s="2" t="n">
        <v>194246</v>
      </c>
      <c r="G925" t="n">
        <v>10.9</v>
      </c>
      <c r="H925" t="n">
        <v>-6</v>
      </c>
      <c r="I925" s="2" t="n">
        <v>7824</v>
      </c>
      <c r="J925" t="n">
        <v>274.9</v>
      </c>
      <c r="K925" t="n">
        <v>-43.4</v>
      </c>
      <c r="L925" s="2" t="n">
        <v>8360</v>
      </c>
      <c r="M925" t="n">
        <v>-9.6</v>
      </c>
      <c r="N925" t="inlineStr">
        <is>
          <t>20260506900330</t>
        </is>
      </c>
      <c r="O925">
        <f>HYPERLINK("https://dart.fss.or.kr/dsaf001/main.do?rcpNo=20260506900330", "공시열람")</f>
        <v/>
      </c>
    </row>
    <row r="926">
      <c r="A926" t="inlineStr">
        <is>
          <t>2026-05-06</t>
        </is>
      </c>
      <c r="B926" t="inlineStr">
        <is>
          <t>GS피앤엘</t>
        </is>
      </c>
      <c r="C926" t="inlineStr">
        <is>
          <t>499790</t>
        </is>
      </c>
      <c r="D926" t="inlineStr">
        <is>
          <t>연결</t>
        </is>
      </c>
      <c r="E926" t="inlineStr">
        <is>
          <t>2026Q1</t>
        </is>
      </c>
      <c r="F926" s="2" t="n">
        <v>130366</v>
      </c>
      <c r="G926" t="n">
        <v>-14.8</v>
      </c>
      <c r="H926" t="n">
        <v>38</v>
      </c>
      <c r="I926" s="2" t="n">
        <v>24162</v>
      </c>
      <c r="J926" t="n">
        <v>-22.8</v>
      </c>
      <c r="K926" t="n">
        <v>58.8</v>
      </c>
      <c r="L926" s="2" t="n">
        <v>14064</v>
      </c>
      <c r="M926" t="n">
        <v>68.7</v>
      </c>
      <c r="N926" t="inlineStr">
        <is>
          <t>20260506800354</t>
        </is>
      </c>
      <c r="O926">
        <f>HYPERLINK("https://dart.fss.or.kr/dsaf001/main.do?rcpNo=20260506800354", "공시열람")</f>
        <v/>
      </c>
    </row>
    <row r="927">
      <c r="A927" t="inlineStr">
        <is>
          <t>2026-05-06</t>
        </is>
      </c>
      <c r="B927" t="inlineStr">
        <is>
          <t>에스앤에스텍</t>
        </is>
      </c>
      <c r="C927" t="inlineStr">
        <is>
          <t>101490</t>
        </is>
      </c>
      <c r="D927" t="inlineStr">
        <is>
          <t>연결</t>
        </is>
      </c>
      <c r="E927" t="inlineStr">
        <is>
          <t>2026Q1</t>
        </is>
      </c>
      <c r="F927" s="2" t="n">
        <v>61692</v>
      </c>
      <c r="G927" t="n">
        <v>-3</v>
      </c>
      <c r="H927" t="n">
        <v>6.6</v>
      </c>
      <c r="I927" s="2" t="n">
        <v>11376</v>
      </c>
      <c r="J927" t="n">
        <v>-14.5</v>
      </c>
      <c r="K927" t="n">
        <v>-4.2</v>
      </c>
      <c r="L927" s="2" t="n">
        <v>13793</v>
      </c>
      <c r="M927" t="n">
        <v>15.8</v>
      </c>
      <c r="N927" t="inlineStr">
        <is>
          <t>20260506900335</t>
        </is>
      </c>
      <c r="O927">
        <f>HYPERLINK("https://dart.fss.or.kr/dsaf001/main.do?rcpNo=20260506900335", "공시열람")</f>
        <v/>
      </c>
    </row>
    <row r="928">
      <c r="A928" t="inlineStr">
        <is>
          <t>2026-05-06</t>
        </is>
      </c>
      <c r="B928" t="inlineStr">
        <is>
          <t>대창솔루션</t>
        </is>
      </c>
      <c r="C928" t="inlineStr">
        <is>
          <t>096350</t>
        </is>
      </c>
      <c r="D928" t="inlineStr">
        <is>
          <t>별도</t>
        </is>
      </c>
      <c r="E928" t="inlineStr">
        <is>
          <t>2026Q1</t>
        </is>
      </c>
      <c r="F928" s="2" t="n">
        <v>14537</v>
      </c>
      <c r="G928" t="n">
        <v>6.2</v>
      </c>
      <c r="H928" t="n">
        <v>107.8</v>
      </c>
      <c r="I928" s="2" t="n">
        <v>898</v>
      </c>
      <c r="J928" t="n">
        <v>232.1</v>
      </c>
      <c r="K928" t="n">
        <v>296.5</v>
      </c>
      <c r="L928" s="2" t="n">
        <v>538</v>
      </c>
      <c r="M928" t="n">
        <v>178.9</v>
      </c>
      <c r="N928" t="inlineStr">
        <is>
          <t>20260506900152</t>
        </is>
      </c>
      <c r="O928">
        <f>HYPERLINK("https://dart.fss.or.kr/dsaf001/main.do?rcpNo=20260506900152", "공시열람")</f>
        <v/>
      </c>
    </row>
    <row r="929">
      <c r="A929" t="inlineStr">
        <is>
          <t>2026-05-06</t>
        </is>
      </c>
      <c r="B929" t="inlineStr">
        <is>
          <t>현대퓨처넷</t>
        </is>
      </c>
      <c r="C929" t="inlineStr">
        <is>
          <t>126560</t>
        </is>
      </c>
      <c r="D929" t="inlineStr">
        <is>
          <t>연결</t>
        </is>
      </c>
      <c r="E929" t="inlineStr">
        <is>
          <t>2026Q1</t>
        </is>
      </c>
      <c r="F929" s="2" t="n">
        <v>70855</v>
      </c>
      <c r="G929" t="n">
        <v>8.1</v>
      </c>
      <c r="H929" t="n">
        <v>6.3</v>
      </c>
      <c r="I929" s="2" t="n">
        <v>4307</v>
      </c>
      <c r="J929" t="inlineStr"/>
      <c r="K929" t="n">
        <v>14.4</v>
      </c>
      <c r="L929" s="2" t="n">
        <v>6186</v>
      </c>
      <c r="M929" t="inlineStr"/>
      <c r="N929" t="inlineStr">
        <is>
          <t>20260506800338</t>
        </is>
      </c>
      <c r="O929">
        <f>HYPERLINK("https://dart.fss.or.kr/dsaf001/main.do?rcpNo=20260506800338", "공시열람")</f>
        <v/>
      </c>
    </row>
    <row r="930">
      <c r="A930" t="inlineStr">
        <is>
          <t>2026-05-06</t>
        </is>
      </c>
      <c r="B930" t="inlineStr">
        <is>
          <t>샘씨엔에스</t>
        </is>
      </c>
      <c r="C930" t="inlineStr">
        <is>
          <t>252990</t>
        </is>
      </c>
      <c r="D930" t="inlineStr">
        <is>
          <t>별도</t>
        </is>
      </c>
      <c r="E930" t="inlineStr">
        <is>
          <t>2026Q1</t>
        </is>
      </c>
      <c r="F930" s="2" t="n">
        <v>27175</v>
      </c>
      <c r="G930" t="n">
        <v>19.8</v>
      </c>
      <c r="H930" t="n">
        <v>72.5</v>
      </c>
      <c r="I930" s="2" t="n">
        <v>7679</v>
      </c>
      <c r="J930" t="n">
        <v>76.3</v>
      </c>
      <c r="K930" t="n">
        <v>436.9</v>
      </c>
      <c r="L930" s="2" t="n">
        <v>7820</v>
      </c>
      <c r="M930" t="n">
        <v>561.2</v>
      </c>
      <c r="N930" t="inlineStr">
        <is>
          <t>20260506900328</t>
        </is>
      </c>
      <c r="O930">
        <f>HYPERLINK("https://dart.fss.or.kr/dsaf001/main.do?rcpNo=20260506900328", "공시열람")</f>
        <v/>
      </c>
    </row>
    <row r="931">
      <c r="A931" t="inlineStr">
        <is>
          <t>2026-05-06</t>
        </is>
      </c>
      <c r="B931" t="inlineStr">
        <is>
          <t>케이씨씨</t>
        </is>
      </c>
      <c r="C931" t="inlineStr">
        <is>
          <t>002380</t>
        </is>
      </c>
      <c r="D931" t="inlineStr">
        <is>
          <t>연결</t>
        </is>
      </c>
      <c r="E931" t="inlineStr">
        <is>
          <t>2026Q1</t>
        </is>
      </c>
      <c r="F931" s="2" t="n">
        <v>1626400</v>
      </c>
      <c r="G931" t="n">
        <v>4.5</v>
      </c>
      <c r="H931" t="n">
        <v>1.7</v>
      </c>
      <c r="I931" s="2" t="n">
        <v>88128</v>
      </c>
      <c r="J931" t="n">
        <v>32.5</v>
      </c>
      <c r="K931" t="n">
        <v>-14.8</v>
      </c>
      <c r="L931" s="2" t="n">
        <v>216957</v>
      </c>
      <c r="M931" t="n">
        <v>392.5</v>
      </c>
      <c r="N931" t="inlineStr">
        <is>
          <t>20260506800325</t>
        </is>
      </c>
      <c r="O931">
        <f>HYPERLINK("https://dart.fss.or.kr/dsaf001/main.do?rcpNo=20260506800325", "공시열람")</f>
        <v/>
      </c>
    </row>
    <row r="932">
      <c r="A932" t="inlineStr">
        <is>
          <t>2026-05-06</t>
        </is>
      </c>
      <c r="B932" t="inlineStr">
        <is>
          <t>한화</t>
        </is>
      </c>
      <c r="C932" t="inlineStr">
        <is>
          <t>000880</t>
        </is>
      </c>
      <c r="D932" t="inlineStr">
        <is>
          <t>별도</t>
        </is>
      </c>
      <c r="E932" t="inlineStr">
        <is>
          <t>2026Q1</t>
        </is>
      </c>
      <c r="F932" s="2" t="n">
        <v>1057923</v>
      </c>
      <c r="G932" t="n">
        <v>5.12</v>
      </c>
      <c r="H932" t="n">
        <v>-4.04</v>
      </c>
      <c r="I932" s="2" t="n">
        <v>189490</v>
      </c>
      <c r="J932" t="inlineStr"/>
      <c r="K932" t="n">
        <v>24.81</v>
      </c>
      <c r="L932" s="2" t="n">
        <v>107027</v>
      </c>
      <c r="M932" t="n">
        <v>24.65</v>
      </c>
      <c r="N932" t="inlineStr">
        <is>
          <t>20260506800314</t>
        </is>
      </c>
      <c r="O932">
        <f>HYPERLINK("https://dart.fss.or.kr/dsaf001/main.do?rcpNo=20260506800314", "공시열람")</f>
        <v/>
      </c>
    </row>
    <row r="933">
      <c r="A933" t="inlineStr">
        <is>
          <t>2026-05-06</t>
        </is>
      </c>
      <c r="B933" t="inlineStr">
        <is>
          <t>중앙백신</t>
        </is>
      </c>
      <c r="C933" t="inlineStr">
        <is>
          <t>072020</t>
        </is>
      </c>
      <c r="D933" t="inlineStr">
        <is>
          <t>별도</t>
        </is>
      </c>
      <c r="E933" t="inlineStr">
        <is>
          <t>2026Q1</t>
        </is>
      </c>
      <c r="F933" s="2" t="n">
        <v>12594</v>
      </c>
      <c r="G933" t="n">
        <v>-1.6</v>
      </c>
      <c r="H933" t="n">
        <v>-4.9</v>
      </c>
      <c r="I933" s="2" t="n">
        <v>2997</v>
      </c>
      <c r="J933" t="n">
        <v>161.9</v>
      </c>
      <c r="K933" t="n">
        <v>31</v>
      </c>
      <c r="L933" s="2" t="n">
        <v>3333</v>
      </c>
      <c r="M933" t="n">
        <v>57.6</v>
      </c>
      <c r="N933" t="inlineStr">
        <is>
          <t>20260506900261</t>
        </is>
      </c>
      <c r="O933">
        <f>HYPERLINK("https://dart.fss.or.kr/dsaf001/main.do?rcpNo=20260506900261", "공시열람")</f>
        <v/>
      </c>
    </row>
    <row r="934">
      <c r="A934" t="inlineStr">
        <is>
          <t>2026-05-06</t>
        </is>
      </c>
      <c r="B934" t="inlineStr">
        <is>
          <t>디어유</t>
        </is>
      </c>
      <c r="C934" t="inlineStr">
        <is>
          <t>376300</t>
        </is>
      </c>
      <c r="D934" t="inlineStr">
        <is>
          <t>연결</t>
        </is>
      </c>
      <c r="E934" t="inlineStr">
        <is>
          <t>2026Q1</t>
        </is>
      </c>
      <c r="F934" s="2" t="n">
        <v>23407</v>
      </c>
      <c r="G934" t="n">
        <v>-1.7</v>
      </c>
      <c r="H934" t="n">
        <v>33.4</v>
      </c>
      <c r="I934" s="2" t="n">
        <v>9696</v>
      </c>
      <c r="J934" t="n">
        <v>-0.6</v>
      </c>
      <c r="K934" t="n">
        <v>76.90000000000001</v>
      </c>
      <c r="L934" s="2" t="n">
        <v>11763</v>
      </c>
      <c r="M934" t="n">
        <v>125.6</v>
      </c>
      <c r="N934" t="inlineStr">
        <is>
          <t>20260506900259</t>
        </is>
      </c>
      <c r="O934">
        <f>HYPERLINK("https://dart.fss.or.kr/dsaf001/main.do?rcpNo=20260506900259", "공시열람")</f>
        <v/>
      </c>
    </row>
    <row r="935">
      <c r="A935" t="inlineStr">
        <is>
          <t>2026-05-06</t>
        </is>
      </c>
      <c r="B935" t="inlineStr">
        <is>
          <t>KG파이낸셜</t>
        </is>
      </c>
      <c r="C935" t="inlineStr">
        <is>
          <t>046440</t>
        </is>
      </c>
      <c r="D935" t="inlineStr">
        <is>
          <t>연결</t>
        </is>
      </c>
      <c r="E935" t="inlineStr">
        <is>
          <t>2026Q1</t>
        </is>
      </c>
      <c r="F935" s="2" t="n">
        <v>62549</v>
      </c>
      <c r="G935" t="n">
        <v>12.62</v>
      </c>
      <c r="H935" t="n">
        <v>2.13</v>
      </c>
      <c r="I935" s="2" t="n">
        <v>7012</v>
      </c>
      <c r="J935" t="n">
        <v>-9.66</v>
      </c>
      <c r="K935" t="n">
        <v>-9.02</v>
      </c>
      <c r="L935" s="2" t="n">
        <v>4012</v>
      </c>
      <c r="M935" t="n">
        <v>-33.24</v>
      </c>
      <c r="N935" t="inlineStr">
        <is>
          <t>20260506900258</t>
        </is>
      </c>
      <c r="O935">
        <f>HYPERLINK("https://dart.fss.or.kr/dsaf001/main.do?rcpNo=20260506900258", "공시열람")</f>
        <v/>
      </c>
    </row>
    <row r="936">
      <c r="A936" t="inlineStr">
        <is>
          <t>2026-05-06</t>
        </is>
      </c>
      <c r="B936" t="inlineStr">
        <is>
          <t>대창솔루션</t>
        </is>
      </c>
      <c r="C936" t="inlineStr">
        <is>
          <t>096350</t>
        </is>
      </c>
      <c r="D936" t="inlineStr">
        <is>
          <t>연결</t>
        </is>
      </c>
      <c r="E936" t="inlineStr">
        <is>
          <t>2026Q1</t>
        </is>
      </c>
      <c r="F936" s="2" t="n">
        <v>21247</v>
      </c>
      <c r="G936" t="n">
        <v>19.5</v>
      </c>
      <c r="H936" t="n">
        <v>5.8</v>
      </c>
      <c r="I936" s="2" t="n">
        <v>1482</v>
      </c>
      <c r="J936" t="n">
        <v>392.3</v>
      </c>
      <c r="K936" t="n">
        <v>226.9</v>
      </c>
      <c r="L936" s="2" t="n">
        <v>1040</v>
      </c>
      <c r="M936" t="n">
        <v>158.3</v>
      </c>
      <c r="N936" t="inlineStr">
        <is>
          <t>20260506900162</t>
        </is>
      </c>
      <c r="O936">
        <f>HYPERLINK("https://dart.fss.or.kr/dsaf001/main.do?rcpNo=20260506900162", "공시열람")</f>
        <v/>
      </c>
    </row>
    <row r="937">
      <c r="A937" t="inlineStr">
        <is>
          <t>2026-05-06</t>
        </is>
      </c>
      <c r="B937" t="inlineStr">
        <is>
          <t>DB하이텍</t>
        </is>
      </c>
      <c r="C937" t="inlineStr">
        <is>
          <t>000990</t>
        </is>
      </c>
      <c r="D937" t="inlineStr">
        <is>
          <t>연결</t>
        </is>
      </c>
      <c r="E937" t="inlineStr">
        <is>
          <t>2026Q1</t>
        </is>
      </c>
      <c r="F937" s="2" t="n">
        <v>374629</v>
      </c>
      <c r="G937" t="n">
        <v>-3.4</v>
      </c>
      <c r="H937" t="n">
        <v>25.98</v>
      </c>
      <c r="I937" s="2" t="n">
        <v>63718</v>
      </c>
      <c r="J937" t="n">
        <v>-9.449999999999999</v>
      </c>
      <c r="K937" t="n">
        <v>21.37</v>
      </c>
      <c r="L937" s="2" t="n">
        <v>86563</v>
      </c>
      <c r="M937" t="n">
        <v>88.59</v>
      </c>
      <c r="N937" t="inlineStr">
        <is>
          <t>20260506800098</t>
        </is>
      </c>
      <c r="O937">
        <f>HYPERLINK("https://dart.fss.or.kr/dsaf001/main.do?rcpNo=20260506800098", "공시열람")</f>
        <v/>
      </c>
    </row>
    <row r="938">
      <c r="A938" t="inlineStr">
        <is>
          <t>2026-05-06</t>
        </is>
      </c>
      <c r="B938" t="inlineStr">
        <is>
          <t>셀트리온</t>
        </is>
      </c>
      <c r="C938" t="inlineStr">
        <is>
          <t>068270</t>
        </is>
      </c>
      <c r="D938" t="inlineStr">
        <is>
          <t>연결</t>
        </is>
      </c>
      <c r="E938" t="inlineStr">
        <is>
          <t>2026Q1</t>
        </is>
      </c>
      <c r="F938" s="2" t="n">
        <v>1144986</v>
      </c>
      <c r="G938" t="n">
        <v>-13.92</v>
      </c>
      <c r="H938" t="n">
        <v>36</v>
      </c>
      <c r="I938" s="2" t="n">
        <v>321870</v>
      </c>
      <c r="J938" t="n">
        <v>-32.26</v>
      </c>
      <c r="K938" t="n">
        <v>115.41</v>
      </c>
      <c r="L938" s="2" t="n">
        <v>349844</v>
      </c>
      <c r="M938" t="n">
        <v>222.93</v>
      </c>
      <c r="N938" t="inlineStr">
        <is>
          <t>20260506800093</t>
        </is>
      </c>
      <c r="O938">
        <f>HYPERLINK("https://dart.fss.or.kr/dsaf001/main.do?rcpNo=20260506800093", "공시열람")</f>
        <v/>
      </c>
    </row>
    <row r="939">
      <c r="A939" t="inlineStr">
        <is>
          <t>2026-05-06</t>
        </is>
      </c>
      <c r="B939" t="inlineStr">
        <is>
          <t>아이마켓코리아</t>
        </is>
      </c>
      <c r="C939" t="inlineStr">
        <is>
          <t>122900</t>
        </is>
      </c>
      <c r="D939" t="inlineStr">
        <is>
          <t>연결</t>
        </is>
      </c>
      <c r="E939" t="inlineStr">
        <is>
          <t>2026Q1</t>
        </is>
      </c>
      <c r="F939" s="2" t="n">
        <v>842455</v>
      </c>
      <c r="G939" t="n">
        <v>4.34</v>
      </c>
      <c r="H939" t="n">
        <v>12.7</v>
      </c>
      <c r="I939" s="2" t="n">
        <v>16570</v>
      </c>
      <c r="J939" t="inlineStr"/>
      <c r="K939" t="n">
        <v>70.34</v>
      </c>
      <c r="L939" s="2" t="n">
        <v>12716</v>
      </c>
      <c r="M939" t="n">
        <v>238.08</v>
      </c>
      <c r="N939" t="inlineStr">
        <is>
          <t>20260506800625</t>
        </is>
      </c>
      <c r="O939">
        <f>HYPERLINK("https://dart.fss.or.kr/dsaf001/main.do?rcpNo=20260506800625", "공시열람")</f>
        <v/>
      </c>
    </row>
    <row r="940">
      <c r="A940" t="inlineStr">
        <is>
          <t>2026-05-06</t>
        </is>
      </c>
      <c r="B940" t="inlineStr">
        <is>
          <t>고려아연</t>
        </is>
      </c>
      <c r="C940" t="inlineStr">
        <is>
          <t>010130</t>
        </is>
      </c>
      <c r="D940" t="inlineStr">
        <is>
          <t>연결</t>
        </is>
      </c>
      <c r="E940" t="inlineStr">
        <is>
          <t>2026Q1</t>
        </is>
      </c>
      <c r="F940" s="2" t="n">
        <v>6072027</v>
      </c>
      <c r="G940" t="n">
        <v>27.3</v>
      </c>
      <c r="H940" t="n">
        <v>58.4</v>
      </c>
      <c r="I940" s="2" t="n">
        <v>746055</v>
      </c>
      <c r="J940" t="n">
        <v>74.09999999999999</v>
      </c>
      <c r="K940" t="n">
        <v>175.2</v>
      </c>
      <c r="L940" s="2" t="n">
        <v>354041</v>
      </c>
      <c r="M940" t="n">
        <v>117.9</v>
      </c>
      <c r="N940" t="inlineStr">
        <is>
          <t>20260506800995</t>
        </is>
      </c>
      <c r="O940">
        <f>HYPERLINK("https://dart.fss.or.kr/dsaf001/main.do?rcpNo=20260506800995", "공시열람")</f>
        <v/>
      </c>
    </row>
    <row r="941">
      <c r="A941" t="inlineStr">
        <is>
          <t>2026-05-06</t>
        </is>
      </c>
      <c r="B941" t="inlineStr">
        <is>
          <t>고려아연</t>
        </is>
      </c>
      <c r="C941" t="inlineStr">
        <is>
          <t>010130</t>
        </is>
      </c>
      <c r="D941" t="inlineStr">
        <is>
          <t>별도</t>
        </is>
      </c>
      <c r="E941" t="inlineStr">
        <is>
          <t>2026Q1</t>
        </is>
      </c>
      <c r="F941" s="2" t="n">
        <v>4294523</v>
      </c>
      <c r="G941" t="n">
        <v>39.7</v>
      </c>
      <c r="H941" t="n">
        <v>79.8</v>
      </c>
      <c r="I941" s="2" t="n">
        <v>693269</v>
      </c>
      <c r="J941" t="n">
        <v>71.09999999999999</v>
      </c>
      <c r="K941" t="n">
        <v>154.2</v>
      </c>
      <c r="L941" s="2" t="n">
        <v>396479</v>
      </c>
      <c r="M941" t="n">
        <v>93</v>
      </c>
      <c r="N941" t="inlineStr">
        <is>
          <t>20260506801003</t>
        </is>
      </c>
      <c r="O941">
        <f>HYPERLINK("https://dart.fss.or.kr/dsaf001/main.do?rcpNo=20260506801003", "공시열람")</f>
        <v/>
      </c>
    </row>
    <row r="942">
      <c r="A942" t="inlineStr">
        <is>
          <t>2026-05-06</t>
        </is>
      </c>
      <c r="B942" t="inlineStr">
        <is>
          <t>심텍홀딩스</t>
        </is>
      </c>
      <c r="C942" t="inlineStr">
        <is>
          <t>036710</t>
        </is>
      </c>
      <c r="D942" t="inlineStr">
        <is>
          <t>연결</t>
        </is>
      </c>
      <c r="E942" t="inlineStr">
        <is>
          <t>2026Q1</t>
        </is>
      </c>
      <c r="F942" s="2" t="n">
        <v>443178</v>
      </c>
      <c r="G942" t="n">
        <v>1.3</v>
      </c>
      <c r="H942" t="n">
        <v>36.6</v>
      </c>
      <c r="I942" s="2" t="n">
        <v>965</v>
      </c>
      <c r="J942" t="n">
        <v>-74.3</v>
      </c>
      <c r="K942" t="inlineStr"/>
      <c r="L942" s="2" t="n">
        <v>205</v>
      </c>
      <c r="M942" t="inlineStr"/>
      <c r="N942" t="inlineStr">
        <is>
          <t>20260506900777</t>
        </is>
      </c>
      <c r="O942">
        <f>HYPERLINK("https://dart.fss.or.kr/dsaf001/main.do?rcpNo=20260506900777", "공시열람")</f>
        <v/>
      </c>
    </row>
    <row r="943">
      <c r="A943" t="inlineStr">
        <is>
          <t>2026-05-06</t>
        </is>
      </c>
      <c r="B943" t="inlineStr">
        <is>
          <t>심텍</t>
        </is>
      </c>
      <c r="C943" t="inlineStr">
        <is>
          <t>222800</t>
        </is>
      </c>
      <c r="D943" t="inlineStr">
        <is>
          <t>연결</t>
        </is>
      </c>
      <c r="E943" t="inlineStr">
        <is>
          <t>2026Q1</t>
        </is>
      </c>
      <c r="F943" s="2" t="n">
        <v>422371</v>
      </c>
      <c r="G943" t="n">
        <v>7.4</v>
      </c>
      <c r="H943" t="n">
        <v>39.1</v>
      </c>
      <c r="I943" s="2" t="n">
        <v>13711</v>
      </c>
      <c r="J943" t="n">
        <v>33.6</v>
      </c>
      <c r="K943" t="inlineStr"/>
      <c r="L943" s="2" t="n">
        <v>15074</v>
      </c>
      <c r="M943" t="inlineStr"/>
      <c r="N943" t="inlineStr">
        <is>
          <t>20260506900751</t>
        </is>
      </c>
      <c r="O943">
        <f>HYPERLINK("https://dart.fss.or.kr/dsaf001/main.do?rcpNo=20260506900751", "공시열람")</f>
        <v/>
      </c>
    </row>
    <row r="944">
      <c r="A944" t="inlineStr">
        <is>
          <t>2026-05-06</t>
        </is>
      </c>
      <c r="B944" t="inlineStr">
        <is>
          <t>영진약품</t>
        </is>
      </c>
      <c r="C944" t="inlineStr">
        <is>
          <t>003520</t>
        </is>
      </c>
      <c r="D944" t="inlineStr">
        <is>
          <t>별도</t>
        </is>
      </c>
      <c r="E944" t="inlineStr">
        <is>
          <t>2026Q1</t>
        </is>
      </c>
      <c r="F944" s="2" t="n">
        <v>63759</v>
      </c>
      <c r="G944" t="n">
        <v>-4.6</v>
      </c>
      <c r="H944" t="n">
        <v>-0.5</v>
      </c>
      <c r="I944" s="2" t="n">
        <v>-1755</v>
      </c>
      <c r="J944" t="n">
        <v>-61.2</v>
      </c>
      <c r="K944" t="inlineStr"/>
      <c r="L944" s="2" t="n">
        <v>-2282</v>
      </c>
      <c r="M944" t="inlineStr"/>
      <c r="N944" t="inlineStr">
        <is>
          <t>20260506800682</t>
        </is>
      </c>
      <c r="O944">
        <f>HYPERLINK("https://dart.fss.or.kr/dsaf001/main.do?rcpNo=20260506800682", "공시열람")</f>
        <v/>
      </c>
    </row>
    <row r="945">
      <c r="A945" t="inlineStr">
        <is>
          <t>2026-05-06</t>
        </is>
      </c>
      <c r="B945" t="inlineStr">
        <is>
          <t>이녹스첨단소재</t>
        </is>
      </c>
      <c r="C945" t="inlineStr">
        <is>
          <t>272290</t>
        </is>
      </c>
      <c r="D945" t="inlineStr">
        <is>
          <t>연결</t>
        </is>
      </c>
      <c r="E945" t="inlineStr">
        <is>
          <t>2026Q1</t>
        </is>
      </c>
      <c r="F945" s="2" t="n">
        <v>95123</v>
      </c>
      <c r="G945" t="n">
        <v>-7.09</v>
      </c>
      <c r="H945" t="n">
        <v>-15.91</v>
      </c>
      <c r="I945" s="2" t="n">
        <v>16889</v>
      </c>
      <c r="J945" t="n">
        <v>33.19</v>
      </c>
      <c r="K945" t="n">
        <v>-35.96</v>
      </c>
      <c r="L945" s="2" t="n">
        <v>14389</v>
      </c>
      <c r="M945" t="n">
        <v>-28.13</v>
      </c>
      <c r="N945" t="inlineStr">
        <is>
          <t>20260506900623</t>
        </is>
      </c>
      <c r="O945">
        <f>HYPERLINK("https://dart.fss.or.kr/dsaf001/main.do?rcpNo=20260506900623", "공시열람")</f>
        <v/>
      </c>
    </row>
    <row r="946">
      <c r="A946" t="inlineStr">
        <is>
          <t>2026-05-06</t>
        </is>
      </c>
      <c r="B946" t="inlineStr">
        <is>
          <t>SK바이오사이언스</t>
        </is>
      </c>
      <c r="C946" t="inlineStr">
        <is>
          <t>302440</t>
        </is>
      </c>
      <c r="D946" t="inlineStr">
        <is>
          <t>연결</t>
        </is>
      </c>
      <c r="E946" t="inlineStr">
        <is>
          <t>2026Q1</t>
        </is>
      </c>
      <c r="F946" s="2" t="n">
        <v>168611</v>
      </c>
      <c r="G946" t="n">
        <v>-8.5</v>
      </c>
      <c r="H946" t="n">
        <v>9.1</v>
      </c>
      <c r="I946" s="2" t="n">
        <v>-44535</v>
      </c>
      <c r="J946" t="n">
        <v>13.7</v>
      </c>
      <c r="K946" t="n">
        <v>-194.4</v>
      </c>
      <c r="L946" s="2" t="n">
        <v>-36164</v>
      </c>
      <c r="M946" t="n">
        <v>-788.3</v>
      </c>
      <c r="N946" t="inlineStr">
        <is>
          <t>20260506800645</t>
        </is>
      </c>
      <c r="O946">
        <f>HYPERLINK("https://dart.fss.or.kr/dsaf001/main.do?rcpNo=20260506800645", "공시열람")</f>
        <v/>
      </c>
    </row>
    <row r="947">
      <c r="A947" t="inlineStr">
        <is>
          <t>2026-05-06</t>
        </is>
      </c>
      <c r="B947" t="inlineStr">
        <is>
          <t>카카오뱅크</t>
        </is>
      </c>
      <c r="C947" t="inlineStr">
        <is>
          <t>323410</t>
        </is>
      </c>
      <c r="D947" t="inlineStr">
        <is>
          <t>별도</t>
        </is>
      </c>
      <c r="E947" t="inlineStr">
        <is>
          <t>2026Q1</t>
        </is>
      </c>
      <c r="F947" s="2" t="n">
        <v>819336</v>
      </c>
      <c r="G947" t="n">
        <v>7.94</v>
      </c>
      <c r="H947" t="n">
        <v>4.43</v>
      </c>
      <c r="I947" s="2" t="n">
        <v>157614</v>
      </c>
      <c r="J947" t="n">
        <v>8.630000000000001</v>
      </c>
      <c r="K947" t="n">
        <v>-13.89</v>
      </c>
      <c r="L947" s="2" t="n">
        <v>187296</v>
      </c>
      <c r="M947" t="n">
        <v>36.3</v>
      </c>
      <c r="N947" t="inlineStr">
        <is>
          <t>20260506800005</t>
        </is>
      </c>
      <c r="O947">
        <f>HYPERLINK("https://dart.fss.or.kr/dsaf001/main.do?rcpNo=20260506800005", "공시열람")</f>
        <v/>
      </c>
    </row>
    <row r="948">
      <c r="A948" t="inlineStr">
        <is>
          <t>2026-05-06</t>
        </is>
      </c>
      <c r="B948" t="inlineStr">
        <is>
          <t>조이시티</t>
        </is>
      </c>
      <c r="C948" t="inlineStr">
        <is>
          <t>067000</t>
        </is>
      </c>
      <c r="D948" t="inlineStr">
        <is>
          <t>연결</t>
        </is>
      </c>
      <c r="E948" t="inlineStr">
        <is>
          <t>2026Q1</t>
        </is>
      </c>
      <c r="F948" s="2" t="n">
        <v>42119</v>
      </c>
      <c r="G948" t="n">
        <v>-12.64</v>
      </c>
      <c r="H948" t="n">
        <v>28.95</v>
      </c>
      <c r="I948" s="2" t="n">
        <v>312</v>
      </c>
      <c r="J948" t="n">
        <v>-90.53</v>
      </c>
      <c r="K948" t="n">
        <v>-85.69</v>
      </c>
      <c r="L948" s="2" t="n">
        <v>49</v>
      </c>
      <c r="M948" t="n">
        <v>-94.26000000000001</v>
      </c>
      <c r="N948" t="inlineStr">
        <is>
          <t>20260506900583</t>
        </is>
      </c>
      <c r="O948">
        <f>HYPERLINK("https://dart.fss.or.kr/dsaf001/main.do?rcpNo=20260506900583", "공시열람")</f>
        <v/>
      </c>
    </row>
    <row r="949">
      <c r="A949" t="inlineStr">
        <is>
          <t>2026-05-06</t>
        </is>
      </c>
      <c r="B949" t="inlineStr">
        <is>
          <t>셀트리온제약</t>
        </is>
      </c>
      <c r="C949" t="inlineStr">
        <is>
          <t>068760</t>
        </is>
      </c>
      <c r="D949" t="inlineStr">
        <is>
          <t>별도</t>
        </is>
      </c>
      <c r="E949" t="inlineStr">
        <is>
          <t>2026Q1</t>
        </is>
      </c>
      <c r="F949" s="2" t="n">
        <v>132122</v>
      </c>
      <c r="G949" t="n">
        <v>-14.43</v>
      </c>
      <c r="H949" t="n">
        <v>17.42</v>
      </c>
      <c r="I949" s="2" t="n">
        <v>12902</v>
      </c>
      <c r="J949" t="n">
        <v>-5.99</v>
      </c>
      <c r="K949" t="n">
        <v>20.16</v>
      </c>
      <c r="L949" s="2" t="n">
        <v>8818</v>
      </c>
      <c r="M949" t="n">
        <v>20.44</v>
      </c>
      <c r="N949" t="inlineStr">
        <is>
          <t>20260506900554</t>
        </is>
      </c>
      <c r="O949">
        <f>HYPERLINK("https://dart.fss.or.kr/dsaf001/main.do?rcpNo=20260506900554", "공시열람")</f>
        <v/>
      </c>
    </row>
    <row r="950">
      <c r="A950" t="inlineStr">
        <is>
          <t>2026-05-06</t>
        </is>
      </c>
      <c r="B950" t="inlineStr">
        <is>
          <t>현대에버다임</t>
        </is>
      </c>
      <c r="C950" t="inlineStr">
        <is>
          <t>041440</t>
        </is>
      </c>
      <c r="D950" t="inlineStr">
        <is>
          <t>연결</t>
        </is>
      </c>
      <c r="E950" t="inlineStr">
        <is>
          <t>2026Q1</t>
        </is>
      </c>
      <c r="F950" s="2" t="n">
        <v>82016</v>
      </c>
      <c r="G950" t="n">
        <v>5.9</v>
      </c>
      <c r="H950" t="n">
        <v>32.1</v>
      </c>
      <c r="I950" s="2" t="n">
        <v>577</v>
      </c>
      <c r="J950" t="n">
        <v>-80.40000000000001</v>
      </c>
      <c r="K950" t="inlineStr"/>
      <c r="L950" s="2" t="n">
        <v>1382</v>
      </c>
      <c r="M950" t="inlineStr"/>
      <c r="N950" t="inlineStr">
        <is>
          <t>20260506900551</t>
        </is>
      </c>
      <c r="O950">
        <f>HYPERLINK("https://dart.fss.or.kr/dsaf001/main.do?rcpNo=20260506900551", "공시열람")</f>
        <v/>
      </c>
    </row>
    <row r="951">
      <c r="A951" t="inlineStr">
        <is>
          <t>2026-05-06</t>
        </is>
      </c>
      <c r="B951" t="inlineStr">
        <is>
          <t>코스모화학</t>
        </is>
      </c>
      <c r="C951" t="inlineStr">
        <is>
          <t>005420</t>
        </is>
      </c>
      <c r="D951" t="inlineStr">
        <is>
          <t>별도</t>
        </is>
      </c>
      <c r="E951" t="inlineStr">
        <is>
          <t>2026Q1</t>
        </is>
      </c>
      <c r="F951" s="2" t="n">
        <v>60628</v>
      </c>
      <c r="G951" t="n">
        <v>12</v>
      </c>
      <c r="H951" t="n">
        <v>33.2</v>
      </c>
      <c r="I951" s="2" t="n">
        <v>5469</v>
      </c>
      <c r="J951" t="inlineStr"/>
      <c r="K951" t="n">
        <v>4885.7</v>
      </c>
      <c r="L951" s="2" t="n">
        <v>3652</v>
      </c>
      <c r="M951" t="inlineStr"/>
      <c r="N951" t="inlineStr">
        <is>
          <t>20260506800533</t>
        </is>
      </c>
      <c r="O951">
        <f>HYPERLINK("https://dart.fss.or.kr/dsaf001/main.do?rcpNo=20260506800533", "공시열람")</f>
        <v/>
      </c>
    </row>
    <row r="952">
      <c r="A952" t="inlineStr">
        <is>
          <t>2026-05-06</t>
        </is>
      </c>
      <c r="B952" t="inlineStr">
        <is>
          <t>현대홈쇼핑</t>
        </is>
      </c>
      <c r="C952" t="inlineStr">
        <is>
          <t>057050</t>
        </is>
      </c>
      <c r="D952" t="inlineStr">
        <is>
          <t>연결</t>
        </is>
      </c>
      <c r="E952" t="inlineStr">
        <is>
          <t>2026Q1</t>
        </is>
      </c>
      <c r="F952" s="2" t="n">
        <v>978490</v>
      </c>
      <c r="G952" t="n">
        <v>-5.2</v>
      </c>
      <c r="H952" t="n">
        <v>1.9</v>
      </c>
      <c r="I952" s="2" t="n">
        <v>65342</v>
      </c>
      <c r="J952" t="n">
        <v>135.5</v>
      </c>
      <c r="K952" t="n">
        <v>35.9</v>
      </c>
      <c r="L952" s="2" t="n">
        <v>54681</v>
      </c>
      <c r="M952" t="n">
        <v>61.6</v>
      </c>
      <c r="N952" t="inlineStr">
        <is>
          <t>20260506800523</t>
        </is>
      </c>
      <c r="O952">
        <f>HYPERLINK("https://dart.fss.or.kr/dsaf001/main.do?rcpNo=20260506800523", "공시열람")</f>
        <v/>
      </c>
    </row>
    <row r="953">
      <c r="A953" t="inlineStr">
        <is>
          <t>2026-05-06</t>
        </is>
      </c>
      <c r="B953" t="inlineStr">
        <is>
          <t>에스엠</t>
        </is>
      </c>
      <c r="C953" t="inlineStr">
        <is>
          <t>041510</t>
        </is>
      </c>
      <c r="D953" t="inlineStr">
        <is>
          <t>별도</t>
        </is>
      </c>
      <c r="E953" t="inlineStr">
        <is>
          <t>2026Q1</t>
        </is>
      </c>
      <c r="F953" s="2" t="n">
        <v>189311</v>
      </c>
      <c r="G953" t="n">
        <v>-6.4</v>
      </c>
      <c r="H953" t="n">
        <v>14.4</v>
      </c>
      <c r="I953" s="2" t="n">
        <v>38845</v>
      </c>
      <c r="J953" t="n">
        <v>-1.7</v>
      </c>
      <c r="K953" t="n">
        <v>-5.9</v>
      </c>
      <c r="L953" s="2" t="n">
        <v>38854</v>
      </c>
      <c r="M953" t="n">
        <v>20.9</v>
      </c>
      <c r="N953" t="inlineStr">
        <is>
          <t>20260506900355</t>
        </is>
      </c>
      <c r="O953">
        <f>HYPERLINK("https://dart.fss.or.kr/dsaf001/main.do?rcpNo=20260506900355", "공시열람")</f>
        <v/>
      </c>
    </row>
    <row r="954">
      <c r="A954" t="inlineStr">
        <is>
          <t>2026-05-06</t>
        </is>
      </c>
      <c r="B954" t="inlineStr">
        <is>
          <t>지누스</t>
        </is>
      </c>
      <c r="C954" t="inlineStr">
        <is>
          <t>013890</t>
        </is>
      </c>
      <c r="D954" t="inlineStr">
        <is>
          <t>연결</t>
        </is>
      </c>
      <c r="E954" t="inlineStr">
        <is>
          <t>2026Q1</t>
        </is>
      </c>
      <c r="F954" s="2" t="n">
        <v>139558</v>
      </c>
      <c r="G954" t="n">
        <v>-27.3</v>
      </c>
      <c r="H954" t="n">
        <v>-44.2</v>
      </c>
      <c r="I954" s="2" t="n">
        <v>-30092</v>
      </c>
      <c r="J954" t="n">
        <v>-28</v>
      </c>
      <c r="K954" t="inlineStr"/>
      <c r="L954" s="2" t="n">
        <v>-22820</v>
      </c>
      <c r="M954" t="inlineStr"/>
      <c r="N954" t="inlineStr">
        <is>
          <t>20260506800349</t>
        </is>
      </c>
      <c r="O954">
        <f>HYPERLINK("https://dart.fss.or.kr/dsaf001/main.do?rcpNo=20260506800349", "공시열람")</f>
        <v/>
      </c>
    </row>
    <row r="955">
      <c r="A955" t="inlineStr">
        <is>
          <t>2026-05-06</t>
        </is>
      </c>
      <c r="B955" t="inlineStr">
        <is>
          <t>파라다이스</t>
        </is>
      </c>
      <c r="C955" t="inlineStr">
        <is>
          <t>034230</t>
        </is>
      </c>
      <c r="D955" t="inlineStr">
        <is>
          <t>연결</t>
        </is>
      </c>
      <c r="E955" t="inlineStr">
        <is>
          <t>2026Q1</t>
        </is>
      </c>
      <c r="F955" s="2" t="n">
        <v>293966</v>
      </c>
      <c r="G955" t="n">
        <v>0</v>
      </c>
      <c r="H955" t="n">
        <v>3.8</v>
      </c>
      <c r="I955" s="2" t="n">
        <v>37305</v>
      </c>
      <c r="J955" t="n">
        <v>130.6</v>
      </c>
      <c r="K955" t="n">
        <v>-34.9</v>
      </c>
      <c r="L955" s="2" t="n">
        <v>18850</v>
      </c>
      <c r="M955" t="n">
        <v>-56.3</v>
      </c>
      <c r="N955" t="inlineStr">
        <is>
          <t>20260506800756</t>
        </is>
      </c>
      <c r="O955">
        <f>HYPERLINK("https://dart.fss.or.kr/dsaf001/main.do?rcpNo=20260506800756", "공시열람")</f>
        <v/>
      </c>
    </row>
    <row r="956">
      <c r="A956" t="inlineStr">
        <is>
          <t>2026-05-06</t>
        </is>
      </c>
      <c r="B956" t="inlineStr">
        <is>
          <t>에스엠</t>
        </is>
      </c>
      <c r="C956" t="inlineStr">
        <is>
          <t>041510</t>
        </is>
      </c>
      <c r="D956" t="inlineStr">
        <is>
          <t>연결</t>
        </is>
      </c>
      <c r="E956" t="inlineStr">
        <is>
          <t>2026Q1</t>
        </is>
      </c>
      <c r="F956" s="2" t="n">
        <v>279101</v>
      </c>
      <c r="G956" t="n">
        <v>-12.5</v>
      </c>
      <c r="H956" t="n">
        <v>20.6</v>
      </c>
      <c r="I956" s="2" t="n">
        <v>38599</v>
      </c>
      <c r="J956" t="n">
        <v>-29.3</v>
      </c>
      <c r="K956" t="n">
        <v>18.5</v>
      </c>
      <c r="L956" s="2" t="n">
        <v>36709</v>
      </c>
      <c r="M956" t="n">
        <v>-85.5</v>
      </c>
      <c r="N956" t="inlineStr">
        <is>
          <t>20260506900357</t>
        </is>
      </c>
      <c r="O956">
        <f>HYPERLINK("https://dart.fss.or.kr/dsaf001/main.do?rcpNo=20260506900357", "공시열람")</f>
        <v/>
      </c>
    </row>
    <row r="957">
      <c r="A957" t="inlineStr">
        <is>
          <t>2026-05-06</t>
        </is>
      </c>
      <c r="B957" t="inlineStr">
        <is>
          <t>파라다이스</t>
        </is>
      </c>
      <c r="C957" t="inlineStr">
        <is>
          <t>034230</t>
        </is>
      </c>
      <c r="D957" t="inlineStr">
        <is>
          <t>연결</t>
        </is>
      </c>
      <c r="E957" t="inlineStr">
        <is>
          <t>2026Q1</t>
        </is>
      </c>
      <c r="F957" s="2" t="inlineStr"/>
      <c r="G957" t="inlineStr"/>
      <c r="H957" t="inlineStr"/>
      <c r="I957" s="2" t="inlineStr"/>
      <c r="J957" t="inlineStr"/>
      <c r="K957" t="inlineStr"/>
      <c r="L957" s="2" t="inlineStr"/>
      <c r="M957" t="inlineStr"/>
      <c r="N957" t="inlineStr">
        <is>
          <t>20260506800826</t>
        </is>
      </c>
      <c r="O957">
        <f>HYPERLINK("https://dart.fss.or.kr/dsaf001/main.do?rcpNo=20260506800826", "공시열람")</f>
        <v/>
      </c>
    </row>
    <row r="958">
      <c r="A958" t="inlineStr">
        <is>
          <t>2026-05-06</t>
        </is>
      </c>
      <c r="B958" t="inlineStr">
        <is>
          <t>카카오페이</t>
        </is>
      </c>
      <c r="C958" t="inlineStr">
        <is>
          <t>377300</t>
        </is>
      </c>
      <c r="D958" t="inlineStr">
        <is>
          <t>별도</t>
        </is>
      </c>
      <c r="E958" t="inlineStr">
        <is>
          <t>2026Q1</t>
        </is>
      </c>
      <c r="F958" s="2" t="n">
        <v>185081</v>
      </c>
      <c r="G958" t="n">
        <v>-0.5</v>
      </c>
      <c r="H958" t="n">
        <v>15</v>
      </c>
      <c r="I958" s="2" t="n">
        <v>18553</v>
      </c>
      <c r="J958" t="n">
        <v>-2.8</v>
      </c>
      <c r="K958" t="n">
        <v>36.8</v>
      </c>
      <c r="L958" s="2" t="n">
        <v>22921</v>
      </c>
      <c r="M958" t="n">
        <v>8.6</v>
      </c>
      <c r="N958" t="inlineStr">
        <is>
          <t>20260506800405</t>
        </is>
      </c>
      <c r="O958">
        <f>HYPERLINK("https://dart.fss.or.kr/dsaf001/main.do?rcpNo=20260506800405", "공시열람")</f>
        <v/>
      </c>
    </row>
    <row r="959">
      <c r="A959" t="inlineStr">
        <is>
          <t>2026-05-06</t>
        </is>
      </c>
      <c r="B959" t="inlineStr">
        <is>
          <t>리노공업</t>
        </is>
      </c>
      <c r="C959" t="inlineStr">
        <is>
          <t>058470</t>
        </is>
      </c>
      <c r="D959" t="inlineStr">
        <is>
          <t>별도</t>
        </is>
      </c>
      <c r="E959" t="inlineStr">
        <is>
          <t>2026Q1</t>
        </is>
      </c>
      <c r="F959" s="2" t="n">
        <v>99771</v>
      </c>
      <c r="G959" t="n">
        <v>17.7</v>
      </c>
      <c r="H959" t="n">
        <v>27.2</v>
      </c>
      <c r="I959" s="2" t="n">
        <v>47301</v>
      </c>
      <c r="J959" t="n">
        <v>17.2</v>
      </c>
      <c r="K959" t="n">
        <v>35.4</v>
      </c>
      <c r="L959" s="2" t="n">
        <v>40396</v>
      </c>
      <c r="M959" t="n">
        <v>37.7</v>
      </c>
      <c r="N959" t="inlineStr">
        <is>
          <t>20260506900390</t>
        </is>
      </c>
      <c r="O959">
        <f>HYPERLINK("https://dart.fss.or.kr/dsaf001/main.do?rcpNo=20260506900390", "공시열람")</f>
        <v/>
      </c>
    </row>
    <row r="960">
      <c r="A960" t="inlineStr">
        <is>
          <t>2026-05-06</t>
        </is>
      </c>
      <c r="B960" t="inlineStr">
        <is>
          <t>카카오페이</t>
        </is>
      </c>
      <c r="C960" t="inlineStr">
        <is>
          <t>377300</t>
        </is>
      </c>
      <c r="D960" t="inlineStr">
        <is>
          <t>연결</t>
        </is>
      </c>
      <c r="E960" t="inlineStr">
        <is>
          <t>2026Q1</t>
        </is>
      </c>
      <c r="F960" s="2" t="n">
        <v>300286</v>
      </c>
      <c r="G960" t="n">
        <v>11.3</v>
      </c>
      <c r="H960" t="n">
        <v>41.7</v>
      </c>
      <c r="I960" s="2" t="n">
        <v>32244</v>
      </c>
      <c r="J960" t="n">
        <v>54.8</v>
      </c>
      <c r="K960" t="n">
        <v>631</v>
      </c>
      <c r="L960" s="2" t="n">
        <v>34700</v>
      </c>
      <c r="M960" t="n">
        <v>141.5</v>
      </c>
      <c r="N960" t="inlineStr">
        <is>
          <t>20260506800411</t>
        </is>
      </c>
      <c r="O960">
        <f>HYPERLINK("https://dart.fss.or.kr/dsaf001/main.do?rcpNo=20260506800411", "공시열람")</f>
        <v/>
      </c>
    </row>
    <row r="961">
      <c r="A961" t="inlineStr">
        <is>
          <t>2026-05-06</t>
        </is>
      </c>
      <c r="B961" t="inlineStr">
        <is>
          <t>영화금속</t>
        </is>
      </c>
      <c r="C961" t="inlineStr">
        <is>
          <t>012280</t>
        </is>
      </c>
      <c r="D961" t="inlineStr">
        <is>
          <t>별도</t>
        </is>
      </c>
      <c r="E961" t="inlineStr">
        <is>
          <t>2026Q1</t>
        </is>
      </c>
      <c r="F961" s="2" t="n">
        <v>90082</v>
      </c>
      <c r="G961" t="n">
        <v>6.3</v>
      </c>
      <c r="H961" t="n">
        <v>6.9</v>
      </c>
      <c r="I961" s="2" t="n">
        <v>3100</v>
      </c>
      <c r="J961" t="n">
        <v>43.4</v>
      </c>
      <c r="K961" t="n">
        <v>-2.9</v>
      </c>
      <c r="L961" s="2" t="n">
        <v>3474</v>
      </c>
      <c r="M961" t="n">
        <v>33.1</v>
      </c>
      <c r="N961" t="inlineStr">
        <is>
          <t>20260506800402</t>
        </is>
      </c>
      <c r="O961">
        <f>HYPERLINK("https://dart.fss.or.kr/dsaf001/main.do?rcpNo=20260506800402", "공시열람")</f>
        <v/>
      </c>
    </row>
    <row r="962">
      <c r="A962" t="inlineStr">
        <is>
          <t>2026-05-06</t>
        </is>
      </c>
      <c r="B962" t="inlineStr">
        <is>
          <t>현대그린푸드</t>
        </is>
      </c>
      <c r="C962" t="inlineStr">
        <is>
          <t>453340</t>
        </is>
      </c>
      <c r="D962" t="inlineStr">
        <is>
          <t>연결</t>
        </is>
      </c>
      <c r="E962" t="inlineStr">
        <is>
          <t>2026Q1</t>
        </is>
      </c>
      <c r="F962" s="2" t="n">
        <v>621500</v>
      </c>
      <c r="G962" t="n">
        <v>5.37</v>
      </c>
      <c r="H962" t="n">
        <v>8.92</v>
      </c>
      <c r="I962" s="2" t="n">
        <v>46400</v>
      </c>
      <c r="J962" t="n">
        <v>5672.6</v>
      </c>
      <c r="K962" t="n">
        <v>43.93</v>
      </c>
      <c r="L962" s="2" t="n">
        <v>36200</v>
      </c>
      <c r="M962" t="n">
        <v>36.81</v>
      </c>
      <c r="N962" t="inlineStr">
        <is>
          <t>20260506800452</t>
        </is>
      </c>
      <c r="O962">
        <f>HYPERLINK("https://dart.fss.or.kr/dsaf001/main.do?rcpNo=20260506800452", "공시열람")</f>
        <v/>
      </c>
    </row>
    <row r="963">
      <c r="A963" t="inlineStr">
        <is>
          <t>2026-05-06</t>
        </is>
      </c>
      <c r="B963" t="inlineStr">
        <is>
          <t>SK리츠</t>
        </is>
      </c>
      <c r="C963" t="inlineStr">
        <is>
          <t>395400</t>
        </is>
      </c>
      <c r="D963" t="inlineStr">
        <is>
          <t>별도</t>
        </is>
      </c>
      <c r="E963" t="inlineStr">
        <is>
          <t>2026Q1</t>
        </is>
      </c>
      <c r="F963" s="2" t="n">
        <v>42221</v>
      </c>
      <c r="G963" t="n">
        <v>-5</v>
      </c>
      <c r="H963" t="n">
        <v>16.3</v>
      </c>
      <c r="I963" s="2" t="n">
        <v>39209</v>
      </c>
      <c r="J963" t="n">
        <v>-7.5</v>
      </c>
      <c r="K963" t="n">
        <v>27.5</v>
      </c>
      <c r="L963" s="2" t="n">
        <v>22134</v>
      </c>
      <c r="M963" t="n">
        <v>55.5</v>
      </c>
      <c r="N963" t="inlineStr">
        <is>
          <t>20260506800501</t>
        </is>
      </c>
      <c r="O963">
        <f>HYPERLINK("https://dart.fss.or.kr/dsaf001/main.do?rcpNo=20260506800501", "공시열람")</f>
        <v/>
      </c>
    </row>
    <row r="964">
      <c r="A964" t="inlineStr">
        <is>
          <t>2026-05-06</t>
        </is>
      </c>
      <c r="B964" t="inlineStr">
        <is>
          <t>현대이지웰</t>
        </is>
      </c>
      <c r="C964" t="inlineStr">
        <is>
          <t>090850</t>
        </is>
      </c>
      <c r="D964" t="inlineStr">
        <is>
          <t>연결</t>
        </is>
      </c>
      <c r="E964" t="inlineStr">
        <is>
          <t>2026Q1</t>
        </is>
      </c>
      <c r="F964" s="2" t="n">
        <v>46339</v>
      </c>
      <c r="G964" t="n">
        <v>27.2</v>
      </c>
      <c r="H964" t="n">
        <v>7.9</v>
      </c>
      <c r="I964" s="2" t="n">
        <v>7355</v>
      </c>
      <c r="J964" t="n">
        <v>72.8</v>
      </c>
      <c r="K964" t="n">
        <v>-13.6</v>
      </c>
      <c r="L964" s="2" t="n">
        <v>5889</v>
      </c>
      <c r="M964" t="n">
        <v>-20.8</v>
      </c>
      <c r="N964" t="inlineStr">
        <is>
          <t>20260506900517</t>
        </is>
      </c>
      <c r="O964">
        <f>HYPERLINK("https://dart.fss.or.kr/dsaf001/main.do?rcpNo=20260506900517", "공시열람")</f>
        <v/>
      </c>
    </row>
    <row r="965">
      <c r="A965" t="inlineStr">
        <is>
          <t>2026-05-06</t>
        </is>
      </c>
      <c r="B965" t="inlineStr">
        <is>
          <t>GKL</t>
        </is>
      </c>
      <c r="C965" t="inlineStr">
        <is>
          <t>114090</t>
        </is>
      </c>
      <c r="D965" t="inlineStr">
        <is>
          <t>별도</t>
        </is>
      </c>
      <c r="E965" t="inlineStr">
        <is>
          <t>2026Q1</t>
        </is>
      </c>
      <c r="F965" s="2" t="inlineStr"/>
      <c r="G965" t="inlineStr"/>
      <c r="H965" t="inlineStr"/>
      <c r="I965" s="2" t="inlineStr"/>
      <c r="J965" t="inlineStr"/>
      <c r="K965" t="inlineStr"/>
      <c r="L965" s="2" t="inlineStr"/>
      <c r="M965" t="inlineStr"/>
      <c r="N965" t="inlineStr">
        <is>
          <t>20260506800388</t>
        </is>
      </c>
      <c r="O965">
        <f>HYPERLINK("https://dart.fss.or.kr/dsaf001/main.do?rcpNo=20260506800388", "공시열람")</f>
        <v/>
      </c>
    </row>
    <row r="966">
      <c r="A966" t="inlineStr">
        <is>
          <t>2026-05-06</t>
        </is>
      </c>
      <c r="B966" t="inlineStr">
        <is>
          <t>현대백화점</t>
        </is>
      </c>
      <c r="C966" t="inlineStr">
        <is>
          <t>069960</t>
        </is>
      </c>
      <c r="D966" t="inlineStr">
        <is>
          <t>연결</t>
        </is>
      </c>
      <c r="E966" t="inlineStr">
        <is>
          <t>2026Q1</t>
        </is>
      </c>
      <c r="F966" s="2" t="n">
        <v>950100</v>
      </c>
      <c r="G966" t="n">
        <v>-8.800000000000001</v>
      </c>
      <c r="H966" t="n">
        <v>-13.5</v>
      </c>
      <c r="I966" s="2" t="n">
        <v>98800</v>
      </c>
      <c r="J966" t="n">
        <v>-6.7</v>
      </c>
      <c r="K966" t="n">
        <v>-12.2</v>
      </c>
      <c r="L966" s="2" t="n">
        <v>64900</v>
      </c>
      <c r="M966" t="n">
        <v>-26.5</v>
      </c>
      <c r="N966" t="inlineStr">
        <is>
          <t>20260506800396</t>
        </is>
      </c>
      <c r="O966">
        <f>HYPERLINK("https://dart.fss.or.kr/dsaf001/main.do?rcpNo=20260506800396", "공시열람")</f>
        <v/>
      </c>
    </row>
    <row r="967">
      <c r="A967" t="inlineStr">
        <is>
          <t>2026-05-04</t>
        </is>
      </c>
      <c r="B967" t="inlineStr">
        <is>
          <t>기아</t>
        </is>
      </c>
      <c r="C967" t="inlineStr">
        <is>
          <t>000270</t>
        </is>
      </c>
      <c r="D967" t="inlineStr">
        <is>
          <t>별도</t>
        </is>
      </c>
      <c r="E967" t="inlineStr">
        <is>
          <t>2026Q1</t>
        </is>
      </c>
      <c r="F967" s="2" t="inlineStr"/>
      <c r="G967" t="inlineStr"/>
      <c r="H967" t="inlineStr"/>
      <c r="I967" s="2" t="inlineStr"/>
      <c r="J967" t="inlineStr"/>
      <c r="K967" t="inlineStr"/>
      <c r="L967" s="2" t="inlineStr"/>
      <c r="M967" t="inlineStr"/>
      <c r="N967" t="inlineStr">
        <is>
          <t>20260504800536</t>
        </is>
      </c>
      <c r="O967">
        <f>HYPERLINK("https://dart.fss.or.kr/dsaf001/main.do?rcpNo=20260504800536", "공시열람")</f>
        <v/>
      </c>
    </row>
    <row r="968">
      <c r="A968" t="inlineStr">
        <is>
          <t>2026-05-04</t>
        </is>
      </c>
      <c r="B968" t="inlineStr">
        <is>
          <t>뷰웍스</t>
        </is>
      </c>
      <c r="C968" t="inlineStr">
        <is>
          <t>100120</t>
        </is>
      </c>
      <c r="D968" t="inlineStr">
        <is>
          <t>연결</t>
        </is>
      </c>
      <c r="E968" t="inlineStr">
        <is>
          <t>2026Q1</t>
        </is>
      </c>
      <c r="F968" s="2" t="n">
        <v>58169</v>
      </c>
      <c r="G968" t="n">
        <v>-15.2</v>
      </c>
      <c r="H968" t="n">
        <v>6.9</v>
      </c>
      <c r="I968" s="2" t="n">
        <v>8843</v>
      </c>
      <c r="J968" t="n">
        <v>3.7</v>
      </c>
      <c r="K968" t="n">
        <v>329.5</v>
      </c>
      <c r="L968" s="2" t="n">
        <v>9316</v>
      </c>
      <c r="M968" t="n">
        <v>339</v>
      </c>
      <c r="N968" t="inlineStr">
        <is>
          <t>20260504900642</t>
        </is>
      </c>
      <c r="O968">
        <f>HYPERLINK("https://dart.fss.or.kr/dsaf001/main.do?rcpNo=20260504900642", "공시열람")</f>
        <v/>
      </c>
    </row>
    <row r="969">
      <c r="A969" t="inlineStr">
        <is>
          <t>2026-05-04</t>
        </is>
      </c>
      <c r="B969" t="inlineStr">
        <is>
          <t>아바코</t>
        </is>
      </c>
      <c r="C969" t="inlineStr">
        <is>
          <t>083930</t>
        </is>
      </c>
      <c r="D969" t="inlineStr">
        <is>
          <t>별도</t>
        </is>
      </c>
      <c r="E969" t="inlineStr">
        <is>
          <t>2026Q1</t>
        </is>
      </c>
      <c r="F969" s="2" t="n">
        <v>12794</v>
      </c>
      <c r="G969" t="n">
        <v>-91.8</v>
      </c>
      <c r="H969" t="n">
        <v>-49.2</v>
      </c>
      <c r="I969" s="2" t="n">
        <v>-3457</v>
      </c>
      <c r="J969" t="inlineStr"/>
      <c r="K969" t="n">
        <v>-14.5</v>
      </c>
      <c r="L969" s="2" t="n">
        <v>2013</v>
      </c>
      <c r="M969" t="inlineStr"/>
      <c r="N969" t="inlineStr">
        <is>
          <t>20260504900645</t>
        </is>
      </c>
      <c r="O969">
        <f>HYPERLINK("https://dart.fss.or.kr/dsaf001/main.do?rcpNo=20260504900645", "공시열람")</f>
        <v/>
      </c>
    </row>
    <row r="970">
      <c r="A970" t="inlineStr">
        <is>
          <t>2026-05-04</t>
        </is>
      </c>
      <c r="B970" t="inlineStr">
        <is>
          <t>현대자동차</t>
        </is>
      </c>
      <c r="C970" t="inlineStr">
        <is>
          <t>005380</t>
        </is>
      </c>
      <c r="D970" t="inlineStr">
        <is>
          <t>별도</t>
        </is>
      </c>
      <c r="E970" t="inlineStr">
        <is>
          <t>2026Q1</t>
        </is>
      </c>
      <c r="F970" s="2" t="inlineStr"/>
      <c r="G970" t="inlineStr"/>
      <c r="H970" t="inlineStr"/>
      <c r="I970" s="2" t="inlineStr"/>
      <c r="J970" t="inlineStr"/>
      <c r="K970" t="inlineStr"/>
      <c r="L970" s="2" t="inlineStr"/>
      <c r="M970" t="inlineStr"/>
      <c r="N970" t="inlineStr">
        <is>
          <t>20260504800532</t>
        </is>
      </c>
      <c r="O970">
        <f>HYPERLINK("https://dart.fss.or.kr/dsaf001/main.do?rcpNo=20260504800532", "공시열람")</f>
        <v/>
      </c>
    </row>
    <row r="971">
      <c r="A971" t="inlineStr">
        <is>
          <t>2026-05-04</t>
        </is>
      </c>
      <c r="B971" t="inlineStr">
        <is>
          <t>롯데관광개발</t>
        </is>
      </c>
      <c r="C971" t="inlineStr">
        <is>
          <t>032350</t>
        </is>
      </c>
      <c r="D971" t="inlineStr">
        <is>
          <t>연결</t>
        </is>
      </c>
      <c r="E971" t="inlineStr">
        <is>
          <t>2026Q1</t>
        </is>
      </c>
      <c r="F971" s="2" t="inlineStr"/>
      <c r="G971" t="inlineStr"/>
      <c r="H971" t="inlineStr"/>
      <c r="I971" s="2" t="inlineStr"/>
      <c r="J971" t="inlineStr"/>
      <c r="K971" t="inlineStr"/>
      <c r="L971" s="2" t="inlineStr"/>
      <c r="M971" t="inlineStr"/>
      <c r="N971" t="inlineStr">
        <is>
          <t>20260504800530</t>
        </is>
      </c>
      <c r="O971">
        <f>HYPERLINK("https://dart.fss.or.kr/dsaf001/main.do?rcpNo=20260504800530", "공시열람")</f>
        <v/>
      </c>
    </row>
    <row r="972">
      <c r="A972" t="inlineStr">
        <is>
          <t>2026-05-04</t>
        </is>
      </c>
      <c r="B972" t="inlineStr">
        <is>
          <t>KG모빌리티</t>
        </is>
      </c>
      <c r="C972" t="inlineStr">
        <is>
          <t>003620</t>
        </is>
      </c>
      <c r="D972" t="inlineStr">
        <is>
          <t>별도</t>
        </is>
      </c>
      <c r="E972" t="inlineStr">
        <is>
          <t>2026Q1</t>
        </is>
      </c>
      <c r="F972" s="2" t="inlineStr"/>
      <c r="G972" t="inlineStr"/>
      <c r="H972" t="inlineStr"/>
      <c r="I972" s="2" t="inlineStr"/>
      <c r="J972" t="inlineStr"/>
      <c r="K972" t="inlineStr"/>
      <c r="L972" s="2" t="inlineStr"/>
      <c r="M972" t="inlineStr"/>
      <c r="N972" t="inlineStr">
        <is>
          <t>20260504800489</t>
        </is>
      </c>
      <c r="O972">
        <f>HYPERLINK("https://dart.fss.or.kr/dsaf001/main.do?rcpNo=20260504800489", "공시열람")</f>
        <v/>
      </c>
    </row>
    <row r="973">
      <c r="A973" t="inlineStr">
        <is>
          <t>2026-05-04</t>
        </is>
      </c>
      <c r="B973" t="inlineStr">
        <is>
          <t>팬오션</t>
        </is>
      </c>
      <c r="C973" t="inlineStr">
        <is>
          <t>028670</t>
        </is>
      </c>
      <c r="D973" t="inlineStr">
        <is>
          <t>연결</t>
        </is>
      </c>
      <c r="E973" t="inlineStr">
        <is>
          <t>2026Q1</t>
        </is>
      </c>
      <c r="F973" s="2" t="n">
        <v>1508900</v>
      </c>
      <c r="G973" t="n">
        <v>2.2</v>
      </c>
      <c r="H973" t="n">
        <v>8.300000000000001</v>
      </c>
      <c r="I973" s="2" t="n">
        <v>140900</v>
      </c>
      <c r="J973" t="n">
        <v>8</v>
      </c>
      <c r="K973" t="n">
        <v>24.4</v>
      </c>
      <c r="L973" s="2" t="n">
        <v>94500</v>
      </c>
      <c r="M973" t="n">
        <v>31.2</v>
      </c>
      <c r="N973" t="inlineStr">
        <is>
          <t>20260504800464</t>
        </is>
      </c>
      <c r="O973">
        <f>HYPERLINK("https://dart.fss.or.kr/dsaf001/main.do?rcpNo=20260504800464", "공시열람")</f>
        <v/>
      </c>
    </row>
    <row r="974">
      <c r="A974" t="inlineStr">
        <is>
          <t>2026-05-04</t>
        </is>
      </c>
      <c r="B974" t="inlineStr">
        <is>
          <t>화인베스틸</t>
        </is>
      </c>
      <c r="C974" t="inlineStr">
        <is>
          <t>133820</t>
        </is>
      </c>
      <c r="D974" t="inlineStr">
        <is>
          <t>별도</t>
        </is>
      </c>
      <c r="E974" t="inlineStr">
        <is>
          <t>2026Q1</t>
        </is>
      </c>
      <c r="F974" s="2" t="n">
        <v>49824</v>
      </c>
      <c r="G974" t="n">
        <v>-3.4</v>
      </c>
      <c r="H974" t="n">
        <v>39.2</v>
      </c>
      <c r="I974" s="2" t="n">
        <v>1829</v>
      </c>
      <c r="J974" t="n">
        <v>-7.7</v>
      </c>
      <c r="K974" t="inlineStr"/>
      <c r="L974" s="2" t="n">
        <v>533</v>
      </c>
      <c r="M974" t="inlineStr"/>
      <c r="N974" t="inlineStr">
        <is>
          <t>20260504800406</t>
        </is>
      </c>
      <c r="O974">
        <f>HYPERLINK("https://dart.fss.or.kr/dsaf001/main.do?rcpNo=20260504800406", "공시열람")</f>
        <v/>
      </c>
    </row>
    <row r="975">
      <c r="A975" t="inlineStr">
        <is>
          <t>2026-05-04</t>
        </is>
      </c>
      <c r="B975" t="inlineStr">
        <is>
          <t>롯데칠성음료</t>
        </is>
      </c>
      <c r="C975" t="inlineStr">
        <is>
          <t>005300</t>
        </is>
      </c>
      <c r="D975" t="inlineStr">
        <is>
          <t>연결</t>
        </is>
      </c>
      <c r="E975" t="inlineStr">
        <is>
          <t>2026Q1</t>
        </is>
      </c>
      <c r="F975" s="2" t="n">
        <v>952500</v>
      </c>
      <c r="G975" t="n">
        <v>6.5</v>
      </c>
      <c r="H975" t="n">
        <v>4.6</v>
      </c>
      <c r="I975" s="2" t="n">
        <v>47800</v>
      </c>
      <c r="J975" t="inlineStr"/>
      <c r="K975" t="n">
        <v>91</v>
      </c>
      <c r="L975" s="2" t="n">
        <v>25300</v>
      </c>
      <c r="M975" t="n">
        <v>366.6</v>
      </c>
      <c r="N975" t="inlineStr">
        <is>
          <t>20260504800373</t>
        </is>
      </c>
      <c r="O975">
        <f>HYPERLINK("https://dart.fss.or.kr/dsaf001/main.do?rcpNo=20260504800373", "공시열람")</f>
        <v/>
      </c>
    </row>
    <row r="976">
      <c r="A976" t="inlineStr">
        <is>
          <t>2026-05-04</t>
        </is>
      </c>
      <c r="B976" t="inlineStr">
        <is>
          <t>코스리거글로벌</t>
        </is>
      </c>
      <c r="C976" t="inlineStr">
        <is>
          <t>043710</t>
        </is>
      </c>
      <c r="D976" t="inlineStr">
        <is>
          <t>연결</t>
        </is>
      </c>
      <c r="E976" t="inlineStr">
        <is>
          <t>2026Q1</t>
        </is>
      </c>
      <c r="F976" s="2" t="n">
        <v>39562</v>
      </c>
      <c r="G976" t="n">
        <v>243.9</v>
      </c>
      <c r="H976" t="n">
        <v>816.2</v>
      </c>
      <c r="I976" s="2" t="n">
        <v>1534</v>
      </c>
      <c r="J976" t="inlineStr"/>
      <c r="K976" t="inlineStr"/>
      <c r="L976" s="2" t="n">
        <v>-2872</v>
      </c>
      <c r="M976" t="n">
        <v>91.09999999999999</v>
      </c>
      <c r="N976" t="inlineStr">
        <is>
          <t>20260504900324</t>
        </is>
      </c>
      <c r="O976">
        <f>HYPERLINK("https://dart.fss.or.kr/dsaf001/main.do?rcpNo=20260504900324", "공시열람")</f>
        <v/>
      </c>
    </row>
    <row r="977">
      <c r="A977" t="inlineStr">
        <is>
          <t>2026-05-04</t>
        </is>
      </c>
      <c r="B977" t="inlineStr">
        <is>
          <t>비에이치</t>
        </is>
      </c>
      <c r="C977" t="inlineStr">
        <is>
          <t>090460</t>
        </is>
      </c>
      <c r="D977" t="inlineStr">
        <is>
          <t>연결</t>
        </is>
      </c>
      <c r="E977" t="inlineStr">
        <is>
          <t>2026Q1</t>
        </is>
      </c>
      <c r="F977" s="2" t="n">
        <v>371555</v>
      </c>
      <c r="G977" t="n">
        <v>-26.86</v>
      </c>
      <c r="H977" t="n">
        <v>11.77</v>
      </c>
      <c r="I977" s="2" t="n">
        <v>10656</v>
      </c>
      <c r="J977" t="n">
        <v>-63.03</v>
      </c>
      <c r="K977" t="inlineStr"/>
      <c r="L977" s="2" t="inlineStr"/>
      <c r="M977" t="inlineStr"/>
      <c r="N977" t="inlineStr">
        <is>
          <t>20260504800201</t>
        </is>
      </c>
      <c r="O977">
        <f>HYPERLINK("https://dart.fss.or.kr/dsaf001/main.do?rcpNo=20260504800201", "공시열람")</f>
        <v/>
      </c>
    </row>
    <row r="978">
      <c r="A978" t="inlineStr">
        <is>
          <t>2026-05-04</t>
        </is>
      </c>
      <c r="B978" t="inlineStr">
        <is>
          <t>키이스트</t>
        </is>
      </c>
      <c r="C978" t="inlineStr">
        <is>
          <t>054780</t>
        </is>
      </c>
      <c r="D978" t="inlineStr">
        <is>
          <t>별도</t>
        </is>
      </c>
      <c r="E978" t="inlineStr">
        <is>
          <t>2026Q1</t>
        </is>
      </c>
      <c r="F978" s="2" t="n">
        <v>8536</v>
      </c>
      <c r="G978" t="n">
        <v>84.59999999999999</v>
      </c>
      <c r="H978" t="n">
        <v>89.8</v>
      </c>
      <c r="I978" s="2" t="n">
        <v>-984</v>
      </c>
      <c r="J978" t="n">
        <v>-64</v>
      </c>
      <c r="K978" t="n">
        <v>8.210000000000001</v>
      </c>
      <c r="L978" s="2" t="n">
        <v>-525</v>
      </c>
      <c r="M978" t="n">
        <v>-0.96</v>
      </c>
      <c r="N978" t="inlineStr">
        <is>
          <t>20260504900604</t>
        </is>
      </c>
      <c r="O978">
        <f>HYPERLINK("https://dart.fss.or.kr/dsaf001/main.do?rcpNo=20260504900604", "공시열람")</f>
        <v/>
      </c>
    </row>
    <row r="979">
      <c r="A979" t="inlineStr">
        <is>
          <t>2026-05-04</t>
        </is>
      </c>
      <c r="B979" t="inlineStr">
        <is>
          <t>SM C&amp;C</t>
        </is>
      </c>
      <c r="C979" t="inlineStr">
        <is>
          <t>048550</t>
        </is>
      </c>
      <c r="D979" t="inlineStr">
        <is>
          <t>연결</t>
        </is>
      </c>
      <c r="E979" t="inlineStr">
        <is>
          <t>2026Q1</t>
        </is>
      </c>
      <c r="F979" s="2" t="n">
        <v>21475</v>
      </c>
      <c r="G979" t="n">
        <v>-40.82</v>
      </c>
      <c r="H979" t="n">
        <v>21.35</v>
      </c>
      <c r="I979" s="2" t="n">
        <v>-2238</v>
      </c>
      <c r="J979" t="inlineStr"/>
      <c r="K979" t="n">
        <v>23.75</v>
      </c>
      <c r="L979" s="2" t="n">
        <v>-1232</v>
      </c>
      <c r="M979" t="n">
        <v>31.89</v>
      </c>
      <c r="N979" t="inlineStr">
        <is>
          <t>20260504900729</t>
        </is>
      </c>
      <c r="O979">
        <f>HYPERLINK("https://dart.fss.or.kr/dsaf001/main.do?rcpNo=20260504900729", "공시열람")</f>
        <v/>
      </c>
    </row>
    <row r="980">
      <c r="A980" t="inlineStr">
        <is>
          <t>2026-04-28</t>
        </is>
      </c>
      <c r="B980" t="inlineStr">
        <is>
          <t>한화솔루션</t>
        </is>
      </c>
      <c r="C980" t="inlineStr">
        <is>
          <t>009830</t>
        </is>
      </c>
      <c r="D980" t="inlineStr">
        <is>
          <t>연결</t>
        </is>
      </c>
      <c r="E980" t="inlineStr">
        <is>
          <t>2026Q1</t>
        </is>
      </c>
      <c r="F980" s="2" t="n">
        <v>3881952</v>
      </c>
      <c r="G980" t="n">
        <v>3.33</v>
      </c>
      <c r="H980" t="n">
        <v>25.45</v>
      </c>
      <c r="I980" s="2" t="n">
        <v>92610</v>
      </c>
      <c r="J980" t="inlineStr"/>
      <c r="K980" t="n">
        <v>205.5</v>
      </c>
      <c r="L980" s="2" t="n">
        <v>-38198</v>
      </c>
      <c r="M980" t="n">
        <v>-26.51</v>
      </c>
      <c r="N980" t="inlineStr">
        <is>
          <t>20260428800314</t>
        </is>
      </c>
      <c r="O980">
        <f>HYPERLINK("https://dart.fss.or.kr/dsaf001/main.do?rcpNo=20260428800314", "공시열람")</f>
        <v/>
      </c>
    </row>
    <row r="981">
      <c r="A981" t="inlineStr">
        <is>
          <t>2026-04-28</t>
        </is>
      </c>
      <c r="B981" t="inlineStr">
        <is>
          <t>금호타이어</t>
        </is>
      </c>
      <c r="C981" t="inlineStr">
        <is>
          <t>073240</t>
        </is>
      </c>
      <c r="D981" t="inlineStr">
        <is>
          <t>연결</t>
        </is>
      </c>
      <c r="E981" t="inlineStr">
        <is>
          <t>2026Q1</t>
        </is>
      </c>
      <c r="F981" s="2" t="n">
        <v>1167810</v>
      </c>
      <c r="G981" t="n">
        <v>0.7</v>
      </c>
      <c r="H981" t="n">
        <v>-3.2</v>
      </c>
      <c r="I981" s="2" t="n">
        <v>147027</v>
      </c>
      <c r="J981" t="n">
        <v>1</v>
      </c>
      <c r="K981" t="n">
        <v>0.3</v>
      </c>
      <c r="L981" s="2" t="n">
        <v>103424</v>
      </c>
      <c r="M981" t="n">
        <v>0.4</v>
      </c>
      <c r="N981" t="inlineStr">
        <is>
          <t>20260428800684</t>
        </is>
      </c>
      <c r="O981">
        <f>HYPERLINK("https://dart.fss.or.kr/dsaf001/main.do?rcpNo=20260428800684", "공시열람")</f>
        <v/>
      </c>
    </row>
    <row r="982">
      <c r="A982" t="inlineStr">
        <is>
          <t>2026-04-28</t>
        </is>
      </c>
      <c r="B982" t="inlineStr">
        <is>
          <t>티씨케이</t>
        </is>
      </c>
      <c r="C982" t="inlineStr">
        <is>
          <t>064760</t>
        </is>
      </c>
      <c r="D982" t="inlineStr">
        <is>
          <t>별도</t>
        </is>
      </c>
      <c r="E982" t="inlineStr">
        <is>
          <t>2026Q1</t>
        </is>
      </c>
      <c r="F982" s="2" t="n">
        <v>95392</v>
      </c>
      <c r="G982" t="n">
        <v>34.25</v>
      </c>
      <c r="H982" t="n">
        <v>21.73</v>
      </c>
      <c r="I982" s="2" t="n">
        <v>28554</v>
      </c>
      <c r="J982" t="n">
        <v>54.06</v>
      </c>
      <c r="K982" t="n">
        <v>21.65</v>
      </c>
      <c r="L982" s="2" t="n">
        <v>25113</v>
      </c>
      <c r="M982" t="n">
        <v>28.66</v>
      </c>
      <c r="N982" t="inlineStr">
        <is>
          <t>20260428900313</t>
        </is>
      </c>
      <c r="O982">
        <f>HYPERLINK("https://dart.fss.or.kr/dsaf001/main.do?rcpNo=20260428900313", "공시열람")</f>
        <v/>
      </c>
    </row>
    <row r="983">
      <c r="A983" t="inlineStr">
        <is>
          <t>2026-04-28</t>
        </is>
      </c>
      <c r="B983" t="inlineStr">
        <is>
          <t>세아메카닉스</t>
        </is>
      </c>
      <c r="C983" t="inlineStr">
        <is>
          <t>396300</t>
        </is>
      </c>
      <c r="D983" t="inlineStr">
        <is>
          <t>별도</t>
        </is>
      </c>
      <c r="E983" t="inlineStr">
        <is>
          <t>2026Q1</t>
        </is>
      </c>
      <c r="F983" s="2" t="n">
        <v>33618</v>
      </c>
      <c r="G983" t="n">
        <v>36.7</v>
      </c>
      <c r="H983" t="n">
        <v>71.5</v>
      </c>
      <c r="I983" s="2" t="n">
        <v>1654</v>
      </c>
      <c r="J983" t="n">
        <v>310.3</v>
      </c>
      <c r="K983" t="inlineStr"/>
      <c r="L983" s="2" t="n">
        <v>2206</v>
      </c>
      <c r="M983" t="inlineStr"/>
      <c r="N983" t="inlineStr">
        <is>
          <t>20260428900068</t>
        </is>
      </c>
      <c r="O983">
        <f>HYPERLINK("https://dart.fss.or.kr/dsaf001/main.do?rcpNo=20260428900068", "공시열람")</f>
        <v/>
      </c>
    </row>
    <row r="984">
      <c r="A984" t="inlineStr">
        <is>
          <t>2026-04-28</t>
        </is>
      </c>
      <c r="B984" t="inlineStr">
        <is>
          <t>한솔홈데코</t>
        </is>
      </c>
      <c r="C984" t="inlineStr">
        <is>
          <t>025750</t>
        </is>
      </c>
      <c r="D984" t="inlineStr">
        <is>
          <t>연결</t>
        </is>
      </c>
      <c r="E984" t="inlineStr">
        <is>
          <t>2026Q1</t>
        </is>
      </c>
      <c r="F984" s="2" t="n">
        <v>69144</v>
      </c>
      <c r="G984" t="n">
        <v>6.5</v>
      </c>
      <c r="H984" t="n">
        <v>-7</v>
      </c>
      <c r="I984" s="2" t="n">
        <v>2708</v>
      </c>
      <c r="J984" t="n">
        <v>2414.9</v>
      </c>
      <c r="K984" t="n">
        <v>129</v>
      </c>
      <c r="L984" s="2" t="n">
        <v>3537</v>
      </c>
      <c r="M984" t="n">
        <v>454.1</v>
      </c>
      <c r="N984" t="inlineStr">
        <is>
          <t>20260428800076</t>
        </is>
      </c>
      <c r="O984">
        <f>HYPERLINK("https://dart.fss.or.kr/dsaf001/main.do?rcpNo=20260428800076", "공시열람")</f>
        <v/>
      </c>
    </row>
    <row r="985">
      <c r="A985" t="inlineStr">
        <is>
          <t>2026-04-28</t>
        </is>
      </c>
      <c r="B985" t="inlineStr">
        <is>
          <t>HK이노엔</t>
        </is>
      </c>
      <c r="C985" t="inlineStr">
        <is>
          <t>195940</t>
        </is>
      </c>
      <c r="D985" t="inlineStr">
        <is>
          <t>별도</t>
        </is>
      </c>
      <c r="E985" t="inlineStr">
        <is>
          <t>2026Q1</t>
        </is>
      </c>
      <c r="F985" s="2" t="n">
        <v>258683</v>
      </c>
      <c r="G985" t="n">
        <v>-11.4</v>
      </c>
      <c r="H985" t="n">
        <v>4.6</v>
      </c>
      <c r="I985" s="2" t="n">
        <v>33191</v>
      </c>
      <c r="J985" t="n">
        <v>-17.2</v>
      </c>
      <c r="K985" t="n">
        <v>30.8</v>
      </c>
      <c r="L985" s="2" t="n">
        <v>25944</v>
      </c>
      <c r="M985" t="n">
        <v>48.9</v>
      </c>
      <c r="N985" t="inlineStr">
        <is>
          <t>20260428900214</t>
        </is>
      </c>
      <c r="O985">
        <f>HYPERLINK("https://dart.fss.or.kr/dsaf001/main.do?rcpNo=20260428900214", "공시열람")</f>
        <v/>
      </c>
    </row>
    <row r="986">
      <c r="A986" t="inlineStr">
        <is>
          <t>2026-04-28</t>
        </is>
      </c>
      <c r="B986" t="inlineStr">
        <is>
          <t>바이오포트</t>
        </is>
      </c>
      <c r="C986" t="inlineStr">
        <is>
          <t>188040</t>
        </is>
      </c>
      <c r="D986" t="inlineStr">
        <is>
          <t>연결</t>
        </is>
      </c>
      <c r="E986" t="inlineStr">
        <is>
          <t>2026Q1</t>
        </is>
      </c>
      <c r="F986" s="2" t="n">
        <v>21385</v>
      </c>
      <c r="G986" t="n">
        <v>36</v>
      </c>
      <c r="H986" t="n">
        <v>26.7</v>
      </c>
      <c r="I986" s="2" t="n">
        <v>765</v>
      </c>
      <c r="J986" t="inlineStr"/>
      <c r="K986" t="inlineStr"/>
      <c r="L986" s="2" t="n">
        <v>710</v>
      </c>
      <c r="M986" t="n">
        <v>1818.9</v>
      </c>
      <c r="N986" t="inlineStr">
        <is>
          <t>20260428900258</t>
        </is>
      </c>
      <c r="O986">
        <f>HYPERLINK("https://dart.fss.or.kr/dsaf001/main.do?rcpNo=20260428900258", "공시열람")</f>
        <v/>
      </c>
    </row>
    <row r="987">
      <c r="A987" t="inlineStr">
        <is>
          <t>2026-04-28</t>
        </is>
      </c>
      <c r="B987" t="inlineStr">
        <is>
          <t>대우건설</t>
        </is>
      </c>
      <c r="C987" t="inlineStr">
        <is>
          <t>047040</t>
        </is>
      </c>
      <c r="D987" t="inlineStr">
        <is>
          <t>연결</t>
        </is>
      </c>
      <c r="E987" t="inlineStr">
        <is>
          <t>2026Q1</t>
        </is>
      </c>
      <c r="F987" s="2" t="n">
        <v>1951400</v>
      </c>
      <c r="G987" t="n">
        <v>13.9</v>
      </c>
      <c r="H987" t="n">
        <v>-6</v>
      </c>
      <c r="I987" s="2" t="n">
        <v>255600</v>
      </c>
      <c r="J987" t="inlineStr"/>
      <c r="K987" t="n">
        <v>68.90000000000001</v>
      </c>
      <c r="L987" s="2" t="n">
        <v>195800</v>
      </c>
      <c r="M987" t="n">
        <v>237.6</v>
      </c>
      <c r="N987" t="inlineStr">
        <is>
          <t>20260428800065</t>
        </is>
      </c>
      <c r="O987">
        <f>HYPERLINK("https://dart.fss.or.kr/dsaf001/main.do?rcpNo=20260428800065", "공시열람")</f>
        <v/>
      </c>
    </row>
    <row r="988">
      <c r="A988" t="inlineStr">
        <is>
          <t>2026-04-28</t>
        </is>
      </c>
      <c r="B988" t="inlineStr">
        <is>
          <t>삼성SDI</t>
        </is>
      </c>
      <c r="C988" t="inlineStr">
        <is>
          <t>006400</t>
        </is>
      </c>
      <c r="D988" t="inlineStr">
        <is>
          <t>연결</t>
        </is>
      </c>
      <c r="E988" t="inlineStr">
        <is>
          <t>2026Q1</t>
        </is>
      </c>
      <c r="F988" s="2" t="n">
        <v>3576400</v>
      </c>
      <c r="G988" t="n">
        <v>-7.3</v>
      </c>
      <c r="H988" t="n">
        <v>12.6</v>
      </c>
      <c r="I988" s="2" t="n">
        <v>-155600</v>
      </c>
      <c r="J988" t="inlineStr"/>
      <c r="K988" t="inlineStr"/>
      <c r="L988" s="2" t="n">
        <v>56100</v>
      </c>
      <c r="M988" t="inlineStr"/>
      <c r="N988" t="inlineStr">
        <is>
          <t>20260428800061</t>
        </is>
      </c>
      <c r="O988">
        <f>HYPERLINK("https://dart.fss.or.kr/dsaf001/main.do?rcpNo=20260428800061", "공시열람")</f>
        <v/>
      </c>
    </row>
    <row r="989">
      <c r="A989" t="inlineStr">
        <is>
          <t>2026-04-28</t>
        </is>
      </c>
      <c r="B989" t="inlineStr">
        <is>
          <t>DS단석</t>
        </is>
      </c>
      <c r="C989" t="inlineStr">
        <is>
          <t>017860</t>
        </is>
      </c>
      <c r="D989" t="inlineStr">
        <is>
          <t>연결</t>
        </is>
      </c>
      <c r="E989" t="inlineStr">
        <is>
          <t>2026Q1</t>
        </is>
      </c>
      <c r="F989" s="2" t="n">
        <v>278140</v>
      </c>
      <c r="G989" t="n">
        <v>20.8</v>
      </c>
      <c r="H989" t="n">
        <v>12.1</v>
      </c>
      <c r="I989" s="2" t="n">
        <v>4396</v>
      </c>
      <c r="J989" t="inlineStr"/>
      <c r="K989" t="n">
        <v>-51.1</v>
      </c>
      <c r="L989" s="2" t="n">
        <v>-1856</v>
      </c>
      <c r="M989" t="inlineStr"/>
      <c r="N989" t="inlineStr">
        <is>
          <t>20260428800316</t>
        </is>
      </c>
      <c r="O989">
        <f>HYPERLINK("https://dart.fss.or.kr/dsaf001/main.do?rcpNo=20260428800316", "공시열람")</f>
        <v/>
      </c>
    </row>
    <row r="990">
      <c r="A990" t="inlineStr">
        <is>
          <t>2026-04-28</t>
        </is>
      </c>
      <c r="B990" t="inlineStr">
        <is>
          <t>송원산업</t>
        </is>
      </c>
      <c r="C990" t="inlineStr">
        <is>
          <t>004430</t>
        </is>
      </c>
      <c r="D990" t="inlineStr">
        <is>
          <t>연결</t>
        </is>
      </c>
      <c r="E990" t="inlineStr">
        <is>
          <t>2026Q1</t>
        </is>
      </c>
      <c r="F990" s="2" t="n">
        <v>269204</v>
      </c>
      <c r="G990" t="n">
        <v>12.5</v>
      </c>
      <c r="H990" t="n">
        <v>-2.4</v>
      </c>
      <c r="I990" s="2" t="n">
        <v>26558</v>
      </c>
      <c r="J990" t="inlineStr"/>
      <c r="K990" t="n">
        <v>142.8</v>
      </c>
      <c r="L990" s="2" t="n">
        <v>18091</v>
      </c>
      <c r="M990" t="n">
        <v>272.5</v>
      </c>
      <c r="N990" t="inlineStr">
        <is>
          <t>20260428800274</t>
        </is>
      </c>
      <c r="O990">
        <f>HYPERLINK("https://dart.fss.or.kr/dsaf001/main.do?rcpNo=20260428800274", "공시열람")</f>
        <v/>
      </c>
    </row>
    <row r="991">
      <c r="A991" t="inlineStr">
        <is>
          <t>2026-04-28</t>
        </is>
      </c>
      <c r="B991" t="inlineStr">
        <is>
          <t>솔루스첨단소재</t>
        </is>
      </c>
      <c r="C991" t="inlineStr">
        <is>
          <t>336370</t>
        </is>
      </c>
      <c r="D991" t="inlineStr">
        <is>
          <t>연결</t>
        </is>
      </c>
      <c r="E991" t="inlineStr">
        <is>
          <t>2026Q1</t>
        </is>
      </c>
      <c r="F991" s="2" t="n">
        <v>192600</v>
      </c>
      <c r="G991" t="n">
        <v>13.63</v>
      </c>
      <c r="H991" t="n">
        <v>22.21</v>
      </c>
      <c r="I991" s="2" t="n">
        <v>-22000</v>
      </c>
      <c r="J991" t="n">
        <v>-0.46</v>
      </c>
      <c r="K991" t="n">
        <v>-43.79</v>
      </c>
      <c r="L991" s="2" t="n">
        <v>-3400</v>
      </c>
      <c r="M991" t="n">
        <v>89.34</v>
      </c>
      <c r="N991" t="inlineStr">
        <is>
          <t>20260428800276</t>
        </is>
      </c>
      <c r="O991">
        <f>HYPERLINK("https://dart.fss.or.kr/dsaf001/main.do?rcpNo=20260428800276", "공시열람")</f>
        <v/>
      </c>
    </row>
    <row r="992">
      <c r="A992" t="inlineStr">
        <is>
          <t>2026-04-28</t>
        </is>
      </c>
      <c r="B992" t="inlineStr">
        <is>
          <t>HD현대일렉트릭</t>
        </is>
      </c>
      <c r="C992" t="inlineStr">
        <is>
          <t>267260</t>
        </is>
      </c>
      <c r="D992" t="inlineStr">
        <is>
          <t>연결</t>
        </is>
      </c>
      <c r="E992" t="inlineStr">
        <is>
          <t>2026Q1</t>
        </is>
      </c>
      <c r="F992" s="2" t="n">
        <v>1036500</v>
      </c>
      <c r="G992" t="n">
        <v>-10.9</v>
      </c>
      <c r="H992" t="n">
        <v>2.1</v>
      </c>
      <c r="I992" s="2" t="n">
        <v>258300</v>
      </c>
      <c r="J992" t="n">
        <v>-19.5</v>
      </c>
      <c r="K992" t="n">
        <v>18.4</v>
      </c>
      <c r="L992" s="2" t="n">
        <v>207700</v>
      </c>
      <c r="M992" t="n">
        <v>35.4</v>
      </c>
      <c r="N992" t="inlineStr">
        <is>
          <t>20260428800282</t>
        </is>
      </c>
      <c r="O992">
        <f>HYPERLINK("https://dart.fss.or.kr/dsaf001/main.do?rcpNo=20260428800282", "공시열람")</f>
        <v/>
      </c>
    </row>
    <row r="993">
      <c r="A993" t="inlineStr">
        <is>
          <t>2026-04-28</t>
        </is>
      </c>
      <c r="B993" t="inlineStr">
        <is>
          <t>PI첨단소재</t>
        </is>
      </c>
      <c r="C993" t="inlineStr">
        <is>
          <t>178920</t>
        </is>
      </c>
      <c r="D993" t="inlineStr">
        <is>
          <t>별도</t>
        </is>
      </c>
      <c r="E993" t="inlineStr">
        <is>
          <t>2026Q1</t>
        </is>
      </c>
      <c r="F993" s="2" t="n">
        <v>64054</v>
      </c>
      <c r="G993" t="n">
        <v>9.6</v>
      </c>
      <c r="H993" t="n">
        <v>-0.1</v>
      </c>
      <c r="I993" s="2" t="n">
        <v>14048</v>
      </c>
      <c r="J993" t="n">
        <v>111.8</v>
      </c>
      <c r="K993" t="n">
        <v>62.8</v>
      </c>
      <c r="L993" s="2" t="n">
        <v>10558</v>
      </c>
      <c r="M993" t="n">
        <v>82.59999999999999</v>
      </c>
      <c r="N993" t="inlineStr">
        <is>
          <t>20260428801030</t>
        </is>
      </c>
      <c r="O993">
        <f>HYPERLINK("https://dart.fss.or.kr/dsaf001/main.do?rcpNo=20260428801030", "공시열람")</f>
        <v/>
      </c>
    </row>
    <row r="994">
      <c r="A994" t="inlineStr">
        <is>
          <t>2026-04-28</t>
        </is>
      </c>
      <c r="B994" t="inlineStr">
        <is>
          <t>칩스앤미디어</t>
        </is>
      </c>
      <c r="C994" t="inlineStr">
        <is>
          <t>094360</t>
        </is>
      </c>
      <c r="D994" t="inlineStr">
        <is>
          <t>연결</t>
        </is>
      </c>
      <c r="E994" t="inlineStr">
        <is>
          <t>2026Q1</t>
        </is>
      </c>
      <c r="F994" s="2" t="n">
        <v>5780</v>
      </c>
      <c r="G994" t="n">
        <v>-41.4</v>
      </c>
      <c r="H994" t="n">
        <v>7.6</v>
      </c>
      <c r="I994" s="2" t="n">
        <v>181</v>
      </c>
      <c r="J994" t="n">
        <v>-95.3</v>
      </c>
      <c r="K994" t="n">
        <v>-11.1</v>
      </c>
      <c r="L994" s="2" t="n">
        <v>1294</v>
      </c>
      <c r="M994" t="inlineStr"/>
      <c r="N994" t="inlineStr">
        <is>
          <t>20260428900323</t>
        </is>
      </c>
      <c r="O994">
        <f>HYPERLINK("https://dart.fss.or.kr/dsaf001/main.do?rcpNo=20260428900323", "공시열람")</f>
        <v/>
      </c>
    </row>
    <row r="995">
      <c r="A995" t="inlineStr">
        <is>
          <t>2026-04-28</t>
        </is>
      </c>
      <c r="B995" t="inlineStr">
        <is>
          <t>주성엔지니어링</t>
        </is>
      </c>
      <c r="C995" t="inlineStr">
        <is>
          <t>036930</t>
        </is>
      </c>
      <c r="D995" t="inlineStr">
        <is>
          <t>연결</t>
        </is>
      </c>
      <c r="E995" t="inlineStr">
        <is>
          <t>2026Q1</t>
        </is>
      </c>
      <c r="F995" s="2" t="n">
        <v>54879</v>
      </c>
      <c r="G995" t="n">
        <v>5</v>
      </c>
      <c r="H995" t="n">
        <v>-54.6</v>
      </c>
      <c r="I995" s="2" t="n">
        <v>-7031</v>
      </c>
      <c r="J995" t="n">
        <v>44.1</v>
      </c>
      <c r="K995" t="inlineStr"/>
      <c r="L995" s="2" t="n">
        <v>-1191</v>
      </c>
      <c r="M995" t="inlineStr"/>
      <c r="N995" t="inlineStr">
        <is>
          <t>20260428900458</t>
        </is>
      </c>
      <c r="O995">
        <f>HYPERLINK("https://dart.fss.or.kr/dsaf001/main.do?rcpNo=20260428900458", "공시열람")</f>
        <v/>
      </c>
    </row>
    <row r="996">
      <c r="A996" t="inlineStr">
        <is>
          <t>2026-04-28</t>
        </is>
      </c>
      <c r="B996" t="inlineStr">
        <is>
          <t>iM금융지주</t>
        </is>
      </c>
      <c r="C996" t="inlineStr">
        <is>
          <t>139130</t>
        </is>
      </c>
      <c r="D996" t="inlineStr">
        <is>
          <t>연결</t>
        </is>
      </c>
      <c r="E996" t="inlineStr">
        <is>
          <t>2026Q1</t>
        </is>
      </c>
      <c r="F996" s="2" t="n">
        <v>3357095</v>
      </c>
      <c r="G996" t="n">
        <v>48.9</v>
      </c>
      <c r="H996" t="n">
        <v>82.90000000000001</v>
      </c>
      <c r="I996" s="2" t="n">
        <v>193923</v>
      </c>
      <c r="J996" t="n">
        <v>875.2</v>
      </c>
      <c r="K996" t="n">
        <v>-7.3</v>
      </c>
      <c r="L996" s="2" t="n">
        <v>158242</v>
      </c>
      <c r="M996" t="n">
        <v>-0.3</v>
      </c>
      <c r="N996" t="inlineStr">
        <is>
          <t>20260428800523</t>
        </is>
      </c>
      <c r="O996">
        <f>HYPERLINK("https://dart.fss.or.kr/dsaf001/main.do?rcpNo=20260428800523", "공시열람")</f>
        <v/>
      </c>
    </row>
    <row r="997">
      <c r="A997" t="inlineStr">
        <is>
          <t>2026-04-28</t>
        </is>
      </c>
      <c r="B997" t="inlineStr">
        <is>
          <t>현대건설</t>
        </is>
      </c>
      <c r="C997" t="inlineStr">
        <is>
          <t>000720</t>
        </is>
      </c>
      <c r="D997" t="inlineStr">
        <is>
          <t>연결</t>
        </is>
      </c>
      <c r="E997" t="inlineStr">
        <is>
          <t>2026Q1</t>
        </is>
      </c>
      <c r="F997" s="2" t="n">
        <v>6281300</v>
      </c>
      <c r="G997" t="n">
        <v>-22.1</v>
      </c>
      <c r="H997" t="n">
        <v>-15.8</v>
      </c>
      <c r="I997" s="2" t="n">
        <v>180900</v>
      </c>
      <c r="J997" t="n">
        <v>52.3</v>
      </c>
      <c r="K997" t="n">
        <v>-15.4</v>
      </c>
      <c r="L997" s="2" t="n">
        <v>206800</v>
      </c>
      <c r="M997" t="n">
        <v>24</v>
      </c>
      <c r="N997" t="inlineStr">
        <is>
          <t>20260428800324</t>
        </is>
      </c>
      <c r="O997">
        <f>HYPERLINK("https://dart.fss.or.kr/dsaf001/main.do?rcpNo=20260428800324", "공시열람")</f>
        <v/>
      </c>
    </row>
    <row r="998">
      <c r="A998" t="inlineStr">
        <is>
          <t>2026-04-28</t>
        </is>
      </c>
      <c r="B998" t="inlineStr">
        <is>
          <t>코스모신소재</t>
        </is>
      </c>
      <c r="C998" t="inlineStr">
        <is>
          <t>005070</t>
        </is>
      </c>
      <c r="D998" t="inlineStr">
        <is>
          <t>별도</t>
        </is>
      </c>
      <c r="E998" t="inlineStr">
        <is>
          <t>2026Q1</t>
        </is>
      </c>
      <c r="F998" s="2" t="n">
        <v>122720</v>
      </c>
      <c r="G998" t="n">
        <v>4.9</v>
      </c>
      <c r="H998" t="n">
        <v>7.8</v>
      </c>
      <c r="I998" s="2" t="n">
        <v>874</v>
      </c>
      <c r="J998" t="n">
        <v>30.3</v>
      </c>
      <c r="K998" t="n">
        <v>-16.3</v>
      </c>
      <c r="L998" s="2" t="n">
        <v>-3568</v>
      </c>
      <c r="M998" t="inlineStr"/>
      <c r="N998" t="inlineStr">
        <is>
          <t>20260428800387</t>
        </is>
      </c>
      <c r="O998">
        <f>HYPERLINK("https://dart.fss.or.kr/dsaf001/main.do?rcpNo=20260428800387", "공시열람")</f>
        <v/>
      </c>
    </row>
    <row r="999">
      <c r="A999" t="inlineStr">
        <is>
          <t>2026-04-28</t>
        </is>
      </c>
      <c r="B999" t="inlineStr">
        <is>
          <t>두산밥캣</t>
        </is>
      </c>
      <c r="C999" t="inlineStr">
        <is>
          <t>241560</t>
        </is>
      </c>
      <c r="D999" t="inlineStr">
        <is>
          <t>연결</t>
        </is>
      </c>
      <c r="E999" t="inlineStr">
        <is>
          <t>2026Q1</t>
        </is>
      </c>
      <c r="F999" s="2" t="n">
        <v>2247300</v>
      </c>
      <c r="G999" t="n">
        <v>-5.5</v>
      </c>
      <c r="H999" t="n">
        <v>7.1</v>
      </c>
      <c r="I999" s="2" t="n">
        <v>207000</v>
      </c>
      <c r="J999" t="n">
        <v>39.6</v>
      </c>
      <c r="K999" t="n">
        <v>3.5</v>
      </c>
      <c r="L999" s="2" t="n">
        <v>131400</v>
      </c>
      <c r="M999" t="n">
        <v>15.9</v>
      </c>
      <c r="N999" t="inlineStr">
        <is>
          <t>20260428800490</t>
        </is>
      </c>
      <c r="O999">
        <f>HYPERLINK("https://dart.fss.or.kr/dsaf001/main.do?rcpNo=20260428800490", "공시열람")</f>
        <v/>
      </c>
    </row>
    <row r="1000">
      <c r="A1000" t="inlineStr">
        <is>
          <t>2026-04-28</t>
        </is>
      </c>
      <c r="B1000" t="inlineStr">
        <is>
          <t>롯데정밀화학</t>
        </is>
      </c>
      <c r="C1000" t="inlineStr">
        <is>
          <t>004000</t>
        </is>
      </c>
      <c r="D1000" t="inlineStr">
        <is>
          <t>연결</t>
        </is>
      </c>
      <c r="E1000" t="inlineStr">
        <is>
          <t>2026Q1</t>
        </is>
      </c>
      <c r="F1000" s="2" t="n">
        <v>510700</v>
      </c>
      <c r="G1000" t="n">
        <v>16.3</v>
      </c>
      <c r="H1000" t="n">
        <v>14.6</v>
      </c>
      <c r="I1000" s="2" t="n">
        <v>32700</v>
      </c>
      <c r="J1000" t="n">
        <v>69.40000000000001</v>
      </c>
      <c r="K1000" t="n">
        <v>73.90000000000001</v>
      </c>
      <c r="L1000" s="2" t="n">
        <v>44700</v>
      </c>
      <c r="M1000" t="n">
        <v>57.4</v>
      </c>
      <c r="N1000" t="inlineStr">
        <is>
          <t>20260428800486</t>
        </is>
      </c>
      <c r="O1000">
        <f>HYPERLINK("https://dart.fss.or.kr/dsaf001/main.do?rcpNo=20260428800486", "공시열람")</f>
        <v/>
      </c>
    </row>
    <row r="1001">
      <c r="A1001" t="inlineStr">
        <is>
          <t>2026-04-28</t>
        </is>
      </c>
      <c r="B1001" t="inlineStr">
        <is>
          <t>iM금융지주</t>
        </is>
      </c>
      <c r="C1001" t="inlineStr">
        <is>
          <t>139130</t>
        </is>
      </c>
      <c r="D1001" t="inlineStr">
        <is>
          <t>연결</t>
        </is>
      </c>
      <c r="E1001" t="inlineStr">
        <is>
          <t>2026Q1</t>
        </is>
      </c>
      <c r="F1001" s="2" t="n">
        <v>1659713</v>
      </c>
      <c r="G1001" t="n">
        <v>104.5</v>
      </c>
      <c r="H1001" t="n">
        <v>254</v>
      </c>
      <c r="I1001" s="2" t="n">
        <v>24208</v>
      </c>
      <c r="J1001" t="n">
        <v>287.6</v>
      </c>
      <c r="K1001" t="n">
        <v>-27.1</v>
      </c>
      <c r="L1001" s="2" t="n">
        <v>21723</v>
      </c>
      <c r="M1001" t="n">
        <v>-20.6</v>
      </c>
      <c r="N1001" t="inlineStr">
        <is>
          <t>20260428800499</t>
        </is>
      </c>
      <c r="O1001">
        <f>HYPERLINK("https://dart.fss.or.kr/dsaf001/main.do?rcpNo=20260428800499", "공시열람")</f>
        <v/>
      </c>
    </row>
    <row r="1002">
      <c r="A1002" t="inlineStr">
        <is>
          <t>2026-04-28</t>
        </is>
      </c>
      <c r="B1002" t="inlineStr">
        <is>
          <t>iM금융지주</t>
        </is>
      </c>
      <c r="C1002" t="inlineStr">
        <is>
          <t>139130</t>
        </is>
      </c>
      <c r="D1002" t="inlineStr">
        <is>
          <t>연결</t>
        </is>
      </c>
      <c r="E1002" t="inlineStr">
        <is>
          <t>2026Q1</t>
        </is>
      </c>
      <c r="F1002" s="2" t="n">
        <v>1226216</v>
      </c>
      <c r="G1002" t="n">
        <v>14</v>
      </c>
      <c r="H1002" t="n">
        <v>16.6</v>
      </c>
      <c r="I1002" s="2" t="n">
        <v>154293</v>
      </c>
      <c r="J1002" t="n">
        <v>466.5</v>
      </c>
      <c r="K1002" t="n">
        <v>-4.3</v>
      </c>
      <c r="L1002" s="2" t="n">
        <v>120610</v>
      </c>
      <c r="M1002" t="n">
        <v>-3.6</v>
      </c>
      <c r="N1002" t="inlineStr">
        <is>
          <t>20260428800512</t>
        </is>
      </c>
      <c r="O1002">
        <f>HYPERLINK("https://dart.fss.or.kr/dsaf001/main.do?rcpNo=20260428800512", "공시열람")</f>
        <v/>
      </c>
    </row>
    <row r="1003">
      <c r="A1003" t="inlineStr">
        <is>
          <t>2026-04-28</t>
        </is>
      </c>
      <c r="B1003" t="inlineStr">
        <is>
          <t>두산로보틱스</t>
        </is>
      </c>
      <c r="C1003" t="inlineStr">
        <is>
          <t>454910</t>
        </is>
      </c>
      <c r="D1003" t="inlineStr">
        <is>
          <t>연결</t>
        </is>
      </c>
      <c r="E1003" t="inlineStr">
        <is>
          <t>2026Q1</t>
        </is>
      </c>
      <c r="F1003" s="2" t="n">
        <v>15295</v>
      </c>
      <c r="G1003" t="n">
        <v>17.6</v>
      </c>
      <c r="H1003" t="n">
        <v>189.7</v>
      </c>
      <c r="I1003" s="2" t="n">
        <v>-12069</v>
      </c>
      <c r="J1003" t="n">
        <v>26.6</v>
      </c>
      <c r="K1003" t="n">
        <v>0.3</v>
      </c>
      <c r="L1003" s="2" t="n">
        <v>-9165</v>
      </c>
      <c r="M1003" t="n">
        <v>2.7</v>
      </c>
      <c r="N1003" t="inlineStr">
        <is>
          <t>20260428800563</t>
        </is>
      </c>
      <c r="O1003">
        <f>HYPERLINK("https://dart.fss.or.kr/dsaf001/main.do?rcpNo=20260428800563", "공시열람")</f>
        <v/>
      </c>
    </row>
    <row r="1004">
      <c r="A1004" t="inlineStr">
        <is>
          <t>2026-04-27</t>
        </is>
      </c>
      <c r="B1004" t="inlineStr">
        <is>
          <t>RFHIC</t>
        </is>
      </c>
      <c r="C1004" t="inlineStr">
        <is>
          <t>218410</t>
        </is>
      </c>
      <c r="D1004" t="inlineStr">
        <is>
          <t>연결</t>
        </is>
      </c>
      <c r="E1004" t="inlineStr">
        <is>
          <t>2026Q1</t>
        </is>
      </c>
      <c r="F1004" s="2" t="n">
        <v>43070</v>
      </c>
      <c r="G1004" t="n">
        <v>-37.39</v>
      </c>
      <c r="H1004" t="n">
        <v>35.13</v>
      </c>
      <c r="I1004" s="2" t="n">
        <v>7738</v>
      </c>
      <c r="J1004" t="n">
        <v>-32.63</v>
      </c>
      <c r="K1004" t="n">
        <v>107.15</v>
      </c>
      <c r="L1004" s="2" t="n">
        <v>8655</v>
      </c>
      <c r="M1004" t="n">
        <v>100.12</v>
      </c>
      <c r="N1004" t="inlineStr">
        <is>
          <t>20260427900384</t>
        </is>
      </c>
      <c r="O1004">
        <f>HYPERLINK("https://dart.fss.or.kr/dsaf001/main.do?rcpNo=20260427900384", "공시열람")</f>
        <v/>
      </c>
    </row>
    <row r="1005">
      <c r="A1005" t="inlineStr">
        <is>
          <t>2026-04-27</t>
        </is>
      </c>
      <c r="B1005" t="inlineStr">
        <is>
          <t>도이치모터스</t>
        </is>
      </c>
      <c r="C1005" t="inlineStr">
        <is>
          <t>067990</t>
        </is>
      </c>
      <c r="D1005" t="inlineStr">
        <is>
          <t>연결</t>
        </is>
      </c>
      <c r="E1005" t="inlineStr">
        <is>
          <t>2026Q1</t>
        </is>
      </c>
      <c r="F1005" s="2" t="n">
        <v>637402</v>
      </c>
      <c r="G1005" t="n">
        <v>-0.5</v>
      </c>
      <c r="H1005" t="n">
        <v>10.2</v>
      </c>
      <c r="I1005" s="2" t="n">
        <v>10497</v>
      </c>
      <c r="J1005" t="n">
        <v>-17.9</v>
      </c>
      <c r="K1005" t="n">
        <v>32.2</v>
      </c>
      <c r="L1005" s="2" t="n">
        <v>236</v>
      </c>
      <c r="M1005" t="n">
        <v>113.7</v>
      </c>
      <c r="N1005" t="inlineStr">
        <is>
          <t>20260427900219</t>
        </is>
      </c>
      <c r="O1005">
        <f>HYPERLINK("https://dart.fss.or.kr/dsaf001/main.do?rcpNo=20260427900219", "공시열람")</f>
        <v/>
      </c>
    </row>
    <row r="1006">
      <c r="A1006" t="inlineStr">
        <is>
          <t>2026-04-27</t>
        </is>
      </c>
      <c r="B1006" t="inlineStr">
        <is>
          <t>동아쏘시오홀딩스</t>
        </is>
      </c>
      <c r="C1006" t="inlineStr">
        <is>
          <t>000640</t>
        </is>
      </c>
      <c r="D1006" t="inlineStr">
        <is>
          <t>연결</t>
        </is>
      </c>
      <c r="E1006" t="inlineStr">
        <is>
          <t>2026Q1</t>
        </is>
      </c>
      <c r="F1006" s="2" t="n">
        <v>351000</v>
      </c>
      <c r="G1006" t="n">
        <v>-5.61</v>
      </c>
      <c r="H1006" t="n">
        <v>6.88</v>
      </c>
      <c r="I1006" s="2" t="n">
        <v>19137</v>
      </c>
      <c r="J1006" t="n">
        <v>19.93</v>
      </c>
      <c r="K1006" t="n">
        <v>-5.96</v>
      </c>
      <c r="L1006" s="2" t="inlineStr"/>
      <c r="M1006" t="inlineStr"/>
      <c r="N1006" t="inlineStr">
        <is>
          <t>20260427800321</t>
        </is>
      </c>
      <c r="O1006">
        <f>HYPERLINK("https://dart.fss.or.kr/dsaf001/main.do?rcpNo=20260427800321", "공시열람")</f>
        <v/>
      </c>
    </row>
    <row r="1007">
      <c r="A1007" t="inlineStr">
        <is>
          <t>2026-04-27</t>
        </is>
      </c>
      <c r="B1007" t="inlineStr">
        <is>
          <t>SKC</t>
        </is>
      </c>
      <c r="C1007" t="inlineStr">
        <is>
          <t>011790</t>
        </is>
      </c>
      <c r="D1007" t="inlineStr">
        <is>
          <t>연결</t>
        </is>
      </c>
      <c r="E1007" t="inlineStr">
        <is>
          <t>2026Q1</t>
        </is>
      </c>
      <c r="F1007" s="2" t="n">
        <v>496600</v>
      </c>
      <c r="G1007" t="n">
        <v>15.9</v>
      </c>
      <c r="H1007" t="n">
        <v>13.4</v>
      </c>
      <c r="I1007" s="2" t="n">
        <v>-28700</v>
      </c>
      <c r="J1007" t="n">
        <v>73.3</v>
      </c>
      <c r="K1007" t="n">
        <v>61.2</v>
      </c>
      <c r="L1007" s="2" t="n">
        <v>-75600</v>
      </c>
      <c r="M1007" t="n">
        <v>35.8</v>
      </c>
      <c r="N1007" t="inlineStr">
        <is>
          <t>20260427800319</t>
        </is>
      </c>
      <c r="O1007">
        <f>HYPERLINK("https://dart.fss.or.kr/dsaf001/main.do?rcpNo=20260427800319", "공시열람")</f>
        <v/>
      </c>
    </row>
    <row r="1008">
      <c r="A1008" t="inlineStr">
        <is>
          <t>2026-04-27</t>
        </is>
      </c>
      <c r="B1008" t="inlineStr">
        <is>
          <t>LG이노텍</t>
        </is>
      </c>
      <c r="C1008" t="inlineStr">
        <is>
          <t>011070</t>
        </is>
      </c>
      <c r="D1008" t="inlineStr">
        <is>
          <t>연결</t>
        </is>
      </c>
      <c r="E1008" t="inlineStr">
        <is>
          <t>2026Q1</t>
        </is>
      </c>
      <c r="F1008" s="2" t="n">
        <v>5534835</v>
      </c>
      <c r="G1008" t="n">
        <v>-27.3</v>
      </c>
      <c r="H1008" t="n">
        <v>11.1</v>
      </c>
      <c r="I1008" s="2" t="n">
        <v>295320</v>
      </c>
      <c r="J1008" t="n">
        <v>-9.1</v>
      </c>
      <c r="K1008" t="n">
        <v>136</v>
      </c>
      <c r="L1008" s="2" t="n">
        <v>229143</v>
      </c>
      <c r="M1008" t="n">
        <v>167.6</v>
      </c>
      <c r="N1008" t="inlineStr">
        <is>
          <t>20260427800331</t>
        </is>
      </c>
      <c r="O1008">
        <f>HYPERLINK("https://dart.fss.or.kr/dsaf001/main.do?rcpNo=20260427800331", "공시열람")</f>
        <v/>
      </c>
    </row>
    <row r="1009">
      <c r="A1009" t="inlineStr">
        <is>
          <t>2026-04-27</t>
        </is>
      </c>
      <c r="B1009" t="inlineStr">
        <is>
          <t>NI스틸</t>
        </is>
      </c>
      <c r="C1009" t="inlineStr">
        <is>
          <t>008260</t>
        </is>
      </c>
      <c r="D1009" t="inlineStr">
        <is>
          <t>별도</t>
        </is>
      </c>
      <c r="E1009" t="inlineStr">
        <is>
          <t>2026Q1</t>
        </is>
      </c>
      <c r="F1009" s="2" t="n">
        <v>56688</v>
      </c>
      <c r="G1009" t="n">
        <v>-13.9</v>
      </c>
      <c r="H1009" t="n">
        <v>5.19</v>
      </c>
      <c r="I1009" s="2" t="n">
        <v>6244</v>
      </c>
      <c r="J1009" t="n">
        <v>-19.02</v>
      </c>
      <c r="K1009" t="n">
        <v>-6.67</v>
      </c>
      <c r="L1009" s="2" t="n">
        <v>3947</v>
      </c>
      <c r="M1009" t="n">
        <v>0.5600000000000001</v>
      </c>
      <c r="N1009" t="inlineStr">
        <is>
          <t>20260427800317</t>
        </is>
      </c>
      <c r="O1009">
        <f>HYPERLINK("https://dart.fss.or.kr/dsaf001/main.do?rcpNo=20260427800317", "공시열람")</f>
        <v/>
      </c>
    </row>
    <row r="1010">
      <c r="A1010" t="inlineStr">
        <is>
          <t>2026-04-27</t>
        </is>
      </c>
      <c r="B1010" t="inlineStr">
        <is>
          <t>RF시스템즈</t>
        </is>
      </c>
      <c r="C1010" t="inlineStr">
        <is>
          <t>474610</t>
        </is>
      </c>
      <c r="D1010" t="inlineStr">
        <is>
          <t>별도</t>
        </is>
      </c>
      <c r="E1010" t="inlineStr">
        <is>
          <t>2026Q1</t>
        </is>
      </c>
      <c r="F1010" s="2" t="n">
        <v>10004</v>
      </c>
      <c r="G1010" t="n">
        <v>-26</v>
      </c>
      <c r="H1010" t="n">
        <v>50.34</v>
      </c>
      <c r="I1010" s="2" t="n">
        <v>1122</v>
      </c>
      <c r="J1010" t="n">
        <v>-28.55</v>
      </c>
      <c r="K1010" t="n">
        <v>285.08</v>
      </c>
      <c r="L1010" s="2" t="n">
        <v>1392</v>
      </c>
      <c r="M1010" t="n">
        <v>238.95</v>
      </c>
      <c r="N1010" t="inlineStr">
        <is>
          <t>20260427900318</t>
        </is>
      </c>
      <c r="O1010">
        <f>HYPERLINK("https://dart.fss.or.kr/dsaf001/main.do?rcpNo=20260427900318", "공시열람")</f>
        <v/>
      </c>
    </row>
    <row r="1011">
      <c r="A1011" t="inlineStr">
        <is>
          <t>2026-04-27</t>
        </is>
      </c>
      <c r="B1011" t="inlineStr">
        <is>
          <t>한화시스템</t>
        </is>
      </c>
      <c r="C1011" t="inlineStr">
        <is>
          <t>272210</t>
        </is>
      </c>
      <c r="D1011" t="inlineStr">
        <is>
          <t>연결</t>
        </is>
      </c>
      <c r="E1011" t="inlineStr">
        <is>
          <t>2026Q1</t>
        </is>
      </c>
      <c r="F1011" s="2" t="n">
        <v>807099</v>
      </c>
      <c r="G1011" t="n">
        <v>-42.27</v>
      </c>
      <c r="H1011" t="n">
        <v>16.95</v>
      </c>
      <c r="I1011" s="2" t="n">
        <v>34284</v>
      </c>
      <c r="J1011" t="n">
        <v>3.42</v>
      </c>
      <c r="K1011" t="n">
        <v>1.94</v>
      </c>
      <c r="L1011" s="2" t="n">
        <v>-95752</v>
      </c>
      <c r="M1011" t="inlineStr"/>
      <c r="N1011" t="inlineStr">
        <is>
          <t>20260427800456</t>
        </is>
      </c>
      <c r="O1011">
        <f>HYPERLINK("https://dart.fss.or.kr/dsaf001/main.do?rcpNo=20260427800456", "공시열람")</f>
        <v/>
      </c>
    </row>
    <row r="1012">
      <c r="A1012" t="inlineStr">
        <is>
          <t>2026-04-27</t>
        </is>
      </c>
      <c r="B1012" t="inlineStr">
        <is>
          <t>한화오션</t>
        </is>
      </c>
      <c r="C1012" t="inlineStr">
        <is>
          <t>042660</t>
        </is>
      </c>
      <c r="D1012" t="inlineStr">
        <is>
          <t>연결</t>
        </is>
      </c>
      <c r="E1012" t="inlineStr">
        <is>
          <t>2026Q1</t>
        </is>
      </c>
      <c r="F1012" s="2" t="n">
        <v>3209900</v>
      </c>
      <c r="G1012" t="n">
        <v>-3.4</v>
      </c>
      <c r="H1012" t="n">
        <v>2.1</v>
      </c>
      <c r="I1012" s="2" t="n">
        <v>441100</v>
      </c>
      <c r="J1012" t="n">
        <v>78.2</v>
      </c>
      <c r="K1012" t="n">
        <v>70.59999999999999</v>
      </c>
      <c r="L1012" s="2" t="n">
        <v>500000</v>
      </c>
      <c r="M1012" t="n">
        <v>131.8</v>
      </c>
      <c r="N1012" t="inlineStr">
        <is>
          <t>20260427800352</t>
        </is>
      </c>
      <c r="O1012">
        <f>HYPERLINK("https://dart.fss.or.kr/dsaf001/main.do?rcpNo=20260427800352", "공시열람")</f>
        <v/>
      </c>
    </row>
    <row r="1013">
      <c r="A1013" t="inlineStr">
        <is>
          <t>2026-04-27</t>
        </is>
      </c>
      <c r="B1013" t="inlineStr">
        <is>
          <t>파두</t>
        </is>
      </c>
      <c r="C1013" t="inlineStr">
        <is>
          <t>440110</t>
        </is>
      </c>
      <c r="D1013" t="inlineStr">
        <is>
          <t>연결</t>
        </is>
      </c>
      <c r="E1013" t="inlineStr">
        <is>
          <t>2026Q1</t>
        </is>
      </c>
      <c r="F1013" s="2" t="n">
        <v>59538</v>
      </c>
      <c r="G1013" t="n">
        <v>149.4</v>
      </c>
      <c r="H1013" t="n">
        <v>209.8</v>
      </c>
      <c r="I1013" s="2" t="n">
        <v>7686</v>
      </c>
      <c r="J1013" t="inlineStr"/>
      <c r="K1013" t="inlineStr"/>
      <c r="L1013" s="2" t="n">
        <v>10215</v>
      </c>
      <c r="M1013" t="inlineStr"/>
      <c r="N1013" t="inlineStr">
        <is>
          <t>20260427900174</t>
        </is>
      </c>
      <c r="O1013">
        <f>HYPERLINK("https://dart.fss.or.kr/dsaf001/main.do?rcpNo=20260427900174", "공시열람")</f>
        <v/>
      </c>
    </row>
    <row r="1014">
      <c r="A1014" t="inlineStr">
        <is>
          <t>2026-04-27</t>
        </is>
      </c>
      <c r="B1014" t="inlineStr">
        <is>
          <t>아이센스</t>
        </is>
      </c>
      <c r="C1014" t="inlineStr">
        <is>
          <t>099190</t>
        </is>
      </c>
      <c r="D1014" t="inlineStr">
        <is>
          <t>연결</t>
        </is>
      </c>
      <c r="E1014" t="inlineStr">
        <is>
          <t>2026Q1</t>
        </is>
      </c>
      <c r="F1014" s="2" t="n">
        <v>74486</v>
      </c>
      <c r="G1014" t="n">
        <v>-11</v>
      </c>
      <c r="H1014" t="n">
        <v>-2.3</v>
      </c>
      <c r="I1014" s="2" t="n">
        <v>813</v>
      </c>
      <c r="J1014" t="n">
        <v>-60.2</v>
      </c>
      <c r="K1014" t="n">
        <v>-74.90000000000001</v>
      </c>
      <c r="L1014" s="2" t="n">
        <v>1424</v>
      </c>
      <c r="M1014" t="n">
        <v>-35.6</v>
      </c>
      <c r="N1014" t="inlineStr">
        <is>
          <t>20260427900111</t>
        </is>
      </c>
      <c r="O1014">
        <f>HYPERLINK("https://dart.fss.or.kr/dsaf001/main.do?rcpNo=20260427900111", "공시열람")</f>
        <v/>
      </c>
    </row>
    <row r="1015">
      <c r="A1015" t="inlineStr">
        <is>
          <t>2026-04-27</t>
        </is>
      </c>
      <c r="B1015" t="inlineStr">
        <is>
          <t>한솔로지스틱스</t>
        </is>
      </c>
      <c r="C1015" t="inlineStr">
        <is>
          <t>009180</t>
        </is>
      </c>
      <c r="D1015" t="inlineStr">
        <is>
          <t>연결</t>
        </is>
      </c>
      <c r="E1015" t="inlineStr">
        <is>
          <t>2026Q1</t>
        </is>
      </c>
      <c r="F1015" s="2" t="n">
        <v>164911</v>
      </c>
      <c r="G1015" t="n">
        <v>7.9</v>
      </c>
      <c r="H1015" t="n">
        <v>-5.3</v>
      </c>
      <c r="I1015" s="2" t="n">
        <v>4496</v>
      </c>
      <c r="J1015" t="n">
        <v>81.3</v>
      </c>
      <c r="K1015" t="n">
        <v>-21</v>
      </c>
      <c r="L1015" s="2" t="n">
        <v>3635</v>
      </c>
      <c r="M1015" t="n">
        <v>-15.9</v>
      </c>
      <c r="N1015" t="inlineStr">
        <is>
          <t>20260427800523</t>
        </is>
      </c>
      <c r="O1015">
        <f>HYPERLINK("https://dart.fss.or.kr/dsaf001/main.do?rcpNo=20260427800523", "공시열람")</f>
        <v/>
      </c>
    </row>
    <row r="1016">
      <c r="A1016" t="inlineStr">
        <is>
          <t>2026-04-27</t>
        </is>
      </c>
      <c r="B1016" t="inlineStr">
        <is>
          <t>안랩</t>
        </is>
      </c>
      <c r="C1016" t="inlineStr">
        <is>
          <t>053800</t>
        </is>
      </c>
      <c r="D1016" t="inlineStr">
        <is>
          <t>별도</t>
        </is>
      </c>
      <c r="E1016" t="inlineStr">
        <is>
          <t>2026Q1</t>
        </is>
      </c>
      <c r="F1016" s="2" t="n">
        <v>52346</v>
      </c>
      <c r="G1016" t="n">
        <v>-28.8</v>
      </c>
      <c r="H1016" t="n">
        <v>2.9</v>
      </c>
      <c r="I1016" s="2" t="n">
        <v>4888</v>
      </c>
      <c r="J1016" t="n">
        <v>-76.5</v>
      </c>
      <c r="K1016" t="n">
        <v>70.59999999999999</v>
      </c>
      <c r="L1016" s="2" t="n">
        <v>7145</v>
      </c>
      <c r="M1016" t="n">
        <v>46.9</v>
      </c>
      <c r="N1016" t="inlineStr">
        <is>
          <t>20260427900590</t>
        </is>
      </c>
      <c r="O1016">
        <f>HYPERLINK("https://dart.fss.or.kr/dsaf001/main.do?rcpNo=20260427900590", "공시열람")</f>
        <v/>
      </c>
    </row>
    <row r="1017">
      <c r="A1017" t="inlineStr">
        <is>
          <t>2026-04-27</t>
        </is>
      </c>
      <c r="B1017" t="inlineStr">
        <is>
          <t>안랩</t>
        </is>
      </c>
      <c r="C1017" t="inlineStr">
        <is>
          <t>053800</t>
        </is>
      </c>
      <c r="D1017" t="inlineStr">
        <is>
          <t>연결</t>
        </is>
      </c>
      <c r="E1017" t="inlineStr">
        <is>
          <t>2026Q1</t>
        </is>
      </c>
      <c r="F1017" s="2" t="n">
        <v>59062</v>
      </c>
      <c r="G1017" t="n">
        <v>-29.4</v>
      </c>
      <c r="H1017" t="n">
        <v>3.3</v>
      </c>
      <c r="I1017" s="2" t="n">
        <v>1927</v>
      </c>
      <c r="J1017" t="n">
        <v>-90.8</v>
      </c>
      <c r="K1017" t="n">
        <v>84.40000000000001</v>
      </c>
      <c r="L1017" s="2" t="n">
        <v>3971</v>
      </c>
      <c r="M1017" t="n">
        <v>45</v>
      </c>
      <c r="N1017" t="inlineStr">
        <is>
          <t>20260427900596</t>
        </is>
      </c>
      <c r="O1017">
        <f>HYPERLINK("https://dart.fss.or.kr/dsaf001/main.do?rcpNo=20260427900596", "공시열람")</f>
        <v/>
      </c>
    </row>
    <row r="1018">
      <c r="A1018" t="inlineStr">
        <is>
          <t>2026-04-27</t>
        </is>
      </c>
      <c r="B1018" t="inlineStr">
        <is>
          <t>HD건설기계</t>
        </is>
      </c>
      <c r="C1018" t="inlineStr">
        <is>
          <t>267270</t>
        </is>
      </c>
      <c r="D1018" t="inlineStr">
        <is>
          <t>연결</t>
        </is>
      </c>
      <c r="E1018" t="inlineStr">
        <is>
          <t>2026Q1</t>
        </is>
      </c>
      <c r="F1018" s="2" t="n">
        <v>2304900</v>
      </c>
      <c r="G1018" t="n">
        <v>143.3</v>
      </c>
      <c r="H1018" t="n">
        <v>154.2</v>
      </c>
      <c r="I1018" s="2" t="n">
        <v>190700</v>
      </c>
      <c r="J1018" t="n">
        <v>471</v>
      </c>
      <c r="K1018" t="n">
        <v>357.3</v>
      </c>
      <c r="L1018" s="2" t="n">
        <v>173900</v>
      </c>
      <c r="M1018" t="n">
        <v>576.7</v>
      </c>
      <c r="N1018" t="inlineStr">
        <is>
          <t>20260427800612</t>
        </is>
      </c>
      <c r="O1018">
        <f>HYPERLINK("https://dart.fss.or.kr/dsaf001/main.do?rcpNo=20260427800612", "공시열람")</f>
        <v/>
      </c>
    </row>
    <row r="1019">
      <c r="A1019" t="inlineStr">
        <is>
          <t>2026-04-27</t>
        </is>
      </c>
      <c r="B1019" t="inlineStr">
        <is>
          <t>세이브존I&amp;C</t>
        </is>
      </c>
      <c r="C1019" t="inlineStr">
        <is>
          <t>067830</t>
        </is>
      </c>
      <c r="D1019" t="inlineStr">
        <is>
          <t>별도</t>
        </is>
      </c>
      <c r="E1019" t="inlineStr">
        <is>
          <t>2026Q1</t>
        </is>
      </c>
      <c r="F1019" s="2" t="n">
        <v>28873</v>
      </c>
      <c r="G1019" t="n">
        <v>-8.199999999999999</v>
      </c>
      <c r="H1019" t="n">
        <v>-1.77</v>
      </c>
      <c r="I1019" s="2" t="n">
        <v>1303</v>
      </c>
      <c r="J1019" t="n">
        <v>10.4</v>
      </c>
      <c r="K1019" t="n">
        <v>-7.92</v>
      </c>
      <c r="L1019" s="2" t="n">
        <v>2705</v>
      </c>
      <c r="M1019" t="n">
        <v>11.61</v>
      </c>
      <c r="N1019" t="inlineStr">
        <is>
          <t>20260427801011</t>
        </is>
      </c>
      <c r="O1019">
        <f>HYPERLINK("https://dart.fss.or.kr/dsaf001/main.do?rcpNo=20260427801011", "공시열람")</f>
        <v/>
      </c>
    </row>
    <row r="1020">
      <c r="A1020" t="inlineStr">
        <is>
          <t>2026-04-27</t>
        </is>
      </c>
      <c r="B1020" t="inlineStr">
        <is>
          <t>환인제약</t>
        </is>
      </c>
      <c r="C1020" t="inlineStr">
        <is>
          <t>016580</t>
        </is>
      </c>
      <c r="D1020" t="inlineStr">
        <is>
          <t>연결</t>
        </is>
      </c>
      <c r="E1020" t="inlineStr">
        <is>
          <t>2026Q1</t>
        </is>
      </c>
      <c r="F1020" s="2" t="n">
        <v>71176</v>
      </c>
      <c r="G1020" t="n">
        <v>9.300000000000001</v>
      </c>
      <c r="H1020" t="n">
        <v>18.2</v>
      </c>
      <c r="I1020" s="2" t="n">
        <v>9381</v>
      </c>
      <c r="J1020" t="n">
        <v>532.6</v>
      </c>
      <c r="K1020" t="n">
        <v>77.7</v>
      </c>
      <c r="L1020" s="2" t="n">
        <v>7466</v>
      </c>
      <c r="M1020" t="n">
        <v>45.8</v>
      </c>
      <c r="N1020" t="inlineStr">
        <is>
          <t>20260427800792</t>
        </is>
      </c>
      <c r="O1020">
        <f>HYPERLINK("https://dart.fss.or.kr/dsaf001/main.do?rcpNo=20260427800792", "공시열람")</f>
        <v/>
      </c>
    </row>
    <row r="1021">
      <c r="A1021" t="inlineStr">
        <is>
          <t>2026-04-27</t>
        </is>
      </c>
      <c r="B1021" t="inlineStr">
        <is>
          <t>그래피</t>
        </is>
      </c>
      <c r="C1021" t="inlineStr">
        <is>
          <t>318060</t>
        </is>
      </c>
      <c r="D1021" t="inlineStr">
        <is>
          <t>연결</t>
        </is>
      </c>
      <c r="E1021" t="inlineStr">
        <is>
          <t>2026Q1</t>
        </is>
      </c>
      <c r="F1021" s="2" t="n">
        <v>3353</v>
      </c>
      <c r="G1021" t="n">
        <v>-67.90000000000001</v>
      </c>
      <c r="H1021" t="n">
        <v>47.5</v>
      </c>
      <c r="I1021" s="2" t="n">
        <v>-3452</v>
      </c>
      <c r="J1021" t="n">
        <v>-193.9</v>
      </c>
      <c r="K1021" t="n">
        <v>5.1</v>
      </c>
      <c r="L1021" s="2" t="n">
        <v>-3084</v>
      </c>
      <c r="M1021" t="n">
        <v>19.1</v>
      </c>
      <c r="N1021" t="inlineStr">
        <is>
          <t>20260427900969</t>
        </is>
      </c>
      <c r="O1021">
        <f>HYPERLINK("https://dart.fss.or.kr/dsaf001/main.do?rcpNo=20260427900969", "공시열람")</f>
        <v/>
      </c>
    </row>
    <row r="1022">
      <c r="A1022" t="inlineStr">
        <is>
          <t>2026-04-27</t>
        </is>
      </c>
      <c r="B1022" t="inlineStr">
        <is>
          <t>HS효성첨단소재</t>
        </is>
      </c>
      <c r="C1022" t="inlineStr">
        <is>
          <t>298050</t>
        </is>
      </c>
      <c r="D1022" t="inlineStr">
        <is>
          <t>연결</t>
        </is>
      </c>
      <c r="E1022" t="inlineStr">
        <is>
          <t>2026Q1</t>
        </is>
      </c>
      <c r="F1022" s="2" t="n">
        <v>829031</v>
      </c>
      <c r="G1022" t="n">
        <v>5.55</v>
      </c>
      <c r="H1022" t="n">
        <v>-2.87</v>
      </c>
      <c r="I1022" s="2" t="n">
        <v>34409</v>
      </c>
      <c r="J1022" t="n">
        <v>13.69</v>
      </c>
      <c r="K1022" t="n">
        <v>-29.93</v>
      </c>
      <c r="L1022" s="2" t="n">
        <v>6731</v>
      </c>
      <c r="M1022" t="n">
        <v>-33.13</v>
      </c>
      <c r="N1022" t="inlineStr">
        <is>
          <t>20260427800983</t>
        </is>
      </c>
      <c r="O1022">
        <f>HYPERLINK("https://dart.fss.or.kr/dsaf001/main.do?rcpNo=20260427800983", "공시열람")</f>
        <v/>
      </c>
    </row>
    <row r="1023">
      <c r="A1023" t="inlineStr">
        <is>
          <t>2026-04-27</t>
        </is>
      </c>
      <c r="B1023" t="inlineStr">
        <is>
          <t>RF머트리얼즈</t>
        </is>
      </c>
      <c r="C1023" t="inlineStr">
        <is>
          <t>327260</t>
        </is>
      </c>
      <c r="D1023" t="inlineStr">
        <is>
          <t>연결</t>
        </is>
      </c>
      <c r="E1023" t="inlineStr">
        <is>
          <t>2026Q1</t>
        </is>
      </c>
      <c r="F1023" s="2" t="n">
        <v>20024</v>
      </c>
      <c r="G1023" t="n">
        <v>-5.22</v>
      </c>
      <c r="H1023" t="n">
        <v>69.59999999999999</v>
      </c>
      <c r="I1023" s="2" t="n">
        <v>3136</v>
      </c>
      <c r="J1023" t="n">
        <v>13.22</v>
      </c>
      <c r="K1023" t="n">
        <v>274.68</v>
      </c>
      <c r="L1023" s="2" t="n">
        <v>4116</v>
      </c>
      <c r="M1023" t="n">
        <v>629.97</v>
      </c>
      <c r="N1023" t="inlineStr">
        <is>
          <t>20260427900378</t>
        </is>
      </c>
      <c r="O1023">
        <f>HYPERLINK("https://dart.fss.or.kr/dsaf001/main.do?rcpNo=20260427900378", "공시열람")</f>
        <v/>
      </c>
    </row>
    <row r="1024">
      <c r="A1024" t="inlineStr">
        <is>
          <t>2026-04-27</t>
        </is>
      </c>
      <c r="B1024" t="inlineStr">
        <is>
          <t>에스티팜</t>
        </is>
      </c>
      <c r="C1024" t="inlineStr">
        <is>
          <t>237690</t>
        </is>
      </c>
      <c r="D1024" t="inlineStr">
        <is>
          <t>연결</t>
        </is>
      </c>
      <c r="E1024" t="inlineStr">
        <is>
          <t>2026Q1</t>
        </is>
      </c>
      <c r="F1024" s="2" t="n">
        <v>66961</v>
      </c>
      <c r="G1024" t="n">
        <v>-48.1</v>
      </c>
      <c r="H1024" t="n">
        <v>27.7</v>
      </c>
      <c r="I1024" s="2" t="n">
        <v>11529</v>
      </c>
      <c r="J1024" t="n">
        <v>-56.1</v>
      </c>
      <c r="K1024" t="n">
        <v>1024.6</v>
      </c>
      <c r="L1024" s="2" t="n">
        <v>15201</v>
      </c>
      <c r="M1024" t="n">
        <v>2044.8</v>
      </c>
      <c r="N1024" t="inlineStr">
        <is>
          <t>20260427900327</t>
        </is>
      </c>
      <c r="O1024">
        <f>HYPERLINK("https://dart.fss.or.kr/dsaf001/main.do?rcpNo=20260427900327", "공시열람")</f>
        <v/>
      </c>
    </row>
    <row r="1025">
      <c r="A1025" t="inlineStr">
        <is>
          <t>2026-04-27</t>
        </is>
      </c>
      <c r="B1025" t="inlineStr">
        <is>
          <t>동아에스티</t>
        </is>
      </c>
      <c r="C1025" t="inlineStr">
        <is>
          <t>170900</t>
        </is>
      </c>
      <c r="D1025" t="inlineStr">
        <is>
          <t>별도</t>
        </is>
      </c>
      <c r="E1025" t="inlineStr">
        <is>
          <t>2026Q1</t>
        </is>
      </c>
      <c r="F1025" s="2" t="n">
        <v>187072</v>
      </c>
      <c r="G1025" t="n">
        <v>-6.7</v>
      </c>
      <c r="H1025" t="n">
        <v>10.7</v>
      </c>
      <c r="I1025" s="2" t="n">
        <v>10772</v>
      </c>
      <c r="J1025" t="inlineStr"/>
      <c r="K1025" t="n">
        <v>53.7</v>
      </c>
      <c r="L1025" s="2" t="n">
        <v>5746</v>
      </c>
      <c r="M1025" t="n">
        <v>16.7</v>
      </c>
      <c r="N1025" t="inlineStr">
        <is>
          <t>20260427800342</t>
        </is>
      </c>
      <c r="O1025">
        <f>HYPERLINK("https://dart.fss.or.kr/dsaf001/main.do?rcpNo=20260427800342", "공시열람")</f>
        <v/>
      </c>
    </row>
    <row r="1026">
      <c r="A1026" t="inlineStr">
        <is>
          <t>2026-04-27</t>
        </is>
      </c>
      <c r="B1026" t="inlineStr">
        <is>
          <t>한솔테크닉스</t>
        </is>
      </c>
      <c r="C1026" t="inlineStr">
        <is>
          <t>004710</t>
        </is>
      </c>
      <c r="D1026" t="inlineStr">
        <is>
          <t>연결</t>
        </is>
      </c>
      <c r="E1026" t="inlineStr">
        <is>
          <t>2026Q1</t>
        </is>
      </c>
      <c r="F1026" s="2" t="n">
        <v>315955</v>
      </c>
      <c r="G1026" t="n">
        <v>9.1</v>
      </c>
      <c r="H1026" t="n">
        <v>-6.5</v>
      </c>
      <c r="I1026" s="2" t="n">
        <v>14107</v>
      </c>
      <c r="J1026" t="inlineStr"/>
      <c r="K1026" t="n">
        <v>-26.9</v>
      </c>
      <c r="L1026" s="2" t="n">
        <v>11723</v>
      </c>
      <c r="M1026" t="n">
        <v>-28.2</v>
      </c>
      <c r="N1026" t="inlineStr">
        <is>
          <t>20260427800080</t>
        </is>
      </c>
      <c r="O1026">
        <f>HYPERLINK("https://dart.fss.or.kr/dsaf001/main.do?rcpNo=20260427800080", "공시열람")</f>
        <v/>
      </c>
    </row>
    <row r="1027">
      <c r="A1027" t="inlineStr">
        <is>
          <t>2026-04-27</t>
        </is>
      </c>
      <c r="B1027" t="inlineStr">
        <is>
          <t>IPARK현대산업개발</t>
        </is>
      </c>
      <c r="C1027" t="inlineStr">
        <is>
          <t>294870</t>
        </is>
      </c>
      <c r="D1027" t="inlineStr">
        <is>
          <t>연결</t>
        </is>
      </c>
      <c r="E1027" t="inlineStr">
        <is>
          <t>2026Q1</t>
        </is>
      </c>
      <c r="F1027" s="2" t="n">
        <v>673945</v>
      </c>
      <c r="G1027" t="n">
        <v>-34.3</v>
      </c>
      <c r="H1027" t="n">
        <v>-25.6</v>
      </c>
      <c r="I1027" s="2" t="n">
        <v>80141</v>
      </c>
      <c r="J1027" t="n">
        <v>93.8</v>
      </c>
      <c r="K1027" t="n">
        <v>48.4</v>
      </c>
      <c r="L1027" s="2" t="n">
        <v>49293</v>
      </c>
      <c r="M1027" t="n">
        <v>-9</v>
      </c>
      <c r="N1027" t="inlineStr">
        <is>
          <t>20260427800099</t>
        </is>
      </c>
      <c r="O1027">
        <f>HYPERLINK("https://dart.fss.or.kr/dsaf001/main.do?rcpNo=20260427800099", "공시열람")</f>
        <v/>
      </c>
    </row>
    <row r="1028">
      <c r="A1028" t="inlineStr">
        <is>
          <t>2026-04-27</t>
        </is>
      </c>
      <c r="B1028" t="inlineStr">
        <is>
          <t>ISC</t>
        </is>
      </c>
      <c r="C1028" t="inlineStr">
        <is>
          <t>095340</t>
        </is>
      </c>
      <c r="D1028" t="inlineStr">
        <is>
          <t>연결</t>
        </is>
      </c>
      <c r="E1028" t="inlineStr">
        <is>
          <t>2026Q1</t>
        </is>
      </c>
      <c r="F1028" s="2" t="n">
        <v>68272</v>
      </c>
      <c r="G1028" t="n">
        <v>-5.6</v>
      </c>
      <c r="H1028" t="n">
        <v>115.5</v>
      </c>
      <c r="I1028" s="2" t="n">
        <v>23616</v>
      </c>
      <c r="J1028" t="n">
        <v>7.7</v>
      </c>
      <c r="K1028" t="n">
        <v>237.8</v>
      </c>
      <c r="L1028" s="2" t="n">
        <v>20600</v>
      </c>
      <c r="M1028" t="n">
        <v>201.4</v>
      </c>
      <c r="N1028" t="inlineStr">
        <is>
          <t>20260427900108</t>
        </is>
      </c>
      <c r="O1028">
        <f>HYPERLINK("https://dart.fss.or.kr/dsaf001/main.do?rcpNo=20260427900108", "공시열람")</f>
        <v/>
      </c>
    </row>
    <row r="1029">
      <c r="A1029" t="inlineStr">
        <is>
          <t>2026-04-24</t>
        </is>
      </c>
      <c r="B1029" t="inlineStr">
        <is>
          <t>KG모빌리티</t>
        </is>
      </c>
      <c r="C1029" t="inlineStr">
        <is>
          <t>003620</t>
        </is>
      </c>
      <c r="D1029" t="inlineStr">
        <is>
          <t>별도</t>
        </is>
      </c>
      <c r="E1029" t="inlineStr">
        <is>
          <t>2026Q1</t>
        </is>
      </c>
      <c r="F1029" s="2" t="n">
        <v>1136500</v>
      </c>
      <c r="G1029" t="n">
        <v>2.3</v>
      </c>
      <c r="H1029" t="n">
        <v>25.3</v>
      </c>
      <c r="I1029" s="2" t="n">
        <v>21700</v>
      </c>
      <c r="J1029" t="n">
        <v>-1.8</v>
      </c>
      <c r="K1029" t="n">
        <v>104.7</v>
      </c>
      <c r="L1029" s="2" t="n">
        <v>37600</v>
      </c>
      <c r="M1029" t="n">
        <v>342.4</v>
      </c>
      <c r="N1029" t="inlineStr">
        <is>
          <t>20260424800253</t>
        </is>
      </c>
      <c r="O1029">
        <f>HYPERLINK("https://dart.fss.or.kr/dsaf001/main.do?rcpNo=20260424800253", "공시열람")</f>
        <v/>
      </c>
    </row>
    <row r="1030">
      <c r="A1030" t="inlineStr">
        <is>
          <t>2026-04-24</t>
        </is>
      </c>
      <c r="B1030" t="inlineStr">
        <is>
          <t>코맥스</t>
        </is>
      </c>
      <c r="C1030" t="inlineStr">
        <is>
          <t>036690</t>
        </is>
      </c>
      <c r="D1030" t="inlineStr">
        <is>
          <t>연결</t>
        </is>
      </c>
      <c r="E1030" t="inlineStr">
        <is>
          <t>2026Q1</t>
        </is>
      </c>
      <c r="F1030" s="2" t="n">
        <v>19704</v>
      </c>
      <c r="G1030" t="n">
        <v>-3.95</v>
      </c>
      <c r="H1030" t="n">
        <v>-15.28</v>
      </c>
      <c r="I1030" s="2" t="n">
        <v>3239</v>
      </c>
      <c r="J1030" t="inlineStr"/>
      <c r="K1030" t="inlineStr"/>
      <c r="L1030" s="2" t="n">
        <v>2291</v>
      </c>
      <c r="M1030" t="inlineStr"/>
      <c r="N1030" t="inlineStr">
        <is>
          <t>20260424900224</t>
        </is>
      </c>
      <c r="O1030">
        <f>HYPERLINK("https://dart.fss.or.kr/dsaf001/main.do?rcpNo=20260424900224", "공시열람")</f>
        <v/>
      </c>
    </row>
    <row r="1031">
      <c r="A1031" t="inlineStr">
        <is>
          <t>2026-04-24</t>
        </is>
      </c>
      <c r="B1031" t="inlineStr">
        <is>
          <t>현대제철</t>
        </is>
      </c>
      <c r="C1031" t="inlineStr">
        <is>
          <t>004020</t>
        </is>
      </c>
      <c r="D1031" t="inlineStr">
        <is>
          <t>별도</t>
        </is>
      </c>
      <c r="E1031" t="inlineStr">
        <is>
          <t>2026Q1</t>
        </is>
      </c>
      <c r="F1031" s="2" t="n">
        <v>4474400</v>
      </c>
      <c r="G1031" t="n">
        <v>4.1</v>
      </c>
      <c r="H1031" t="n">
        <v>4.3</v>
      </c>
      <c r="I1031" s="2" t="n">
        <v>-72500</v>
      </c>
      <c r="J1031" t="inlineStr"/>
      <c r="K1031" t="n">
        <v>-29.1</v>
      </c>
      <c r="L1031" s="2" t="n">
        <v>-23500</v>
      </c>
      <c r="M1031" t="n">
        <v>38.2</v>
      </c>
      <c r="N1031" t="inlineStr">
        <is>
          <t>20260424800306</t>
        </is>
      </c>
      <c r="O1031">
        <f>HYPERLINK("https://dart.fss.or.kr/dsaf001/main.do?rcpNo=20260424800306", "공시열람")</f>
        <v/>
      </c>
    </row>
    <row r="1032">
      <c r="A1032" t="inlineStr">
        <is>
          <t>2026-04-24</t>
        </is>
      </c>
      <c r="B1032" t="inlineStr">
        <is>
          <t>HDC랩스</t>
        </is>
      </c>
      <c r="C1032" t="inlineStr">
        <is>
          <t>039570</t>
        </is>
      </c>
      <c r="D1032" t="inlineStr">
        <is>
          <t>연결</t>
        </is>
      </c>
      <c r="E1032" t="inlineStr">
        <is>
          <t>2026Q1</t>
        </is>
      </c>
      <c r="F1032" s="2" t="n">
        <v>148121</v>
      </c>
      <c r="G1032" t="n">
        <v>-6.5</v>
      </c>
      <c r="H1032" t="n">
        <v>-8.9</v>
      </c>
      <c r="I1032" s="2" t="n">
        <v>7190</v>
      </c>
      <c r="J1032" t="n">
        <v>300.1</v>
      </c>
      <c r="K1032" t="n">
        <v>142.3</v>
      </c>
      <c r="L1032" s="2" t="n">
        <v>6768</v>
      </c>
      <c r="M1032" t="n">
        <v>158.3</v>
      </c>
      <c r="N1032" t="inlineStr">
        <is>
          <t>20260424800150</t>
        </is>
      </c>
      <c r="O1032">
        <f>HYPERLINK("https://dart.fss.or.kr/dsaf001/main.do?rcpNo=20260424800150", "공시열람")</f>
        <v/>
      </c>
    </row>
    <row r="1033">
      <c r="A1033" t="inlineStr">
        <is>
          <t>2026-04-24</t>
        </is>
      </c>
      <c r="B1033" t="inlineStr">
        <is>
          <t>현대모비스</t>
        </is>
      </c>
      <c r="C1033" t="inlineStr">
        <is>
          <t>012330</t>
        </is>
      </c>
      <c r="D1033" t="inlineStr">
        <is>
          <t>연결</t>
        </is>
      </c>
      <c r="E1033" t="inlineStr">
        <is>
          <t>2026Q1</t>
        </is>
      </c>
      <c r="F1033" s="2" t="n">
        <v>15560513</v>
      </c>
      <c r="G1033" t="n">
        <v>1.06</v>
      </c>
      <c r="H1033" t="n">
        <v>5.48</v>
      </c>
      <c r="I1033" s="2" t="n">
        <v>802648</v>
      </c>
      <c r="J1033" t="n">
        <v>-13.74</v>
      </c>
      <c r="K1033" t="n">
        <v>3.34</v>
      </c>
      <c r="L1033" s="2" t="n">
        <v>883052</v>
      </c>
      <c r="M1033" t="n">
        <v>-14.41</v>
      </c>
      <c r="N1033" t="inlineStr">
        <is>
          <t>20260424800122</t>
        </is>
      </c>
      <c r="O1033">
        <f>HYPERLINK("https://dart.fss.or.kr/dsaf001/main.do?rcpNo=20260424800122", "공시열람")</f>
        <v/>
      </c>
    </row>
    <row r="1034">
      <c r="A1034" t="inlineStr">
        <is>
          <t>2026-04-24</t>
        </is>
      </c>
      <c r="B1034" t="inlineStr">
        <is>
          <t>HD현대마린솔루션</t>
        </is>
      </c>
      <c r="C1034" t="inlineStr">
        <is>
          <t>443060</t>
        </is>
      </c>
      <c r="D1034" t="inlineStr">
        <is>
          <t>연결</t>
        </is>
      </c>
      <c r="E1034" t="inlineStr">
        <is>
          <t>2026Q1</t>
        </is>
      </c>
      <c r="F1034" s="2" t="n">
        <v>574600</v>
      </c>
      <c r="G1034" t="n">
        <v>11.3</v>
      </c>
      <c r="H1034" t="n">
        <v>18.3</v>
      </c>
      <c r="I1034" s="2" t="n">
        <v>93400</v>
      </c>
      <c r="J1034" t="n">
        <v>3.2</v>
      </c>
      <c r="K1034" t="n">
        <v>12.5</v>
      </c>
      <c r="L1034" s="2" t="n">
        <v>98100</v>
      </c>
      <c r="M1034" t="n">
        <v>55</v>
      </c>
      <c r="N1034" t="inlineStr">
        <is>
          <t>20260424800289</t>
        </is>
      </c>
      <c r="O1034">
        <f>HYPERLINK("https://dart.fss.or.kr/dsaf001/main.do?rcpNo=20260424800289", "공시열람")</f>
        <v/>
      </c>
    </row>
    <row r="1035">
      <c r="A1035" t="inlineStr">
        <is>
          <t>2026-04-24</t>
        </is>
      </c>
      <c r="B1035" t="inlineStr">
        <is>
          <t>삼성카드</t>
        </is>
      </c>
      <c r="C1035" t="inlineStr">
        <is>
          <t>029780</t>
        </is>
      </c>
      <c r="D1035" t="inlineStr">
        <is>
          <t>연결</t>
        </is>
      </c>
      <c r="E1035" t="inlineStr">
        <is>
          <t>2026Q1</t>
        </is>
      </c>
      <c r="F1035" s="2" t="n">
        <v>1285800</v>
      </c>
      <c r="G1035" t="n">
        <v>22.4</v>
      </c>
      <c r="H1035" t="n">
        <v>20.5</v>
      </c>
      <c r="I1035" s="2" t="n">
        <v>210000</v>
      </c>
      <c r="J1035" t="n">
        <v>7.9</v>
      </c>
      <c r="K1035" t="n">
        <v>-14.3</v>
      </c>
      <c r="L1035" s="2" t="n">
        <v>156300</v>
      </c>
      <c r="M1035" t="n">
        <v>-15.3</v>
      </c>
      <c r="N1035" t="inlineStr">
        <is>
          <t>20260424800285</t>
        </is>
      </c>
      <c r="O1035">
        <f>HYPERLINK("https://dart.fss.or.kr/dsaf001/main.do?rcpNo=20260424800285", "공시열람")</f>
        <v/>
      </c>
    </row>
    <row r="1036">
      <c r="A1036" t="inlineStr">
        <is>
          <t>2026-04-24</t>
        </is>
      </c>
      <c r="B1036" t="inlineStr">
        <is>
          <t>제일기획</t>
        </is>
      </c>
      <c r="C1036" t="inlineStr">
        <is>
          <t>030000</t>
        </is>
      </c>
      <c r="D1036" t="inlineStr">
        <is>
          <t>연결</t>
        </is>
      </c>
      <c r="E1036" t="inlineStr">
        <is>
          <t>2026Q1</t>
        </is>
      </c>
      <c r="F1036" s="2" t="n">
        <v>1017566</v>
      </c>
      <c r="G1036" t="n">
        <v>-15.18</v>
      </c>
      <c r="H1036" t="n">
        <v>-2.1</v>
      </c>
      <c r="I1036" s="2" t="n">
        <v>36510</v>
      </c>
      <c r="J1036" t="n">
        <v>-59.61</v>
      </c>
      <c r="K1036" t="n">
        <v>-37.58</v>
      </c>
      <c r="L1036" s="2" t="n">
        <v>28263</v>
      </c>
      <c r="M1036" t="n">
        <v>0.82</v>
      </c>
      <c r="N1036" t="inlineStr">
        <is>
          <t>20260424800301</t>
        </is>
      </c>
      <c r="O1036">
        <f>HYPERLINK("https://dart.fss.or.kr/dsaf001/main.do?rcpNo=20260424800301", "공시열람")</f>
        <v/>
      </c>
    </row>
    <row r="1037">
      <c r="A1037" t="inlineStr">
        <is>
          <t>2026-04-24</t>
        </is>
      </c>
      <c r="B1037" t="inlineStr">
        <is>
          <t>우리금융지주</t>
        </is>
      </c>
      <c r="C1037" t="inlineStr">
        <is>
          <t>316140</t>
        </is>
      </c>
      <c r="D1037" t="inlineStr">
        <is>
          <t>연결</t>
        </is>
      </c>
      <c r="E1037" t="inlineStr">
        <is>
          <t>2026Q1</t>
        </is>
      </c>
      <c r="F1037" s="2" t="n">
        <v>12001481</v>
      </c>
      <c r="G1037" t="n">
        <v>64.47</v>
      </c>
      <c r="H1037" t="n">
        <v>41.82</v>
      </c>
      <c r="I1037" s="2" t="n">
        <v>663926</v>
      </c>
      <c r="J1037" t="n">
        <v>2.05</v>
      </c>
      <c r="K1037" t="n">
        <v>-18.54</v>
      </c>
      <c r="L1037" s="2" t="n">
        <v>522130</v>
      </c>
      <c r="M1037" t="n">
        <v>-17.8</v>
      </c>
      <c r="N1037" t="inlineStr">
        <is>
          <t>20260424800562</t>
        </is>
      </c>
      <c r="O1037">
        <f>HYPERLINK("https://dart.fss.or.kr/dsaf001/main.do?rcpNo=20260424800562", "공시열람")</f>
        <v/>
      </c>
    </row>
    <row r="1038">
      <c r="A1038" t="inlineStr">
        <is>
          <t>2026-04-24</t>
        </is>
      </c>
      <c r="B1038" t="inlineStr">
        <is>
          <t>동국제강</t>
        </is>
      </c>
      <c r="C1038" t="inlineStr">
        <is>
          <t>460860</t>
        </is>
      </c>
      <c r="D1038" t="inlineStr">
        <is>
          <t>별도</t>
        </is>
      </c>
      <c r="E1038" t="inlineStr">
        <is>
          <t>2026Q1</t>
        </is>
      </c>
      <c r="F1038" s="2" t="n">
        <v>857157</v>
      </c>
      <c r="G1038" t="n">
        <v>5.17</v>
      </c>
      <c r="H1038" t="n">
        <v>18.14</v>
      </c>
      <c r="I1038" s="2" t="n">
        <v>21441</v>
      </c>
      <c r="J1038" t="n">
        <v>2886.21</v>
      </c>
      <c r="K1038" t="n">
        <v>403.9</v>
      </c>
      <c r="L1038" s="2" t="n">
        <v>6209</v>
      </c>
      <c r="M1038" t="n">
        <v>153.33</v>
      </c>
      <c r="N1038" t="inlineStr">
        <is>
          <t>20260424800277</t>
        </is>
      </c>
      <c r="O1038">
        <f>HYPERLINK("https://dart.fss.or.kr/dsaf001/main.do?rcpNo=20260424800277", "공시열람")</f>
        <v/>
      </c>
    </row>
    <row r="1039">
      <c r="A1039" t="inlineStr">
        <is>
          <t>2026-04-24</t>
        </is>
      </c>
      <c r="B1039" t="inlineStr">
        <is>
          <t>동국씨엠</t>
        </is>
      </c>
      <c r="C1039" t="inlineStr">
        <is>
          <t>460850</t>
        </is>
      </c>
      <c r="D1039" t="inlineStr">
        <is>
          <t>별도</t>
        </is>
      </c>
      <c r="E1039" t="inlineStr">
        <is>
          <t>2026Q1</t>
        </is>
      </c>
      <c r="F1039" s="2" t="n">
        <v>494384</v>
      </c>
      <c r="G1039" t="n">
        <v>7.44</v>
      </c>
      <c r="H1039" t="n">
        <v>-6.1</v>
      </c>
      <c r="I1039" s="2" t="n">
        <v>11168</v>
      </c>
      <c r="J1039" t="inlineStr"/>
      <c r="K1039" t="n">
        <v>-25.9</v>
      </c>
      <c r="L1039" s="2" t="n">
        <v>10349</v>
      </c>
      <c r="M1039" t="n">
        <v>6.1</v>
      </c>
      <c r="N1039" t="inlineStr">
        <is>
          <t>20260424800258</t>
        </is>
      </c>
      <c r="O1039">
        <f>HYPERLINK("https://dart.fss.or.kr/dsaf001/main.do?rcpNo=20260424800258", "공시열람")</f>
        <v/>
      </c>
    </row>
    <row r="1040">
      <c r="A1040" t="inlineStr">
        <is>
          <t>2026-04-24</t>
        </is>
      </c>
      <c r="B1040" t="inlineStr">
        <is>
          <t>효성</t>
        </is>
      </c>
      <c r="C1040" t="inlineStr">
        <is>
          <t>004800</t>
        </is>
      </c>
      <c r="D1040" t="inlineStr">
        <is>
          <t>연결</t>
        </is>
      </c>
      <c r="E1040" t="inlineStr">
        <is>
          <t>2026Q1</t>
        </is>
      </c>
      <c r="F1040" s="2" t="n">
        <v>530185</v>
      </c>
      <c r="G1040" t="n">
        <v>-20.1</v>
      </c>
      <c r="H1040" t="n">
        <v>-4.3</v>
      </c>
      <c r="I1040" s="2" t="n">
        <v>94601</v>
      </c>
      <c r="J1040" t="n">
        <v>4.9</v>
      </c>
      <c r="K1040" t="n">
        <v>15.6</v>
      </c>
      <c r="L1040" s="2" t="n">
        <v>86505</v>
      </c>
      <c r="M1040" t="n">
        <v>19.9</v>
      </c>
      <c r="N1040" t="inlineStr">
        <is>
          <t>20260424800916</t>
        </is>
      </c>
      <c r="O1040">
        <f>HYPERLINK("https://dart.fss.or.kr/dsaf001/main.do?rcpNo=20260424800916", "공시열람")</f>
        <v/>
      </c>
    </row>
    <row r="1041">
      <c r="A1041" t="inlineStr">
        <is>
          <t>2026-04-24</t>
        </is>
      </c>
      <c r="B1041" t="inlineStr">
        <is>
          <t>효성티앤씨</t>
        </is>
      </c>
      <c r="C1041" t="inlineStr">
        <is>
          <t>298020</t>
        </is>
      </c>
      <c r="D1041" t="inlineStr">
        <is>
          <t>연결</t>
        </is>
      </c>
      <c r="E1041" t="inlineStr">
        <is>
          <t>2026Q1</t>
        </is>
      </c>
      <c r="F1041" s="2" t="n">
        <v>2094242</v>
      </c>
      <c r="G1041" t="n">
        <v>13.6</v>
      </c>
      <c r="H1041" t="n">
        <v>7.2</v>
      </c>
      <c r="I1041" s="2" t="n">
        <v>86243</v>
      </c>
      <c r="J1041" t="n">
        <v>92.8</v>
      </c>
      <c r="K1041" t="n">
        <v>11.4</v>
      </c>
      <c r="L1041" s="2" t="n">
        <v>50875</v>
      </c>
      <c r="M1041" t="n">
        <v>108</v>
      </c>
      <c r="N1041" t="inlineStr">
        <is>
          <t>20260424800893</t>
        </is>
      </c>
      <c r="O1041">
        <f>HYPERLINK("https://dart.fss.or.kr/dsaf001/main.do?rcpNo=20260424800893", "공시열람")</f>
        <v/>
      </c>
    </row>
    <row r="1042">
      <c r="A1042" t="inlineStr">
        <is>
          <t>2026-04-24</t>
        </is>
      </c>
      <c r="B1042" t="inlineStr">
        <is>
          <t>효성화학</t>
        </is>
      </c>
      <c r="C1042" t="inlineStr">
        <is>
          <t>298000</t>
        </is>
      </c>
      <c r="D1042" t="inlineStr">
        <is>
          <t>연결</t>
        </is>
      </c>
      <c r="E1042" t="inlineStr">
        <is>
          <t>2026Q1</t>
        </is>
      </c>
      <c r="F1042" s="2" t="n">
        <v>587030</v>
      </c>
      <c r="G1042" t="n">
        <v>2.9</v>
      </c>
      <c r="H1042" t="n">
        <v>2.46</v>
      </c>
      <c r="I1042" s="2" t="n">
        <v>277</v>
      </c>
      <c r="J1042" t="inlineStr"/>
      <c r="K1042" t="inlineStr"/>
      <c r="L1042" s="2" t="n">
        <v>-17531</v>
      </c>
      <c r="M1042" t="inlineStr"/>
      <c r="N1042" t="inlineStr">
        <is>
          <t>20260424800871</t>
        </is>
      </c>
      <c r="O1042">
        <f>HYPERLINK("https://dart.fss.or.kr/dsaf001/main.do?rcpNo=20260424800871", "공시열람")</f>
        <v/>
      </c>
    </row>
    <row r="1043">
      <c r="A1043" t="inlineStr">
        <is>
          <t>2026-04-24</t>
        </is>
      </c>
      <c r="B1043" t="inlineStr">
        <is>
          <t>효성중공업</t>
        </is>
      </c>
      <c r="C1043" t="inlineStr">
        <is>
          <t>298040</t>
        </is>
      </c>
      <c r="D1043" t="inlineStr">
        <is>
          <t>연결</t>
        </is>
      </c>
      <c r="E1043" t="inlineStr">
        <is>
          <t>2026Q1</t>
        </is>
      </c>
      <c r="F1043" s="2" t="n">
        <v>1358209</v>
      </c>
      <c r="G1043" t="n">
        <v>-22.07</v>
      </c>
      <c r="H1043" t="n">
        <v>26.21</v>
      </c>
      <c r="I1043" s="2" t="n">
        <v>152322</v>
      </c>
      <c r="J1043" t="n">
        <v>-41.53</v>
      </c>
      <c r="K1043" t="n">
        <v>48.77</v>
      </c>
      <c r="L1043" s="2" t="n">
        <v>91328</v>
      </c>
      <c r="M1043" t="n">
        <v>-11.87</v>
      </c>
      <c r="N1043" t="inlineStr">
        <is>
          <t>20260424800834</t>
        </is>
      </c>
      <c r="O1043">
        <f>HYPERLINK("https://dart.fss.or.kr/dsaf001/main.do?rcpNo=20260424800834", "공시열람")</f>
        <v/>
      </c>
    </row>
    <row r="1044">
      <c r="A1044" t="inlineStr">
        <is>
          <t>2026-04-24</t>
        </is>
      </c>
      <c r="B1044" t="inlineStr">
        <is>
          <t>기업은행</t>
        </is>
      </c>
      <c r="C1044" t="inlineStr">
        <is>
          <t>024110</t>
        </is>
      </c>
      <c r="D1044" t="inlineStr">
        <is>
          <t>연결</t>
        </is>
      </c>
      <c r="E1044" t="inlineStr">
        <is>
          <t>2026Q1</t>
        </is>
      </c>
      <c r="F1044" s="2" t="n">
        <v>11090954</v>
      </c>
      <c r="G1044" t="n">
        <v>38.6</v>
      </c>
      <c r="H1044" t="n">
        <v>43.4</v>
      </c>
      <c r="I1044" s="2" t="n">
        <v>932546</v>
      </c>
      <c r="J1044" t="n">
        <v>28.2</v>
      </c>
      <c r="K1044" t="n">
        <v>-8.9</v>
      </c>
      <c r="L1044" s="2" t="n">
        <v>753413</v>
      </c>
      <c r="M1044" t="n">
        <v>-7.5</v>
      </c>
      <c r="N1044" t="inlineStr">
        <is>
          <t>20260424800766</t>
        </is>
      </c>
      <c r="O1044">
        <f>HYPERLINK("https://dart.fss.or.kr/dsaf001/main.do?rcpNo=20260424800766", "공시열람")</f>
        <v/>
      </c>
    </row>
    <row r="1045">
      <c r="A1045" t="inlineStr">
        <is>
          <t>2026-04-24</t>
        </is>
      </c>
      <c r="B1045" t="inlineStr">
        <is>
          <t>효성 ITX</t>
        </is>
      </c>
      <c r="C1045" t="inlineStr">
        <is>
          <t>094280</t>
        </is>
      </c>
      <c r="D1045" t="inlineStr">
        <is>
          <t>연결</t>
        </is>
      </c>
      <c r="E1045" t="inlineStr">
        <is>
          <t>2026Q1</t>
        </is>
      </c>
      <c r="F1045" s="2" t="n">
        <v>130289</v>
      </c>
      <c r="G1045" t="n">
        <v>-10.57</v>
      </c>
      <c r="H1045" t="n">
        <v>6.73</v>
      </c>
      <c r="I1045" s="2" t="n">
        <v>3366</v>
      </c>
      <c r="J1045" t="n">
        <v>-48.65</v>
      </c>
      <c r="K1045" t="n">
        <v>-9.27</v>
      </c>
      <c r="L1045" s="2" t="n">
        <v>2528</v>
      </c>
      <c r="M1045" t="n">
        <v>-21.59</v>
      </c>
      <c r="N1045" t="inlineStr">
        <is>
          <t>20260424800627</t>
        </is>
      </c>
      <c r="O1045">
        <f>HYPERLINK("https://dart.fss.or.kr/dsaf001/main.do?rcpNo=20260424800627", "공시열람")</f>
        <v/>
      </c>
    </row>
    <row r="1046">
      <c r="A1046" t="inlineStr">
        <is>
          <t>2026-04-24</t>
        </is>
      </c>
      <c r="B1046" t="inlineStr">
        <is>
          <t>동양생명</t>
        </is>
      </c>
      <c r="C1046" t="inlineStr">
        <is>
          <t>082640</t>
        </is>
      </c>
      <c r="D1046" t="inlineStr">
        <is>
          <t>연결</t>
        </is>
      </c>
      <c r="E1046" t="inlineStr">
        <is>
          <t>2026Q1</t>
        </is>
      </c>
      <c r="F1046" s="2" t="n">
        <v>1117839</v>
      </c>
      <c r="G1046" t="n">
        <v>19.12</v>
      </c>
      <c r="H1046" t="n">
        <v>30.71</v>
      </c>
      <c r="I1046" s="2" t="n">
        <v>31104</v>
      </c>
      <c r="J1046" t="n">
        <v>-39.03</v>
      </c>
      <c r="K1046" t="n">
        <v>-46.98</v>
      </c>
      <c r="L1046" s="2" t="n">
        <v>25024</v>
      </c>
      <c r="M1046" t="n">
        <v>-45.83</v>
      </c>
      <c r="N1046" t="inlineStr">
        <is>
          <t>20260424800626</t>
        </is>
      </c>
      <c r="O1046">
        <f>HYPERLINK("https://dart.fss.or.kr/dsaf001/main.do?rcpNo=20260424800626", "공시열람")</f>
        <v/>
      </c>
    </row>
    <row r="1047">
      <c r="A1047" t="inlineStr">
        <is>
          <t>2026-04-24</t>
        </is>
      </c>
      <c r="B1047" t="inlineStr">
        <is>
          <t>종근당바이오</t>
        </is>
      </c>
      <c r="C1047" t="inlineStr">
        <is>
          <t>063160</t>
        </is>
      </c>
      <c r="D1047" t="inlineStr">
        <is>
          <t>별도</t>
        </is>
      </c>
      <c r="E1047" t="inlineStr">
        <is>
          <t>2026Q1</t>
        </is>
      </c>
      <c r="F1047" s="2" t="n">
        <v>40695</v>
      </c>
      <c r="G1047" t="n">
        <v>-3.6</v>
      </c>
      <c r="H1047" t="n">
        <v>-4.3</v>
      </c>
      <c r="I1047" s="2" t="n">
        <v>-1707</v>
      </c>
      <c r="J1047" t="inlineStr"/>
      <c r="K1047" t="inlineStr"/>
      <c r="L1047" s="2" t="n">
        <v>-2029</v>
      </c>
      <c r="M1047" t="inlineStr"/>
      <c r="N1047" t="inlineStr">
        <is>
          <t>20260424800615</t>
        </is>
      </c>
      <c r="O1047">
        <f>HYPERLINK("https://dart.fss.or.kr/dsaf001/main.do?rcpNo=20260424800615", "공시열람")</f>
        <v/>
      </c>
    </row>
    <row r="1048">
      <c r="A1048" t="inlineStr">
        <is>
          <t>2026-04-24</t>
        </is>
      </c>
      <c r="B1048" t="inlineStr">
        <is>
          <t>기아</t>
        </is>
      </c>
      <c r="C1048" t="inlineStr">
        <is>
          <t>000270</t>
        </is>
      </c>
      <c r="D1048" t="inlineStr">
        <is>
          <t>연결</t>
        </is>
      </c>
      <c r="E1048" t="inlineStr">
        <is>
          <t>2026Q1</t>
        </is>
      </c>
      <c r="F1048" s="2" t="n">
        <v>29501881</v>
      </c>
      <c r="G1048" t="n">
        <v>5</v>
      </c>
      <c r="H1048" t="n">
        <v>5.3</v>
      </c>
      <c r="I1048" s="2" t="n">
        <v>2205091</v>
      </c>
      <c r="J1048" t="n">
        <v>19.7</v>
      </c>
      <c r="K1048" t="n">
        <v>-26.7</v>
      </c>
      <c r="L1048" s="2" t="n">
        <v>1830207</v>
      </c>
      <c r="M1048" t="n">
        <v>-23.5</v>
      </c>
      <c r="N1048" t="inlineStr">
        <is>
          <t>20260424800317</t>
        </is>
      </c>
      <c r="O1048">
        <f>HYPERLINK("https://dart.fss.or.kr/dsaf001/main.do?rcpNo=20260424800317", "공시열람")</f>
        <v/>
      </c>
    </row>
    <row r="1049">
      <c r="A1049" t="inlineStr">
        <is>
          <t>2026-04-24</t>
        </is>
      </c>
      <c r="B1049" t="inlineStr">
        <is>
          <t>현대비앤지스틸</t>
        </is>
      </c>
      <c r="C1049" t="inlineStr">
        <is>
          <t>004560</t>
        </is>
      </c>
      <c r="D1049" t="inlineStr">
        <is>
          <t>연결</t>
        </is>
      </c>
      <c r="E1049" t="inlineStr">
        <is>
          <t>2026Q1</t>
        </is>
      </c>
      <c r="F1049" s="2" t="n">
        <v>199736</v>
      </c>
      <c r="G1049" t="n">
        <v>16</v>
      </c>
      <c r="H1049" t="n">
        <v>6.5</v>
      </c>
      <c r="I1049" s="2" t="n">
        <v>8386</v>
      </c>
      <c r="J1049" t="n">
        <v>44.1</v>
      </c>
      <c r="K1049" t="n">
        <v>238.8</v>
      </c>
      <c r="L1049" s="2" t="n">
        <v>4353</v>
      </c>
      <c r="M1049" t="n">
        <v>326.8</v>
      </c>
      <c r="N1049" t="inlineStr">
        <is>
          <t>20260424800551</t>
        </is>
      </c>
      <c r="O1049">
        <f>HYPERLINK("https://dart.fss.or.kr/dsaf001/main.do?rcpNo=20260424800551", "공시열람")</f>
        <v/>
      </c>
    </row>
    <row r="1050">
      <c r="A1050" t="inlineStr">
        <is>
          <t>2026-04-24</t>
        </is>
      </c>
      <c r="B1050" t="inlineStr">
        <is>
          <t>우리금융지주</t>
        </is>
      </c>
      <c r="C1050" t="inlineStr">
        <is>
          <t>316140</t>
        </is>
      </c>
      <c r="D1050" t="inlineStr">
        <is>
          <t>연결</t>
        </is>
      </c>
      <c r="E1050" t="inlineStr">
        <is>
          <t>2026Q1</t>
        </is>
      </c>
      <c r="F1050" s="2" t="n">
        <v>15282383</v>
      </c>
      <c r="G1050" t="n">
        <v>45.48</v>
      </c>
      <c r="H1050" t="n">
        <v>58.23</v>
      </c>
      <c r="I1050" s="2" t="n">
        <v>808150</v>
      </c>
      <c r="J1050" t="n">
        <v>13.97</v>
      </c>
      <c r="K1050" t="n">
        <v>-7.03</v>
      </c>
      <c r="L1050" s="2" t="n">
        <v>638918</v>
      </c>
      <c r="M1050" t="n">
        <v>-2.39</v>
      </c>
      <c r="N1050" t="inlineStr">
        <is>
          <t>20260424800557</t>
        </is>
      </c>
      <c r="O1050">
        <f>HYPERLINK("https://dart.fss.or.kr/dsaf001/main.do?rcpNo=20260424800557", "공시열람")</f>
        <v/>
      </c>
    </row>
    <row r="1051">
      <c r="A1051" t="inlineStr">
        <is>
          <t>2026-04-24</t>
        </is>
      </c>
      <c r="B1051" t="inlineStr">
        <is>
          <t>하나금융지주</t>
        </is>
      </c>
      <c r="C1051" t="inlineStr">
        <is>
          <t>086790</t>
        </is>
      </c>
      <c r="D1051" t="inlineStr">
        <is>
          <t>연결</t>
        </is>
      </c>
      <c r="E1051" t="inlineStr">
        <is>
          <t>2026Q1</t>
        </is>
      </c>
      <c r="F1051" s="2" t="n">
        <v>18612336</v>
      </c>
      <c r="G1051" t="n">
        <v>67.67</v>
      </c>
      <c r="H1051" t="n">
        <v>59.55</v>
      </c>
      <c r="I1051" s="2" t="n">
        <v>1442344</v>
      </c>
      <c r="J1051" t="n">
        <v>45.2</v>
      </c>
      <c r="K1051" t="n">
        <v>13.01</v>
      </c>
      <c r="L1051" s="2" t="n">
        <v>1109498</v>
      </c>
      <c r="M1051" t="n">
        <v>11.28</v>
      </c>
      <c r="N1051" t="inlineStr">
        <is>
          <t>20260424800383</t>
        </is>
      </c>
      <c r="O1051">
        <f>HYPERLINK("https://dart.fss.or.kr/dsaf001/main.do?rcpNo=20260424800383", "공시열람")</f>
        <v/>
      </c>
    </row>
    <row r="1052">
      <c r="A1052" t="inlineStr">
        <is>
          <t>2026-04-24</t>
        </is>
      </c>
      <c r="B1052" t="inlineStr">
        <is>
          <t>한화엔진</t>
        </is>
      </c>
      <c r="C1052" t="inlineStr">
        <is>
          <t>082740</t>
        </is>
      </c>
      <c r="D1052" t="inlineStr">
        <is>
          <t>연결</t>
        </is>
      </c>
      <c r="E1052" t="inlineStr">
        <is>
          <t>2026Q1</t>
        </is>
      </c>
      <c r="F1052" s="2" t="n">
        <v>345239</v>
      </c>
      <c r="G1052" t="n">
        <v>-6.1</v>
      </c>
      <c r="H1052" t="n">
        <v>8.5</v>
      </c>
      <c r="I1052" s="2" t="n">
        <v>51379</v>
      </c>
      <c r="J1052" t="n">
        <v>8.5</v>
      </c>
      <c r="K1052" t="n">
        <v>130.3</v>
      </c>
      <c r="L1052" s="2" t="n">
        <v>52853</v>
      </c>
      <c r="M1052" t="n">
        <v>172.3</v>
      </c>
      <c r="N1052" t="inlineStr">
        <is>
          <t>20260424800531</t>
        </is>
      </c>
      <c r="O1052">
        <f>HYPERLINK("https://dart.fss.or.kr/dsaf001/main.do?rcpNo=20260424800531", "공시열람")</f>
        <v/>
      </c>
    </row>
    <row r="1053">
      <c r="A1053" t="inlineStr">
        <is>
          <t>2026-04-24</t>
        </is>
      </c>
      <c r="B1053" t="inlineStr">
        <is>
          <t>호텔신라</t>
        </is>
      </c>
      <c r="C1053" t="inlineStr">
        <is>
          <t>008770</t>
        </is>
      </c>
      <c r="D1053" t="inlineStr">
        <is>
          <t>연결</t>
        </is>
      </c>
      <c r="E1053" t="inlineStr">
        <is>
          <t>2026Q1</t>
        </is>
      </c>
      <c r="F1053" s="2" t="n">
        <v>1053492</v>
      </c>
      <c r="G1053" t="n">
        <v>0.8</v>
      </c>
      <c r="H1053" t="n">
        <v>8.4</v>
      </c>
      <c r="I1053" s="2" t="n">
        <v>20415</v>
      </c>
      <c r="J1053" t="inlineStr"/>
      <c r="K1053" t="inlineStr"/>
      <c r="L1053" s="2" t="n">
        <v>5998</v>
      </c>
      <c r="M1053" t="inlineStr"/>
      <c r="N1053" t="inlineStr">
        <is>
          <t>20260424800316</t>
        </is>
      </c>
      <c r="O1053">
        <f>HYPERLINK("https://dart.fss.or.kr/dsaf001/main.do?rcpNo=20260424800316", "공시열람")</f>
        <v/>
      </c>
    </row>
    <row r="1054">
      <c r="A1054" t="inlineStr">
        <is>
          <t>2026-04-24</t>
        </is>
      </c>
      <c r="B1054" t="inlineStr">
        <is>
          <t>하나금융지주</t>
        </is>
      </c>
      <c r="C1054" t="inlineStr">
        <is>
          <t>086790</t>
        </is>
      </c>
      <c r="D1054" t="inlineStr">
        <is>
          <t>연결</t>
        </is>
      </c>
      <c r="E1054" t="inlineStr">
        <is>
          <t>2026Q1</t>
        </is>
      </c>
      <c r="F1054" s="2" t="n">
        <v>29006084</v>
      </c>
      <c r="G1054" t="n">
        <v>69.14</v>
      </c>
      <c r="H1054" t="n">
        <v>71.41</v>
      </c>
      <c r="I1054" s="2" t="n">
        <v>1653600</v>
      </c>
      <c r="J1054" t="n">
        <v>85.70999999999999</v>
      </c>
      <c r="K1054" t="n">
        <v>11.06</v>
      </c>
      <c r="L1054" s="2" t="n">
        <v>1230660</v>
      </c>
      <c r="M1054" t="n">
        <v>8.1</v>
      </c>
      <c r="N1054" t="inlineStr">
        <is>
          <t>20260424800377</t>
        </is>
      </c>
      <c r="O1054">
        <f>HYPERLINK("https://dart.fss.or.kr/dsaf001/main.do?rcpNo=20260424800377", "공시열람")</f>
        <v/>
      </c>
    </row>
    <row r="1055">
      <c r="A1055" t="inlineStr">
        <is>
          <t>2026-04-24</t>
        </is>
      </c>
      <c r="B1055" t="inlineStr">
        <is>
          <t>현대제철</t>
        </is>
      </c>
      <c r="C1055" t="inlineStr">
        <is>
          <t>004020</t>
        </is>
      </c>
      <c r="D1055" t="inlineStr">
        <is>
          <t>연결</t>
        </is>
      </c>
      <c r="E1055" t="inlineStr">
        <is>
          <t>2026Q1</t>
        </is>
      </c>
      <c r="F1055" s="2" t="n">
        <v>5739700</v>
      </c>
      <c r="G1055" t="n">
        <v>4.6</v>
      </c>
      <c r="H1055" t="n">
        <v>3.2</v>
      </c>
      <c r="I1055" s="2" t="n">
        <v>15700</v>
      </c>
      <c r="J1055" t="n">
        <v>-63.7</v>
      </c>
      <c r="K1055" t="inlineStr"/>
      <c r="L1055" s="2" t="n">
        <v>-39300</v>
      </c>
      <c r="M1055" t="n">
        <v>27.7</v>
      </c>
      <c r="N1055" t="inlineStr">
        <is>
          <t>20260424800331</t>
        </is>
      </c>
      <c r="O1055">
        <f>HYPERLINK("https://dart.fss.or.kr/dsaf001/main.do?rcpNo=20260424800331", "공시열람")</f>
        <v/>
      </c>
    </row>
    <row r="1056">
      <c r="A1056" t="inlineStr">
        <is>
          <t>2026-04-24</t>
        </is>
      </c>
      <c r="B1056" t="inlineStr">
        <is>
          <t>하나금융지주</t>
        </is>
      </c>
      <c r="C1056" t="inlineStr">
        <is>
          <t>086790</t>
        </is>
      </c>
      <c r="D1056" t="inlineStr">
        <is>
          <t>연결</t>
        </is>
      </c>
      <c r="E1056" t="inlineStr">
        <is>
          <t>2026Q1</t>
        </is>
      </c>
      <c r="F1056" s="2" t="n">
        <v>8672814</v>
      </c>
      <c r="G1056" t="n">
        <v>94.7</v>
      </c>
      <c r="H1056" t="n">
        <v>137.67</v>
      </c>
      <c r="I1056" s="2" t="n">
        <v>141650</v>
      </c>
      <c r="J1056" t="inlineStr"/>
      <c r="K1056" t="n">
        <v>47.93</v>
      </c>
      <c r="L1056" s="2" t="n">
        <v>102839</v>
      </c>
      <c r="M1056" t="n">
        <v>37.67</v>
      </c>
      <c r="N1056" t="inlineStr">
        <is>
          <t>20260424800387</t>
        </is>
      </c>
      <c r="O1056">
        <f>HYPERLINK("https://dart.fss.or.kr/dsaf001/main.do?rcpNo=20260424800387", "공시열람")</f>
        <v/>
      </c>
    </row>
    <row r="1057">
      <c r="A1057" t="inlineStr">
        <is>
          <t>2026-04-24</t>
        </is>
      </c>
      <c r="B1057" t="inlineStr">
        <is>
          <t>현대로템</t>
        </is>
      </c>
      <c r="C1057" t="inlineStr">
        <is>
          <t>064350</t>
        </is>
      </c>
      <c r="D1057" t="inlineStr">
        <is>
          <t>연결</t>
        </is>
      </c>
      <c r="E1057" t="inlineStr">
        <is>
          <t>2026Q1</t>
        </is>
      </c>
      <c r="F1057" s="2" t="n">
        <v>1457453</v>
      </c>
      <c r="G1057" t="n">
        <v>-10.3</v>
      </c>
      <c r="H1057" t="n">
        <v>23.9</v>
      </c>
      <c r="I1057" s="2" t="n">
        <v>224201</v>
      </c>
      <c r="J1057" t="n">
        <v>-16.2</v>
      </c>
      <c r="K1057" t="n">
        <v>10.5</v>
      </c>
      <c r="L1057" s="2" t="n">
        <v>202670</v>
      </c>
      <c r="M1057" t="n">
        <v>29</v>
      </c>
      <c r="N1057" t="inlineStr">
        <is>
          <t>20260424800282</t>
        </is>
      </c>
      <c r="O1057">
        <f>HYPERLINK("https://dart.fss.or.kr/dsaf001/main.do?rcpNo=20260424800282", "공시열람")</f>
        <v/>
      </c>
    </row>
    <row r="1058">
      <c r="A1058" t="inlineStr">
        <is>
          <t>2026-04-24</t>
        </is>
      </c>
      <c r="B1058" t="inlineStr">
        <is>
          <t>지역난방공사</t>
        </is>
      </c>
      <c r="C1058" t="inlineStr">
        <is>
          <t>071320</t>
        </is>
      </c>
      <c r="D1058" t="inlineStr">
        <is>
          <t>별도</t>
        </is>
      </c>
      <c r="E1058" t="inlineStr">
        <is>
          <t>2026Q1</t>
        </is>
      </c>
      <c r="F1058" s="2" t="inlineStr"/>
      <c r="G1058" t="inlineStr"/>
      <c r="H1058" t="inlineStr"/>
      <c r="I1058" s="2" t="inlineStr"/>
      <c r="J1058" t="inlineStr"/>
      <c r="K1058" t="inlineStr"/>
      <c r="L1058" s="2" t="inlineStr"/>
      <c r="M1058" t="inlineStr"/>
      <c r="N1058" t="inlineStr">
        <is>
          <t>20260424800423</t>
        </is>
      </c>
      <c r="O1058">
        <f>HYPERLINK("https://dart.fss.or.kr/dsaf001/main.do?rcpNo=20260424800423", "공시열람")</f>
        <v/>
      </c>
    </row>
    <row r="1059">
      <c r="A1059" t="inlineStr">
        <is>
          <t>2026-04-24</t>
        </is>
      </c>
      <c r="B1059" t="inlineStr">
        <is>
          <t>현대위아</t>
        </is>
      </c>
      <c r="C1059" t="inlineStr">
        <is>
          <t>011210</t>
        </is>
      </c>
      <c r="D1059" t="inlineStr">
        <is>
          <t>연결</t>
        </is>
      </c>
      <c r="E1059" t="inlineStr">
        <is>
          <t>2026Q1</t>
        </is>
      </c>
      <c r="F1059" s="2" t="n">
        <v>2179328</v>
      </c>
      <c r="G1059" t="n">
        <v>4.3</v>
      </c>
      <c r="H1059" t="n">
        <v>5.7</v>
      </c>
      <c r="I1059" s="2" t="n">
        <v>51566</v>
      </c>
      <c r="J1059" t="n">
        <v>8.1</v>
      </c>
      <c r="K1059" t="n">
        <v>6.2</v>
      </c>
      <c r="L1059" s="2" t="n">
        <v>35402</v>
      </c>
      <c r="M1059" t="n">
        <v>-65.3</v>
      </c>
      <c r="N1059" t="inlineStr">
        <is>
          <t>20260424800421</t>
        </is>
      </c>
      <c r="O1059">
        <f>HYPERLINK("https://dart.fss.or.kr/dsaf001/main.do?rcpNo=20260424800421", "공시열람")</f>
        <v/>
      </c>
    </row>
    <row r="1060">
      <c r="A1060" t="inlineStr">
        <is>
          <t>2026-04-23</t>
        </is>
      </c>
      <c r="B1060" t="inlineStr">
        <is>
          <t>NH투자증권</t>
        </is>
      </c>
      <c r="C1060" t="inlineStr">
        <is>
          <t>005940</t>
        </is>
      </c>
      <c r="D1060" t="inlineStr">
        <is>
          <t>연결</t>
        </is>
      </c>
      <c r="E1060" t="inlineStr">
        <is>
          <t>2026Q1</t>
        </is>
      </c>
      <c r="F1060" s="2" t="n">
        <v>8897678</v>
      </c>
      <c r="G1060" t="n">
        <v>74.05</v>
      </c>
      <c r="H1060" t="n">
        <v>165.08</v>
      </c>
      <c r="I1060" s="2" t="n">
        <v>636689</v>
      </c>
      <c r="J1060" t="n">
        <v>52.22</v>
      </c>
      <c r="K1060" t="n">
        <v>120.27</v>
      </c>
      <c r="L1060" s="2" t="n">
        <v>475686</v>
      </c>
      <c r="M1060" t="n">
        <v>128.51</v>
      </c>
      <c r="N1060" t="inlineStr">
        <is>
          <t>20260423800876</t>
        </is>
      </c>
      <c r="O1060">
        <f>HYPERLINK("https://dart.fss.or.kr/dsaf001/main.do?rcpNo=20260423800876", "공시열람")</f>
        <v/>
      </c>
    </row>
    <row r="1061">
      <c r="A1061" t="inlineStr">
        <is>
          <t>2026-04-23</t>
        </is>
      </c>
      <c r="B1061" t="inlineStr">
        <is>
          <t>한솔아이원스</t>
        </is>
      </c>
      <c r="C1061" t="inlineStr">
        <is>
          <t>114810</t>
        </is>
      </c>
      <c r="D1061" t="inlineStr">
        <is>
          <t>연결</t>
        </is>
      </c>
      <c r="E1061" t="inlineStr">
        <is>
          <t>2026Q1</t>
        </is>
      </c>
      <c r="F1061" s="2" t="n">
        <v>49162</v>
      </c>
      <c r="G1061" t="n">
        <v>-4.97</v>
      </c>
      <c r="H1061" t="n">
        <v>0.64</v>
      </c>
      <c r="I1061" s="2" t="n">
        <v>7118</v>
      </c>
      <c r="J1061" t="n">
        <v>141.77</v>
      </c>
      <c r="K1061" t="n">
        <v>-40.21</v>
      </c>
      <c r="L1061" s="2" t="n">
        <v>5415</v>
      </c>
      <c r="M1061" t="n">
        <v>-49.08</v>
      </c>
      <c r="N1061" t="inlineStr">
        <is>
          <t>20260423900758</t>
        </is>
      </c>
      <c r="O1061">
        <f>HYPERLINK("https://dart.fss.or.kr/dsaf001/main.do?rcpNo=20260423900758", "공시열람")</f>
        <v/>
      </c>
    </row>
    <row r="1062">
      <c r="A1062" t="inlineStr">
        <is>
          <t>2026-04-22</t>
        </is>
      </c>
      <c r="B1062" t="inlineStr">
        <is>
          <t>삼성바이오로직스</t>
        </is>
      </c>
      <c r="C1062" t="inlineStr">
        <is>
          <t>207940</t>
        </is>
      </c>
      <c r="D1062" t="inlineStr">
        <is>
          <t>연결</t>
        </is>
      </c>
      <c r="E1062" t="inlineStr">
        <is>
          <t>2026Q1</t>
        </is>
      </c>
      <c r="F1062" s="2" t="n">
        <v>1257119</v>
      </c>
      <c r="G1062" t="n">
        <v>-2.2</v>
      </c>
      <c r="H1062" t="n">
        <v>25.8</v>
      </c>
      <c r="I1062" s="2" t="n">
        <v>580753</v>
      </c>
      <c r="J1062" t="n">
        <v>9.9</v>
      </c>
      <c r="K1062" t="n">
        <v>35</v>
      </c>
      <c r="L1062" s="2" t="n">
        <v>469245</v>
      </c>
      <c r="M1062" t="n">
        <v>41.6</v>
      </c>
      <c r="N1062" t="inlineStr">
        <is>
          <t>20260422800406</t>
        </is>
      </c>
      <c r="O1062">
        <f>HYPERLINK("https://dart.fss.or.kr/dsaf001/main.do?rcpNo=20260422800406", "공시열람")</f>
        <v/>
      </c>
    </row>
    <row r="1063">
      <c r="A1063" t="inlineStr">
        <is>
          <t>2026-04-22</t>
        </is>
      </c>
      <c r="B1063" t="inlineStr">
        <is>
          <t>에쎈테크</t>
        </is>
      </c>
      <c r="C1063" t="inlineStr">
        <is>
          <t>043340</t>
        </is>
      </c>
      <c r="D1063" t="inlineStr">
        <is>
          <t>별도</t>
        </is>
      </c>
      <c r="E1063" t="inlineStr">
        <is>
          <t>2026Q1</t>
        </is>
      </c>
      <c r="F1063" s="2" t="n">
        <v>16266</v>
      </c>
      <c r="G1063" t="n">
        <v>-5.8</v>
      </c>
      <c r="H1063" t="n">
        <v>17</v>
      </c>
      <c r="I1063" s="2" t="n">
        <v>823</v>
      </c>
      <c r="J1063" t="n">
        <v>-24</v>
      </c>
      <c r="K1063" t="n">
        <v>53.8</v>
      </c>
      <c r="L1063" s="2" t="inlineStr"/>
      <c r="M1063" t="inlineStr"/>
      <c r="N1063" t="inlineStr">
        <is>
          <t>20260422900081</t>
        </is>
      </c>
      <c r="O1063">
        <f>HYPERLINK("https://dart.fss.or.kr/dsaf001/main.do?rcpNo=20260422900081", "공시열람")</f>
        <v/>
      </c>
    </row>
    <row r="1064">
      <c r="A1064" t="inlineStr">
        <is>
          <t>2026-04-22</t>
        </is>
      </c>
      <c r="B1064" t="inlineStr">
        <is>
          <t>유니드</t>
        </is>
      </c>
      <c r="C1064" t="inlineStr">
        <is>
          <t>014830</t>
        </is>
      </c>
      <c r="D1064" t="inlineStr">
        <is>
          <t>연결</t>
        </is>
      </c>
      <c r="E1064" t="inlineStr">
        <is>
          <t>2026Q1</t>
        </is>
      </c>
      <c r="F1064" s="2" t="n">
        <v>384412</v>
      </c>
      <c r="G1064" t="n">
        <v>10.99</v>
      </c>
      <c r="H1064" t="n">
        <v>19.2</v>
      </c>
      <c r="I1064" s="2" t="n">
        <v>25502</v>
      </c>
      <c r="J1064" t="n">
        <v>236.4</v>
      </c>
      <c r="K1064" t="n">
        <v>-11.02</v>
      </c>
      <c r="L1064" s="2" t="n">
        <v>24868</v>
      </c>
      <c r="M1064" t="n">
        <v>11.51</v>
      </c>
      <c r="N1064" t="inlineStr">
        <is>
          <t>20260422800255</t>
        </is>
      </c>
      <c r="O1064">
        <f>HYPERLINK("https://dart.fss.or.kr/dsaf001/main.do?rcpNo=20260422800255", "공시열람")</f>
        <v/>
      </c>
    </row>
    <row r="1065">
      <c r="A1065" t="inlineStr">
        <is>
          <t>2026-04-22</t>
        </is>
      </c>
      <c r="B1065" t="inlineStr">
        <is>
          <t>제주은행</t>
        </is>
      </c>
      <c r="C1065" t="inlineStr">
        <is>
          <t>006220</t>
        </is>
      </c>
      <c r="D1065" t="inlineStr">
        <is>
          <t>연결</t>
        </is>
      </c>
      <c r="E1065" t="inlineStr">
        <is>
          <t>2026Q1</t>
        </is>
      </c>
      <c r="F1065" s="2" t="n">
        <v>94629</v>
      </c>
      <c r="G1065" t="n">
        <v>3.87</v>
      </c>
      <c r="H1065" t="n">
        <v>3.84</v>
      </c>
      <c r="I1065" s="2" t="n">
        <v>947</v>
      </c>
      <c r="J1065" t="n">
        <v>-41.54</v>
      </c>
      <c r="K1065" t="n">
        <v>-25.26</v>
      </c>
      <c r="L1065" s="2" t="n">
        <v>4210</v>
      </c>
      <c r="M1065" t="n">
        <v>44.97</v>
      </c>
      <c r="N1065" t="inlineStr">
        <is>
          <t>20260422800336</t>
        </is>
      </c>
      <c r="O1065">
        <f>HYPERLINK("https://dart.fss.or.kr/dsaf001/main.do?rcpNo=20260422800336", "공시열람")</f>
        <v/>
      </c>
    </row>
    <row r="1066">
      <c r="A1066" t="inlineStr">
        <is>
          <t>2026-04-22</t>
        </is>
      </c>
      <c r="B1066" t="inlineStr">
        <is>
          <t>OCI</t>
        </is>
      </c>
      <c r="C1066" t="inlineStr">
        <is>
          <t>456040</t>
        </is>
      </c>
      <c r="D1066" t="inlineStr">
        <is>
          <t>연결</t>
        </is>
      </c>
      <c r="E1066" t="inlineStr">
        <is>
          <t>2026Q1</t>
        </is>
      </c>
      <c r="F1066" s="2" t="n">
        <v>506608</v>
      </c>
      <c r="G1066" t="n">
        <v>8.4</v>
      </c>
      <c r="H1066" t="n">
        <v>-6</v>
      </c>
      <c r="I1066" s="2" t="n">
        <v>27807</v>
      </c>
      <c r="J1066" t="n">
        <v>888.5</v>
      </c>
      <c r="K1066" t="n">
        <v>171.4</v>
      </c>
      <c r="L1066" s="2" t="n">
        <v>24748</v>
      </c>
      <c r="M1066" t="inlineStr"/>
      <c r="N1066" t="inlineStr">
        <is>
          <t>20260422800327</t>
        </is>
      </c>
      <c r="O1066">
        <f>HYPERLINK("https://dart.fss.or.kr/dsaf001/main.do?rcpNo=20260422800327", "공시열람")</f>
        <v/>
      </c>
    </row>
    <row r="1067">
      <c r="A1067" t="inlineStr">
        <is>
          <t>2026-04-21</t>
        </is>
      </c>
      <c r="B1067" t="inlineStr">
        <is>
          <t>오리온</t>
        </is>
      </c>
      <c r="C1067" t="inlineStr">
        <is>
          <t>271560</t>
        </is>
      </c>
      <c r="D1067" t="inlineStr">
        <is>
          <t>연결</t>
        </is>
      </c>
      <c r="E1067" t="inlineStr">
        <is>
          <t>2026Q1</t>
        </is>
      </c>
      <c r="F1067" s="2" t="inlineStr"/>
      <c r="G1067" t="inlineStr"/>
      <c r="H1067" t="inlineStr"/>
      <c r="I1067" s="2" t="inlineStr"/>
      <c r="J1067" t="inlineStr"/>
      <c r="K1067" t="inlineStr"/>
      <c r="L1067" s="2" t="inlineStr"/>
      <c r="M1067" t="inlineStr"/>
      <c r="N1067" t="inlineStr">
        <is>
          <t>20260421800074</t>
        </is>
      </c>
      <c r="O1067">
        <f>HYPERLINK("https://dart.fss.or.kr/dsaf001/main.do?rcpNo=20260421800074", "공시열람")</f>
        <v/>
      </c>
    </row>
    <row r="1068">
      <c r="A1068" t="inlineStr">
        <is>
          <t>2026-04-21</t>
        </is>
      </c>
      <c r="B1068" t="inlineStr">
        <is>
          <t>진흥기업</t>
        </is>
      </c>
      <c r="C1068" t="inlineStr">
        <is>
          <t>002780</t>
        </is>
      </c>
      <c r="D1068" t="inlineStr">
        <is>
          <t>별도</t>
        </is>
      </c>
      <c r="E1068" t="inlineStr">
        <is>
          <t>2026Q1</t>
        </is>
      </c>
      <c r="F1068" s="2" t="n">
        <v>183604</v>
      </c>
      <c r="G1068" t="n">
        <v>-1.8</v>
      </c>
      <c r="H1068" t="n">
        <v>92.53</v>
      </c>
      <c r="I1068" s="2" t="n">
        <v>11098</v>
      </c>
      <c r="J1068" t="inlineStr"/>
      <c r="K1068" t="n">
        <v>835.7</v>
      </c>
      <c r="L1068" s="2" t="n">
        <v>9472</v>
      </c>
      <c r="M1068" t="n">
        <v>178.53</v>
      </c>
      <c r="N1068" t="inlineStr">
        <is>
          <t>20260421800671</t>
        </is>
      </c>
      <c r="O1068">
        <f>HYPERLINK("https://dart.fss.or.kr/dsaf001/main.do?rcpNo=20260421800671", "공시열람")</f>
        <v/>
      </c>
    </row>
    <row r="1069">
      <c r="A1069" t="inlineStr">
        <is>
          <t>2026-04-21</t>
        </is>
      </c>
      <c r="B1069" t="inlineStr">
        <is>
          <t>토박스코리아</t>
        </is>
      </c>
      <c r="C1069" t="inlineStr">
        <is>
          <t>215480</t>
        </is>
      </c>
      <c r="D1069" t="inlineStr">
        <is>
          <t>연결</t>
        </is>
      </c>
      <c r="E1069" t="inlineStr">
        <is>
          <t>2026Q1</t>
        </is>
      </c>
      <c r="F1069" s="2" t="n">
        <v>9902</v>
      </c>
      <c r="G1069" t="n">
        <v>-6.4</v>
      </c>
      <c r="H1069" t="n">
        <v>6.8</v>
      </c>
      <c r="I1069" s="2" t="n">
        <v>834</v>
      </c>
      <c r="J1069" t="inlineStr"/>
      <c r="K1069" t="inlineStr"/>
      <c r="L1069" s="2" t="n">
        <v>592</v>
      </c>
      <c r="M1069" t="inlineStr"/>
      <c r="N1069" t="inlineStr">
        <is>
          <t>20260421900130</t>
        </is>
      </c>
      <c r="O1069">
        <f>HYPERLINK("https://dart.fss.or.kr/dsaf001/main.do?rcpNo=20260421900130", "공시열람")</f>
        <v/>
      </c>
    </row>
    <row r="1070">
      <c r="A1070" t="inlineStr">
        <is>
          <t>2026-04-21</t>
        </is>
      </c>
      <c r="B1070" t="inlineStr">
        <is>
          <t>SGC에너지</t>
        </is>
      </c>
      <c r="C1070" t="inlineStr">
        <is>
          <t>005090</t>
        </is>
      </c>
      <c r="D1070" t="inlineStr">
        <is>
          <t>연결</t>
        </is>
      </c>
      <c r="E1070" t="inlineStr">
        <is>
          <t>2026Q1</t>
        </is>
      </c>
      <c r="F1070" s="2" t="n">
        <v>612000</v>
      </c>
      <c r="G1070" t="n">
        <v>-2</v>
      </c>
      <c r="H1070" t="n">
        <v>-1</v>
      </c>
      <c r="I1070" s="2" t="n">
        <v>35600</v>
      </c>
      <c r="J1070" t="n">
        <v>88.90000000000001</v>
      </c>
      <c r="K1070" t="n">
        <v>102.7</v>
      </c>
      <c r="L1070" s="2" t="n">
        <v>5000</v>
      </c>
      <c r="M1070" t="inlineStr"/>
      <c r="N1070" t="inlineStr">
        <is>
          <t>20260421800123</t>
        </is>
      </c>
      <c r="O1070">
        <f>HYPERLINK("https://dart.fss.or.kr/dsaf001/main.do?rcpNo=20260421800123", "공시열람")</f>
        <v/>
      </c>
    </row>
    <row r="1071">
      <c r="A1071" t="inlineStr">
        <is>
          <t>2026-04-21</t>
        </is>
      </c>
      <c r="B1071" t="inlineStr">
        <is>
          <t>SGC E&amp;C</t>
        </is>
      </c>
      <c r="C1071" t="inlineStr">
        <is>
          <t>016250</t>
        </is>
      </c>
      <c r="D1071" t="inlineStr">
        <is>
          <t>연결</t>
        </is>
      </c>
      <c r="E1071" t="inlineStr">
        <is>
          <t>2026Q1</t>
        </is>
      </c>
      <c r="F1071" s="2" t="n">
        <v>317855</v>
      </c>
      <c r="G1071" t="n">
        <v>-9.25</v>
      </c>
      <c r="H1071" t="n">
        <v>-3.67</v>
      </c>
      <c r="I1071" s="2" t="n">
        <v>17898</v>
      </c>
      <c r="J1071" t="n">
        <v>22.24</v>
      </c>
      <c r="K1071" t="n">
        <v>54.67</v>
      </c>
      <c r="L1071" s="2" t="inlineStr"/>
      <c r="M1071" t="inlineStr"/>
      <c r="N1071" t="inlineStr">
        <is>
          <t>20260421900140</t>
        </is>
      </c>
      <c r="O1071">
        <f>HYPERLINK("https://dart.fss.or.kr/dsaf001/main.do?rcpNo=20260421900140", "공시열람")</f>
        <v/>
      </c>
    </row>
    <row r="1072">
      <c r="A1072" t="inlineStr">
        <is>
          <t>2026-04-21</t>
        </is>
      </c>
      <c r="B1072" t="inlineStr">
        <is>
          <t>엘에스일렉트릭</t>
        </is>
      </c>
      <c r="C1072" t="inlineStr">
        <is>
          <t>010120</t>
        </is>
      </c>
      <c r="D1072" t="inlineStr">
        <is>
          <t>연결</t>
        </is>
      </c>
      <c r="E1072" t="inlineStr">
        <is>
          <t>2026Q1</t>
        </is>
      </c>
      <c r="F1072" s="2" t="n">
        <v>1376552</v>
      </c>
      <c r="G1072" t="n">
        <v>-9.699999999999999</v>
      </c>
      <c r="H1072" t="n">
        <v>33.38</v>
      </c>
      <c r="I1072" s="2" t="n">
        <v>126567</v>
      </c>
      <c r="J1072" t="n">
        <v>-2.42</v>
      </c>
      <c r="K1072" t="n">
        <v>44.96</v>
      </c>
      <c r="L1072" s="2" t="n">
        <v>119595</v>
      </c>
      <c r="M1072" t="n">
        <v>77.56999999999999</v>
      </c>
      <c r="N1072" t="inlineStr">
        <is>
          <t>20260421800175</t>
        </is>
      </c>
      <c r="O1072">
        <f>HYPERLINK("https://dart.fss.or.kr/dsaf001/main.do?rcpNo=20260421800175", "공시열람")</f>
        <v/>
      </c>
    </row>
    <row r="1073">
      <c r="A1073" t="inlineStr">
        <is>
          <t>2026-04-21</t>
        </is>
      </c>
      <c r="B1073" t="inlineStr">
        <is>
          <t>부광약품</t>
        </is>
      </c>
      <c r="C1073" t="inlineStr">
        <is>
          <t>003000</t>
        </is>
      </c>
      <c r="D1073" t="inlineStr">
        <is>
          <t>연결</t>
        </is>
      </c>
      <c r="E1073" t="inlineStr">
        <is>
          <t>2026Q1</t>
        </is>
      </c>
      <c r="F1073" s="2" t="n">
        <v>47776</v>
      </c>
      <c r="G1073" t="n">
        <v>-23.6</v>
      </c>
      <c r="H1073" t="n">
        <v>-0.1</v>
      </c>
      <c r="I1073" s="2" t="n">
        <v>1128</v>
      </c>
      <c r="J1073" t="n">
        <v>-86.2</v>
      </c>
      <c r="K1073" t="n">
        <v>-62.6</v>
      </c>
      <c r="L1073" s="2" t="n">
        <v>1180</v>
      </c>
      <c r="M1073" t="inlineStr"/>
      <c r="N1073" t="inlineStr">
        <is>
          <t>20260421800307</t>
        </is>
      </c>
      <c r="O1073">
        <f>HYPERLINK("https://dart.fss.or.kr/dsaf001/main.do?rcpNo=20260421800307", "공시열람")</f>
        <v/>
      </c>
    </row>
    <row r="1074">
      <c r="A1074" t="inlineStr">
        <is>
          <t>2026-04-21</t>
        </is>
      </c>
      <c r="B1074" t="inlineStr">
        <is>
          <t>에어부산</t>
        </is>
      </c>
      <c r="C1074" t="inlineStr">
        <is>
          <t>298690</t>
        </is>
      </c>
      <c r="D1074" t="inlineStr">
        <is>
          <t>별도</t>
        </is>
      </c>
      <c r="E1074" t="inlineStr">
        <is>
          <t>2026Q1</t>
        </is>
      </c>
      <c r="F1074" s="2" t="n">
        <v>257700</v>
      </c>
      <c r="G1074" t="n">
        <v>9.5</v>
      </c>
      <c r="H1074" t="n">
        <v>3.3</v>
      </c>
      <c r="I1074" s="2" t="n">
        <v>30400</v>
      </c>
      <c r="J1074" t="inlineStr"/>
      <c r="K1074" t="n">
        <v>-24.2</v>
      </c>
      <c r="L1074" s="2" t="n">
        <v>-16100</v>
      </c>
      <c r="M1074" t="inlineStr"/>
      <c r="N1074" t="inlineStr">
        <is>
          <t>20260421800548</t>
        </is>
      </c>
      <c r="O1074">
        <f>HYPERLINK("https://dart.fss.or.kr/dsaf001/main.do?rcpNo=20260421800548", "공시열람")</f>
        <v/>
      </c>
    </row>
    <row r="1075">
      <c r="A1075" t="inlineStr">
        <is>
          <t>2026-04-20</t>
        </is>
      </c>
      <c r="B1075" t="inlineStr">
        <is>
          <t>프로티아</t>
        </is>
      </c>
      <c r="C1075" t="inlineStr">
        <is>
          <t>303360</t>
        </is>
      </c>
      <c r="D1075" t="inlineStr">
        <is>
          <t>별도</t>
        </is>
      </c>
      <c r="E1075" t="inlineStr">
        <is>
          <t>2026Q1</t>
        </is>
      </c>
      <c r="F1075" s="2" t="n">
        <v>3822</v>
      </c>
      <c r="G1075" t="n">
        <v>-15.9</v>
      </c>
      <c r="H1075" t="n">
        <v>41.8</v>
      </c>
      <c r="I1075" s="2" t="n">
        <v>759</v>
      </c>
      <c r="J1075" t="n">
        <v>-30.3</v>
      </c>
      <c r="K1075" t="n">
        <v>84.40000000000001</v>
      </c>
      <c r="L1075" s="2" t="n">
        <v>978</v>
      </c>
      <c r="M1075" t="n">
        <v>36.9</v>
      </c>
      <c r="N1075" t="inlineStr">
        <is>
          <t>20260420900176</t>
        </is>
      </c>
      <c r="O1075">
        <f>HYPERLINK("https://dart.fss.or.kr/dsaf001/main.do?rcpNo=20260420900176", "공시열람")</f>
        <v/>
      </c>
    </row>
    <row r="1076">
      <c r="A1076" t="inlineStr">
        <is>
          <t>2026-04-20</t>
        </is>
      </c>
      <c r="B1076" t="inlineStr">
        <is>
          <t>주연테크</t>
        </is>
      </c>
      <c r="C1076" t="inlineStr">
        <is>
          <t>044380</t>
        </is>
      </c>
      <c r="D1076" t="inlineStr">
        <is>
          <t>별도</t>
        </is>
      </c>
      <c r="E1076" t="inlineStr">
        <is>
          <t>2026Q1</t>
        </is>
      </c>
      <c r="F1076" s="2" t="n">
        <v>17139</v>
      </c>
      <c r="G1076" t="n">
        <v>25.2</v>
      </c>
      <c r="H1076" t="n">
        <v>7.6</v>
      </c>
      <c r="I1076" s="2" t="n">
        <v>415</v>
      </c>
      <c r="J1076" t="inlineStr"/>
      <c r="K1076" t="inlineStr"/>
      <c r="L1076" s="2" t="n">
        <v>625</v>
      </c>
      <c r="M1076" t="inlineStr"/>
      <c r="N1076" t="inlineStr">
        <is>
          <t>20260420800136</t>
        </is>
      </c>
      <c r="O1076">
        <f>HYPERLINK("https://dart.fss.or.kr/dsaf001/main.do?rcpNo=20260420800136", "공시열람")</f>
        <v/>
      </c>
    </row>
    <row r="1077">
      <c r="A1077" t="inlineStr">
        <is>
          <t>2026-04-20</t>
        </is>
      </c>
      <c r="B1077" t="inlineStr">
        <is>
          <t>국도화학</t>
        </is>
      </c>
      <c r="C1077" t="inlineStr">
        <is>
          <t>007690</t>
        </is>
      </c>
      <c r="D1077" t="inlineStr">
        <is>
          <t>연결</t>
        </is>
      </c>
      <c r="E1077" t="inlineStr">
        <is>
          <t>2026Q1</t>
        </is>
      </c>
      <c r="F1077" s="2" t="n">
        <v>413929</v>
      </c>
      <c r="G1077" t="n">
        <v>10.9</v>
      </c>
      <c r="H1077" t="n">
        <v>29.7</v>
      </c>
      <c r="I1077" s="2" t="n">
        <v>10302</v>
      </c>
      <c r="J1077" t="n">
        <v>-18.7</v>
      </c>
      <c r="K1077" t="n">
        <v>-20.2</v>
      </c>
      <c r="L1077" s="2" t="n">
        <v>1541</v>
      </c>
      <c r="M1077" t="n">
        <v>-73.2</v>
      </c>
      <c r="N1077" t="inlineStr">
        <is>
          <t>20260420800685</t>
        </is>
      </c>
      <c r="O1077">
        <f>HYPERLINK("https://dart.fss.or.kr/dsaf001/main.do?rcpNo=20260420800685", "공시열람")</f>
        <v/>
      </c>
    </row>
    <row r="1078">
      <c r="A1078" t="inlineStr">
        <is>
          <t>2026-04-20</t>
        </is>
      </c>
      <c r="B1078" t="inlineStr">
        <is>
          <t>HD한국조선해양</t>
        </is>
      </c>
      <c r="C1078" t="inlineStr">
        <is>
          <t>009540</t>
        </is>
      </c>
      <c r="D1078" t="inlineStr">
        <is>
          <t>별도</t>
        </is>
      </c>
      <c r="E1078" t="inlineStr">
        <is>
          <t>2026Q1</t>
        </is>
      </c>
      <c r="F1078" s="2" t="inlineStr"/>
      <c r="G1078" t="inlineStr"/>
      <c r="H1078" t="inlineStr"/>
      <c r="I1078" s="2" t="inlineStr"/>
      <c r="J1078" t="inlineStr"/>
      <c r="K1078" t="inlineStr"/>
      <c r="L1078" s="2" t="inlineStr"/>
      <c r="M1078" t="inlineStr"/>
      <c r="N1078" t="inlineStr">
        <is>
          <t>20260420800510</t>
        </is>
      </c>
      <c r="O1078">
        <f>HYPERLINK("https://dart.fss.or.kr/dsaf001/main.do?rcpNo=20260420800510", "공시열람")</f>
        <v/>
      </c>
    </row>
    <row r="1079">
      <c r="A1079" t="inlineStr">
        <is>
          <t>2026-04-20</t>
        </is>
      </c>
      <c r="B1079" t="inlineStr">
        <is>
          <t>HD한국조선해양</t>
        </is>
      </c>
      <c r="C1079" t="inlineStr">
        <is>
          <t>009540</t>
        </is>
      </c>
      <c r="D1079" t="inlineStr">
        <is>
          <t>별도</t>
        </is>
      </c>
      <c r="E1079" t="inlineStr">
        <is>
          <t>2026Q1</t>
        </is>
      </c>
      <c r="F1079" s="2" t="inlineStr"/>
      <c r="G1079" t="inlineStr"/>
      <c r="H1079" t="inlineStr"/>
      <c r="I1079" s="2" t="inlineStr"/>
      <c r="J1079" t="inlineStr"/>
      <c r="K1079" t="inlineStr"/>
      <c r="L1079" s="2" t="inlineStr"/>
      <c r="M1079" t="inlineStr"/>
      <c r="N1079" t="inlineStr">
        <is>
          <t>20260420800485</t>
        </is>
      </c>
      <c r="O1079">
        <f>HYPERLINK("https://dart.fss.or.kr/dsaf001/main.do?rcpNo=20260420800485", "공시열람")</f>
        <v/>
      </c>
    </row>
    <row r="1080">
      <c r="A1080" t="inlineStr">
        <is>
          <t>2026-04-20</t>
        </is>
      </c>
      <c r="B1080" t="inlineStr">
        <is>
          <t>HD현대중공업</t>
        </is>
      </c>
      <c r="C1080" t="inlineStr">
        <is>
          <t>329180</t>
        </is>
      </c>
      <c r="D1080" t="inlineStr">
        <is>
          <t>별도</t>
        </is>
      </c>
      <c r="E1080" t="inlineStr">
        <is>
          <t>2026Q1</t>
        </is>
      </c>
      <c r="F1080" s="2" t="inlineStr"/>
      <c r="G1080" t="inlineStr"/>
      <c r="H1080" t="inlineStr"/>
      <c r="I1080" s="2" t="inlineStr"/>
      <c r="J1080" t="inlineStr"/>
      <c r="K1080" t="inlineStr"/>
      <c r="L1080" s="2" t="inlineStr"/>
      <c r="M1080" t="inlineStr"/>
      <c r="N1080" t="inlineStr">
        <is>
          <t>20260420800469</t>
        </is>
      </c>
      <c r="O1080">
        <f>HYPERLINK("https://dart.fss.or.kr/dsaf001/main.do?rcpNo=20260420800469", "공시열람")</f>
        <v/>
      </c>
    </row>
    <row r="1081">
      <c r="A1081" t="inlineStr">
        <is>
          <t>2026-04-16</t>
        </is>
      </c>
      <c r="B1081" t="inlineStr">
        <is>
          <t>디오</t>
        </is>
      </c>
      <c r="C1081" t="inlineStr">
        <is>
          <t>039840</t>
        </is>
      </c>
      <c r="D1081" t="inlineStr">
        <is>
          <t>연결</t>
        </is>
      </c>
      <c r="E1081" t="inlineStr">
        <is>
          <t>2026Q1</t>
        </is>
      </c>
      <c r="F1081" s="2" t="n">
        <v>41307</v>
      </c>
      <c r="G1081" t="n">
        <v>-11.6</v>
      </c>
      <c r="H1081" t="n">
        <v>15.4</v>
      </c>
      <c r="I1081" s="2" t="n">
        <v>4147</v>
      </c>
      <c r="J1081" t="n">
        <v>193.9</v>
      </c>
      <c r="K1081" t="n">
        <v>173.2</v>
      </c>
      <c r="L1081" s="2" t="inlineStr"/>
      <c r="M1081" t="inlineStr"/>
      <c r="N1081" t="inlineStr">
        <is>
          <t>20260416900122</t>
        </is>
      </c>
      <c r="O1081">
        <f>HYPERLINK("https://dart.fss.or.kr/dsaf001/main.do?rcpNo=20260416900122", "공시열람")</f>
        <v/>
      </c>
    </row>
    <row r="1082">
      <c r="A1082" t="inlineStr">
        <is>
          <t>2026-04-15</t>
        </is>
      </c>
      <c r="B1082" t="inlineStr">
        <is>
          <t>코나아이</t>
        </is>
      </c>
      <c r="C1082" t="inlineStr">
        <is>
          <t>052400</t>
        </is>
      </c>
      <c r="D1082" t="inlineStr">
        <is>
          <t>연결</t>
        </is>
      </c>
      <c r="E1082" t="inlineStr">
        <is>
          <t>2026Q1</t>
        </is>
      </c>
      <c r="F1082" s="2" t="n">
        <v>76550</v>
      </c>
      <c r="G1082" t="n">
        <v>-15.3</v>
      </c>
      <c r="H1082" t="n">
        <v>31.3</v>
      </c>
      <c r="I1082" s="2" t="n">
        <v>24607</v>
      </c>
      <c r="J1082" t="n">
        <v>-14.7</v>
      </c>
      <c r="K1082" t="n">
        <v>94</v>
      </c>
      <c r="L1082" s="2" t="inlineStr"/>
      <c r="M1082" t="inlineStr"/>
      <c r="N1082" t="inlineStr">
        <is>
          <t>20260415900107</t>
        </is>
      </c>
      <c r="O1082">
        <f>HYPERLINK("https://dart.fss.or.kr/dsaf001/main.do?rcpNo=20260415900107", "공시열람")</f>
        <v/>
      </c>
    </row>
    <row r="1083">
      <c r="A1083" t="inlineStr">
        <is>
          <t>2026-04-15</t>
        </is>
      </c>
      <c r="B1083" t="inlineStr">
        <is>
          <t>테크윙</t>
        </is>
      </c>
      <c r="C1083" t="inlineStr">
        <is>
          <t>089030</t>
        </is>
      </c>
      <c r="D1083" t="inlineStr">
        <is>
          <t>연결</t>
        </is>
      </c>
      <c r="E1083" t="inlineStr">
        <is>
          <t>2026Q1</t>
        </is>
      </c>
      <c r="F1083" s="2" t="n">
        <v>52400</v>
      </c>
      <c r="G1083" t="n">
        <v>54.65</v>
      </c>
      <c r="H1083" t="n">
        <v>51.5</v>
      </c>
      <c r="I1083" s="2" t="n">
        <v>9701</v>
      </c>
      <c r="J1083" t="n">
        <v>1566.77</v>
      </c>
      <c r="K1083" t="n">
        <v>443.96</v>
      </c>
      <c r="L1083" s="2" t="inlineStr"/>
      <c r="M1083" t="inlineStr"/>
      <c r="N1083" t="inlineStr">
        <is>
          <t>20260415900206</t>
        </is>
      </c>
      <c r="O1083">
        <f>HYPERLINK("https://dart.fss.or.kr/dsaf001/main.do?rcpNo=20260415900206", "공시열람")</f>
        <v/>
      </c>
    </row>
    <row r="1084">
      <c r="A1084" t="inlineStr">
        <is>
          <t>2026-04-15</t>
        </is>
      </c>
      <c r="B1084" t="inlineStr">
        <is>
          <t>서울반도체</t>
        </is>
      </c>
      <c r="C1084" t="inlineStr">
        <is>
          <t>046890</t>
        </is>
      </c>
      <c r="D1084" t="inlineStr">
        <is>
          <t>연결</t>
        </is>
      </c>
      <c r="E1084" t="inlineStr">
        <is>
          <t>2026Q1</t>
        </is>
      </c>
      <c r="F1084" s="2" t="n">
        <v>235094</v>
      </c>
      <c r="G1084" t="n">
        <v>-11.4</v>
      </c>
      <c r="H1084" t="n">
        <v>-1.7</v>
      </c>
      <c r="I1084" s="2" t="inlineStr"/>
      <c r="J1084" t="inlineStr"/>
      <c r="K1084" t="inlineStr"/>
      <c r="L1084" s="2" t="inlineStr"/>
      <c r="M1084" t="inlineStr"/>
      <c r="N1084" t="inlineStr">
        <is>
          <t>20260415900706</t>
        </is>
      </c>
      <c r="O1084">
        <f>HYPERLINK("https://dart.fss.or.kr/dsaf001/main.do?rcpNo=20260415900706", "공시열람")</f>
        <v/>
      </c>
    </row>
    <row r="1085">
      <c r="A1085" t="inlineStr">
        <is>
          <t>2026-04-15</t>
        </is>
      </c>
      <c r="B1085" t="inlineStr">
        <is>
          <t>브이엠</t>
        </is>
      </c>
      <c r="C1085" t="inlineStr">
        <is>
          <t>089970</t>
        </is>
      </c>
      <c r="D1085" t="inlineStr">
        <is>
          <t>연결</t>
        </is>
      </c>
      <c r="E1085" t="inlineStr">
        <is>
          <t>2026Q1</t>
        </is>
      </c>
      <c r="F1085" s="2" t="n">
        <v>88893</v>
      </c>
      <c r="G1085" t="n">
        <v>74.83</v>
      </c>
      <c r="H1085" t="n">
        <v>396.38</v>
      </c>
      <c r="I1085" s="2" t="n">
        <v>30143</v>
      </c>
      <c r="J1085" t="n">
        <v>223.18</v>
      </c>
      <c r="K1085" t="n">
        <v>1503.56</v>
      </c>
      <c r="L1085" s="2" t="n">
        <v>25580</v>
      </c>
      <c r="M1085" t="n">
        <v>1534.26</v>
      </c>
      <c r="N1085" t="inlineStr">
        <is>
          <t>20260415900316</t>
        </is>
      </c>
      <c r="O1085">
        <f>HYPERLINK("https://dart.fss.or.kr/dsaf001/main.do?rcpNo=20260415900316", "공시열람")</f>
        <v/>
      </c>
    </row>
    <row r="1086">
      <c r="A1086" t="inlineStr">
        <is>
          <t>2026-04-15</t>
        </is>
      </c>
      <c r="B1086" t="inlineStr">
        <is>
          <t>서울바이오시스</t>
        </is>
      </c>
      <c r="C1086" t="inlineStr">
        <is>
          <t>092190</t>
        </is>
      </c>
      <c r="D1086" t="inlineStr">
        <is>
          <t>연결</t>
        </is>
      </c>
      <c r="E1086" t="inlineStr">
        <is>
          <t>2026Q1</t>
        </is>
      </c>
      <c r="F1086" s="2" t="n">
        <v>188656</v>
      </c>
      <c r="G1086" t="n">
        <v>-14.4</v>
      </c>
      <c r="H1086" t="n">
        <v>12.4</v>
      </c>
      <c r="I1086" s="2" t="inlineStr"/>
      <c r="J1086" t="inlineStr"/>
      <c r="K1086" t="inlineStr"/>
      <c r="L1086" s="2" t="inlineStr"/>
      <c r="M1086" t="inlineStr"/>
      <c r="N1086" t="inlineStr">
        <is>
          <t>20260415900679</t>
        </is>
      </c>
      <c r="O1086">
        <f>HYPERLINK("https://dart.fss.or.kr/dsaf001/main.do?rcpNo=20260415900679", "공시열람")</f>
        <v/>
      </c>
    </row>
    <row r="1087">
      <c r="A1087" t="inlineStr">
        <is>
          <t>2026-04-14</t>
        </is>
      </c>
      <c r="B1087" t="inlineStr">
        <is>
          <t>LS에코에너지</t>
        </is>
      </c>
      <c r="C1087" t="inlineStr">
        <is>
          <t>229640</t>
        </is>
      </c>
      <c r="D1087" t="inlineStr">
        <is>
          <t>연결</t>
        </is>
      </c>
      <c r="E1087" t="inlineStr">
        <is>
          <t>2026Q1</t>
        </is>
      </c>
      <c r="F1087" s="2" t="n">
        <v>296444</v>
      </c>
      <c r="G1087" t="n">
        <v>19.2</v>
      </c>
      <c r="H1087" t="n">
        <v>29.8</v>
      </c>
      <c r="I1087" s="2" t="n">
        <v>20096</v>
      </c>
      <c r="J1087" t="n">
        <v>53.6</v>
      </c>
      <c r="K1087" t="n">
        <v>31</v>
      </c>
      <c r="L1087" s="2" t="n">
        <v>14518</v>
      </c>
      <c r="M1087" t="n">
        <v>13.9</v>
      </c>
      <c r="N1087" t="inlineStr">
        <is>
          <t>20260414800130</t>
        </is>
      </c>
      <c r="O1087">
        <f>HYPERLINK("https://dart.fss.or.kr/dsaf001/main.do?rcpNo=20260414800130", "공시열람")</f>
        <v/>
      </c>
    </row>
    <row r="1088">
      <c r="A1088" t="inlineStr">
        <is>
          <t>2026-04-13</t>
        </is>
      </c>
      <c r="B1088" t="inlineStr">
        <is>
          <t>한진</t>
        </is>
      </c>
      <c r="C1088" t="inlineStr">
        <is>
          <t>002320</t>
        </is>
      </c>
      <c r="D1088" t="inlineStr">
        <is>
          <t>연결</t>
        </is>
      </c>
      <c r="E1088" t="inlineStr">
        <is>
          <t>2026Q1</t>
        </is>
      </c>
      <c r="F1088" s="2" t="n">
        <v>769800</v>
      </c>
      <c r="G1088" t="n">
        <v>-3.3</v>
      </c>
      <c r="H1088" t="n">
        <v>5.6</v>
      </c>
      <c r="I1088" s="2" t="n">
        <v>16900</v>
      </c>
      <c r="J1088" t="n">
        <v>-1.2</v>
      </c>
      <c r="K1088" t="n">
        <v>-38.1</v>
      </c>
      <c r="L1088" s="2" t="inlineStr"/>
      <c r="M1088" t="inlineStr"/>
      <c r="N1088" t="inlineStr">
        <is>
          <t>20260413800816</t>
        </is>
      </c>
      <c r="O1088">
        <f>HYPERLINK("https://dart.fss.or.kr/dsaf001/main.do?rcpNo=20260413800816", "공시열람")</f>
        <v/>
      </c>
    </row>
    <row r="1089">
      <c r="A1089" t="inlineStr">
        <is>
          <t>2026-04-13</t>
        </is>
      </c>
      <c r="B1089" t="inlineStr">
        <is>
          <t>대한항공</t>
        </is>
      </c>
      <c r="C1089" t="inlineStr">
        <is>
          <t>003490</t>
        </is>
      </c>
      <c r="D1089" t="inlineStr">
        <is>
          <t>별도</t>
        </is>
      </c>
      <c r="E1089" t="inlineStr">
        <is>
          <t>2026Q1</t>
        </is>
      </c>
      <c r="F1089" s="2" t="n">
        <v>4515100</v>
      </c>
      <c r="G1089" t="n">
        <v>-0.8</v>
      </c>
      <c r="H1089" t="n">
        <v>14.1</v>
      </c>
      <c r="I1089" s="2" t="n">
        <v>516900</v>
      </c>
      <c r="J1089" t="n">
        <v>25.1</v>
      </c>
      <c r="K1089" t="n">
        <v>47.3</v>
      </c>
      <c r="L1089" s="2" t="n">
        <v>242700</v>
      </c>
      <c r="M1089" t="n">
        <v>25.6</v>
      </c>
      <c r="N1089" t="inlineStr">
        <is>
          <t>20260413800538</t>
        </is>
      </c>
      <c r="O1089">
        <f>HYPERLINK("https://dart.fss.or.kr/dsaf001/main.do?rcpNo=20260413800538", "공시열람")</f>
        <v/>
      </c>
    </row>
    <row r="1090">
      <c r="A1090" t="inlineStr">
        <is>
          <t>2026-04-10</t>
        </is>
      </c>
      <c r="B1090" t="inlineStr">
        <is>
          <t>한국가스공사</t>
        </is>
      </c>
      <c r="C1090" t="inlineStr">
        <is>
          <t>036460</t>
        </is>
      </c>
      <c r="D1090" t="inlineStr">
        <is>
          <t>별도</t>
        </is>
      </c>
      <c r="E1090" t="inlineStr">
        <is>
          <t>2026Q1</t>
        </is>
      </c>
      <c r="F1090" s="2" t="inlineStr"/>
      <c r="G1090" t="inlineStr"/>
      <c r="H1090" t="inlineStr"/>
      <c r="I1090" s="2" t="inlineStr"/>
      <c r="J1090" t="inlineStr"/>
      <c r="K1090" t="inlineStr"/>
      <c r="L1090" s="2" t="inlineStr"/>
      <c r="M1090" t="inlineStr"/>
      <c r="N1090" t="inlineStr">
        <is>
          <t>20260410800420</t>
        </is>
      </c>
      <c r="O1090">
        <f>HYPERLINK("https://dart.fss.or.kr/dsaf001/main.do?rcpNo=20260410800420", "공시열람")</f>
        <v/>
      </c>
    </row>
    <row r="1091">
      <c r="A1091" t="inlineStr">
        <is>
          <t>2026-04-10</t>
        </is>
      </c>
      <c r="B1091" t="inlineStr">
        <is>
          <t>캠시스</t>
        </is>
      </c>
      <c r="C1091" t="inlineStr">
        <is>
          <t>050110</t>
        </is>
      </c>
      <c r="D1091" t="inlineStr">
        <is>
          <t>연결</t>
        </is>
      </c>
      <c r="E1091" t="inlineStr">
        <is>
          <t>2026Q1</t>
        </is>
      </c>
      <c r="F1091" s="2" t="n">
        <v>173472</v>
      </c>
      <c r="G1091" t="n">
        <v>85.3</v>
      </c>
      <c r="H1091" t="n">
        <v>7.6</v>
      </c>
      <c r="I1091" s="2" t="n">
        <v>5874</v>
      </c>
      <c r="J1091" t="inlineStr"/>
      <c r="K1091" t="n">
        <v>63.1</v>
      </c>
      <c r="L1091" s="2" t="inlineStr"/>
      <c r="M1091" t="inlineStr"/>
      <c r="N1091" t="inlineStr">
        <is>
          <t>20260410900404</t>
        </is>
      </c>
      <c r="O1091">
        <f>HYPERLINK("https://dart.fss.or.kr/dsaf001/main.do?rcpNo=20260410900404", "공시열람")</f>
        <v/>
      </c>
    </row>
    <row r="1092">
      <c r="A1092" t="inlineStr">
        <is>
          <t>2026-04-09</t>
        </is>
      </c>
      <c r="B1092" t="inlineStr">
        <is>
          <t>신세계</t>
        </is>
      </c>
      <c r="C1092" t="inlineStr">
        <is>
          <t>004170</t>
        </is>
      </c>
      <c r="D1092" t="inlineStr">
        <is>
          <t>별도</t>
        </is>
      </c>
      <c r="E1092" t="inlineStr">
        <is>
          <t>2026Q1</t>
        </is>
      </c>
      <c r="F1092" s="2" t="n">
        <v>182861</v>
      </c>
      <c r="G1092" t="n">
        <v>-3.03</v>
      </c>
      <c r="H1092" t="n">
        <v>10.54</v>
      </c>
      <c r="I1092" s="2" t="inlineStr"/>
      <c r="J1092" t="inlineStr"/>
      <c r="K1092" t="inlineStr"/>
      <c r="L1092" s="2" t="inlineStr"/>
      <c r="M1092" t="inlineStr"/>
      <c r="N1092" t="inlineStr">
        <is>
          <t>20260409800792</t>
        </is>
      </c>
      <c r="O1092">
        <f>HYPERLINK("https://dart.fss.or.kr/dsaf001/main.do?rcpNo=20260409800792", "공시열람")</f>
        <v/>
      </c>
    </row>
    <row r="1093">
      <c r="A1093" t="inlineStr">
        <is>
          <t>2026-04-09</t>
        </is>
      </c>
      <c r="B1093" t="inlineStr">
        <is>
          <t>광주신세계</t>
        </is>
      </c>
      <c r="C1093" t="inlineStr">
        <is>
          <t>037710</t>
        </is>
      </c>
      <c r="D1093" t="inlineStr">
        <is>
          <t>별도</t>
        </is>
      </c>
      <c r="E1093" t="inlineStr">
        <is>
          <t>2026Q1</t>
        </is>
      </c>
      <c r="F1093" s="2" t="n">
        <v>16680</v>
      </c>
      <c r="G1093" t="n">
        <v>4.3</v>
      </c>
      <c r="H1093" t="n">
        <v>4</v>
      </c>
      <c r="I1093" s="2" t="inlineStr"/>
      <c r="J1093" t="inlineStr"/>
      <c r="K1093" t="inlineStr"/>
      <c r="L1093" s="2" t="inlineStr"/>
      <c r="M1093" t="inlineStr"/>
      <c r="N1093" t="inlineStr">
        <is>
          <t>20260409800933</t>
        </is>
      </c>
      <c r="O1093">
        <f>HYPERLINK("https://dart.fss.or.kr/dsaf001/main.do?rcpNo=20260409800933", "공시열람")</f>
        <v/>
      </c>
    </row>
    <row r="1094">
      <c r="A1094" t="inlineStr">
        <is>
          <t>2026-04-07</t>
        </is>
      </c>
      <c r="B1094" t="inlineStr">
        <is>
          <t>LG에너지솔루션</t>
        </is>
      </c>
      <c r="C1094" t="inlineStr">
        <is>
          <t>373220</t>
        </is>
      </c>
      <c r="D1094" t="inlineStr">
        <is>
          <t>연결</t>
        </is>
      </c>
      <c r="E1094" t="inlineStr">
        <is>
          <t>2026Q1</t>
        </is>
      </c>
      <c r="F1094" s="2" t="n">
        <v>6555000</v>
      </c>
      <c r="G1094" t="n">
        <v>1.2</v>
      </c>
      <c r="H1094" t="n">
        <v>-2.5</v>
      </c>
      <c r="I1094" s="2" t="n">
        <v>-207800</v>
      </c>
      <c r="J1094" t="n">
        <v>-70.3</v>
      </c>
      <c r="K1094" t="n">
        <v>-155.5</v>
      </c>
      <c r="L1094" s="2" t="inlineStr"/>
      <c r="M1094" t="inlineStr"/>
      <c r="N1094" t="inlineStr">
        <is>
          <t>20260407800703</t>
        </is>
      </c>
      <c r="O1094">
        <f>HYPERLINK("https://dart.fss.or.kr/dsaf001/main.do?rcpNo=20260407800703", "공시열람")</f>
        <v/>
      </c>
    </row>
    <row r="1095">
      <c r="A1095" t="inlineStr">
        <is>
          <t>2026-04-07</t>
        </is>
      </c>
      <c r="B1095" t="inlineStr">
        <is>
          <t>골드앤에스</t>
        </is>
      </c>
      <c r="C1095" t="inlineStr">
        <is>
          <t>035290</t>
        </is>
      </c>
      <c r="D1095" t="inlineStr">
        <is>
          <t>별도</t>
        </is>
      </c>
      <c r="E1095" t="inlineStr">
        <is>
          <t>2026Q1</t>
        </is>
      </c>
      <c r="F1095" s="2" t="n">
        <v>7731</v>
      </c>
      <c r="G1095" t="n">
        <v>248.3</v>
      </c>
      <c r="H1095" t="n">
        <v>250.6</v>
      </c>
      <c r="I1095" s="2" t="n">
        <v>669</v>
      </c>
      <c r="J1095" t="inlineStr"/>
      <c r="K1095" t="inlineStr"/>
      <c r="L1095" s="2" t="n">
        <v>746</v>
      </c>
      <c r="M1095" t="inlineStr"/>
      <c r="N1095" t="inlineStr">
        <is>
          <t>20260407900488</t>
        </is>
      </c>
      <c r="O1095">
        <f>HYPERLINK("https://dart.fss.or.kr/dsaf001/main.do?rcpNo=20260407900488", "공시열람")</f>
        <v/>
      </c>
    </row>
    <row r="1096">
      <c r="A1096" t="inlineStr">
        <is>
          <t>2026-04-07</t>
        </is>
      </c>
      <c r="B1096" t="inlineStr">
        <is>
          <t>골드앤에스</t>
        </is>
      </c>
      <c r="C1096" t="inlineStr">
        <is>
          <t>035290</t>
        </is>
      </c>
      <c r="D1096" t="inlineStr">
        <is>
          <t>별도</t>
        </is>
      </c>
      <c r="E1096" t="inlineStr">
        <is>
          <t>2026Q1</t>
        </is>
      </c>
      <c r="F1096" s="2" t="n">
        <v>7731</v>
      </c>
      <c r="G1096" t="n">
        <v>250.6</v>
      </c>
      <c r="H1096" t="n">
        <v>248.3</v>
      </c>
      <c r="I1096" s="2" t="n">
        <v>669</v>
      </c>
      <c r="J1096" t="inlineStr"/>
      <c r="K1096" t="inlineStr"/>
      <c r="L1096" s="2" t="n">
        <v>746</v>
      </c>
      <c r="M1096" t="inlineStr"/>
      <c r="N1096" t="inlineStr">
        <is>
          <t>20260407900344</t>
        </is>
      </c>
      <c r="O1096">
        <f>HYPERLINK("https://dart.fss.or.kr/dsaf001/main.do?rcpNo=20260407900344", "공시열람")</f>
        <v/>
      </c>
    </row>
    <row r="1097">
      <c r="A1097" t="inlineStr">
        <is>
          <t>2026-04-07</t>
        </is>
      </c>
      <c r="B1097" t="inlineStr">
        <is>
          <t>LG전자</t>
        </is>
      </c>
      <c r="C1097" t="inlineStr">
        <is>
          <t>066570</t>
        </is>
      </c>
      <c r="D1097" t="inlineStr">
        <is>
          <t>연결</t>
        </is>
      </c>
      <c r="E1097" t="inlineStr">
        <is>
          <t>2026Q1</t>
        </is>
      </c>
      <c r="F1097" s="2" t="n">
        <v>23733000</v>
      </c>
      <c r="G1097" t="n">
        <v>-0.5</v>
      </c>
      <c r="H1097" t="n">
        <v>4.4</v>
      </c>
      <c r="I1097" s="2" t="n">
        <v>1673600</v>
      </c>
      <c r="J1097" t="inlineStr"/>
      <c r="K1097" t="n">
        <v>32.9</v>
      </c>
      <c r="L1097" s="2" t="inlineStr"/>
      <c r="M1097" t="inlineStr"/>
      <c r="N1097" t="inlineStr">
        <is>
          <t>20260407800248</t>
        </is>
      </c>
      <c r="O1097">
        <f>HYPERLINK("https://dart.fss.or.kr/dsaf001/main.do?rcpNo=20260407800248", "공시열람")</f>
        <v/>
      </c>
    </row>
    <row r="1098">
      <c r="A1098" t="inlineStr">
        <is>
          <t>2026-04-07</t>
        </is>
      </c>
      <c r="B1098" t="inlineStr">
        <is>
          <t>삼성전자</t>
        </is>
      </c>
      <c r="C1098" t="inlineStr">
        <is>
          <t>005930</t>
        </is>
      </c>
      <c r="D1098" t="inlineStr">
        <is>
          <t>연결</t>
        </is>
      </c>
      <c r="E1098" t="inlineStr">
        <is>
          <t>2026Q1</t>
        </is>
      </c>
      <c r="F1098" s="2" t="n">
        <v>133</v>
      </c>
      <c r="G1098" t="n">
        <v>41.73</v>
      </c>
      <c r="H1098" t="n">
        <v>68.06</v>
      </c>
      <c r="I1098" s="2" t="n">
        <v>57</v>
      </c>
      <c r="J1098" t="n">
        <v>185</v>
      </c>
      <c r="K1098" t="n">
        <v>755.01</v>
      </c>
      <c r="L1098" s="2" t="inlineStr"/>
      <c r="M1098" t="inlineStr"/>
      <c r="N1098" t="inlineStr">
        <is>
          <t>20260407800002</t>
        </is>
      </c>
      <c r="O1098">
        <f>HYPERLINK("https://dart.fss.or.kr/dsaf001/main.do?rcpNo=20260407800002", "공시열람")</f>
        <v/>
      </c>
    </row>
    <row r="1099">
      <c r="A1099" t="inlineStr">
        <is>
          <t>2026-04-06</t>
        </is>
      </c>
      <c r="B1099" t="inlineStr">
        <is>
          <t>코이즈</t>
        </is>
      </c>
      <c r="C1099" t="inlineStr">
        <is>
          <t>121850</t>
        </is>
      </c>
      <c r="D1099" t="inlineStr">
        <is>
          <t>별도</t>
        </is>
      </c>
      <c r="E1099" t="inlineStr">
        <is>
          <t>2026Q1</t>
        </is>
      </c>
      <c r="F1099" s="2" t="n">
        <v>4967</v>
      </c>
      <c r="G1099" t="n">
        <v>149.1</v>
      </c>
      <c r="H1099" t="n">
        <v>22.9</v>
      </c>
      <c r="I1099" s="2" t="n">
        <v>107</v>
      </c>
      <c r="J1099" t="n">
        <v>102.8</v>
      </c>
      <c r="K1099" t="n">
        <v>107.6</v>
      </c>
      <c r="L1099" s="2" t="n">
        <v>404</v>
      </c>
      <c r="M1099" t="n">
        <v>128.1</v>
      </c>
      <c r="N1099" t="inlineStr">
        <is>
          <t>20260406900620</t>
        </is>
      </c>
      <c r="O1099">
        <f>HYPERLINK("https://dart.fss.or.kr/dsaf001/main.do?rcpNo=20260406900620", "공시열람")</f>
        <v/>
      </c>
    </row>
    <row r="1100">
      <c r="A1100" t="inlineStr">
        <is>
          <t>2026-04-01</t>
        </is>
      </c>
      <c r="B1100" t="inlineStr">
        <is>
          <t>KG모빌리티</t>
        </is>
      </c>
      <c r="C1100" t="inlineStr">
        <is>
          <t>003620</t>
        </is>
      </c>
      <c r="D1100" t="inlineStr">
        <is>
          <t>별도</t>
        </is>
      </c>
      <c r="E1100" t="inlineStr">
        <is>
          <t>2026Q1</t>
        </is>
      </c>
      <c r="F1100" s="2" t="inlineStr"/>
      <c r="G1100" t="inlineStr"/>
      <c r="H1100" t="inlineStr"/>
      <c r="I1100" s="2" t="inlineStr"/>
      <c r="J1100" t="inlineStr"/>
      <c r="K1100" t="inlineStr"/>
      <c r="L1100" s="2" t="inlineStr"/>
      <c r="M1100" t="inlineStr"/>
      <c r="N1100" t="inlineStr">
        <is>
          <t>20260401800807</t>
        </is>
      </c>
      <c r="O1100">
        <f>HYPERLINK("https://dart.fss.or.kr/dsaf001/main.do?rcpNo=20260401800807", "공시열람")</f>
        <v/>
      </c>
    </row>
    <row r="1101">
      <c r="A1101" t="inlineStr">
        <is>
          <t>2026-04-01</t>
        </is>
      </c>
      <c r="B1101" t="inlineStr">
        <is>
          <t>현대자동차</t>
        </is>
      </c>
      <c r="C1101" t="inlineStr">
        <is>
          <t>005380</t>
        </is>
      </c>
      <c r="D1101" t="inlineStr">
        <is>
          <t>별도</t>
        </is>
      </c>
      <c r="E1101" t="inlineStr">
        <is>
          <t>2026Q1</t>
        </is>
      </c>
      <c r="F1101" s="2" t="inlineStr"/>
      <c r="G1101" t="inlineStr"/>
      <c r="H1101" t="inlineStr"/>
      <c r="I1101" s="2" t="inlineStr"/>
      <c r="J1101" t="inlineStr"/>
      <c r="K1101" t="inlineStr"/>
      <c r="L1101" s="2" t="inlineStr"/>
      <c r="M1101" t="inlineStr"/>
      <c r="N1101" t="inlineStr">
        <is>
          <t>20260401800905</t>
        </is>
      </c>
      <c r="O1101">
        <f>HYPERLINK("https://dart.fss.or.kr/dsaf001/main.do?rcpNo=20260401800905", "공시열람")</f>
        <v/>
      </c>
    </row>
    <row r="1102">
      <c r="A1102" t="inlineStr">
        <is>
          <t>2026-04-01</t>
        </is>
      </c>
      <c r="B1102" t="inlineStr">
        <is>
          <t>롯데관광개발</t>
        </is>
      </c>
      <c r="C1102" t="inlineStr">
        <is>
          <t>032350</t>
        </is>
      </c>
      <c r="D1102" t="inlineStr">
        <is>
          <t>연결</t>
        </is>
      </c>
      <c r="E1102" t="inlineStr">
        <is>
          <t>2026Q1</t>
        </is>
      </c>
      <c r="F1102" s="2" t="inlineStr"/>
      <c r="G1102" t="inlineStr"/>
      <c r="H1102" t="inlineStr"/>
      <c r="I1102" s="2" t="inlineStr"/>
      <c r="J1102" t="inlineStr"/>
      <c r="K1102" t="inlineStr"/>
      <c r="L1102" s="2" t="inlineStr"/>
      <c r="M1102" t="inlineStr"/>
      <c r="N1102" t="inlineStr">
        <is>
          <t>20260401800891</t>
        </is>
      </c>
      <c r="O1102">
        <f>HYPERLINK("https://dart.fss.or.kr/dsaf001/main.do?rcpNo=20260401800891", "공시열람")</f>
        <v/>
      </c>
    </row>
    <row r="1103">
      <c r="A1103" t="inlineStr">
        <is>
          <t>2026-04-01</t>
        </is>
      </c>
      <c r="B1103" t="inlineStr">
        <is>
          <t>기아</t>
        </is>
      </c>
      <c r="C1103" t="inlineStr">
        <is>
          <t>000270</t>
        </is>
      </c>
      <c r="D1103" t="inlineStr">
        <is>
          <t>별도</t>
        </is>
      </c>
      <c r="E1103" t="inlineStr">
        <is>
          <t>2026Q1</t>
        </is>
      </c>
      <c r="F1103" s="2" t="inlineStr"/>
      <c r="G1103" t="inlineStr"/>
      <c r="H1103" t="inlineStr"/>
      <c r="I1103" s="2" t="inlineStr"/>
      <c r="J1103" t="inlineStr"/>
      <c r="K1103" t="inlineStr"/>
      <c r="L1103" s="2" t="inlineStr"/>
      <c r="M1103" t="inlineStr"/>
      <c r="N1103" t="inlineStr">
        <is>
          <t>20260401801435</t>
        </is>
      </c>
      <c r="O1103">
        <f>HYPERLINK("https://dart.fss.or.kr/dsaf001/main.do?rcpNo=20260401801435", "공시열람")</f>
        <v/>
      </c>
    </row>
    <row r="1104">
      <c r="A1104" t="inlineStr">
        <is>
          <t>2026-03-19</t>
        </is>
      </c>
      <c r="B1104" t="inlineStr">
        <is>
          <t>HD현대중공업</t>
        </is>
      </c>
      <c r="C1104" t="inlineStr">
        <is>
          <t>329180</t>
        </is>
      </c>
      <c r="D1104" t="inlineStr">
        <is>
          <t>별도</t>
        </is>
      </c>
      <c r="E1104" t="inlineStr">
        <is>
          <t>2025Q4</t>
        </is>
      </c>
      <c r="F1104" s="2" t="n">
        <v>1675369</v>
      </c>
      <c r="G1104" t="n">
        <v>-20.34</v>
      </c>
      <c r="H1104" t="n">
        <v>48.56</v>
      </c>
      <c r="I1104" s="2" t="inlineStr"/>
      <c r="J1104" t="inlineStr"/>
      <c r="K1104" t="inlineStr"/>
      <c r="L1104" s="2" t="inlineStr"/>
      <c r="M1104" t="inlineStr"/>
      <c r="N1104" t="inlineStr">
        <is>
          <t>20260319801124</t>
        </is>
      </c>
      <c r="O1104">
        <f>HYPERLINK("https://dart.fss.or.kr/dsaf001/main.do?rcpNo=20260319801124", "공시열람")</f>
        <v/>
      </c>
    </row>
    <row r="1105">
      <c r="A1105" t="inlineStr">
        <is>
          <t>2026-03-19</t>
        </is>
      </c>
      <c r="B1105" t="inlineStr">
        <is>
          <t>HD한국조선해양</t>
        </is>
      </c>
      <c r="C1105" t="inlineStr">
        <is>
          <t>009540</t>
        </is>
      </c>
      <c r="D1105" t="inlineStr">
        <is>
          <t>별도</t>
        </is>
      </c>
      <c r="E1105" t="inlineStr">
        <is>
          <t>2025Q4</t>
        </is>
      </c>
      <c r="F1105" s="2" t="n">
        <v>603290</v>
      </c>
      <c r="G1105" t="n">
        <v>-24.94</v>
      </c>
      <c r="H1105" t="n">
        <v>-6.03</v>
      </c>
      <c r="I1105" s="2" t="inlineStr"/>
      <c r="J1105" t="inlineStr"/>
      <c r="K1105" t="inlineStr"/>
      <c r="L1105" s="2" t="inlineStr"/>
      <c r="M1105" t="inlineStr"/>
      <c r="N1105" t="inlineStr">
        <is>
          <t>20260319801156</t>
        </is>
      </c>
      <c r="O1105">
        <f>HYPERLINK("https://dart.fss.or.kr/dsaf001/main.do?rcpNo=20260319801156", "공시열람")</f>
        <v/>
      </c>
    </row>
    <row r="1106">
      <c r="A1106" t="inlineStr">
        <is>
          <t>2026-03-19</t>
        </is>
      </c>
      <c r="B1106" t="inlineStr">
        <is>
          <t>HD한국조선해양</t>
        </is>
      </c>
      <c r="C1106" t="inlineStr">
        <is>
          <t>009540</t>
        </is>
      </c>
      <c r="D1106" t="inlineStr">
        <is>
          <t>별도</t>
        </is>
      </c>
      <c r="E1106" t="inlineStr">
        <is>
          <t>2025Q4</t>
        </is>
      </c>
      <c r="F1106" s="2" t="inlineStr"/>
      <c r="G1106" t="inlineStr"/>
      <c r="H1106" t="inlineStr"/>
      <c r="I1106" s="2" t="inlineStr"/>
      <c r="J1106" t="inlineStr"/>
      <c r="K1106" t="inlineStr"/>
      <c r="L1106" s="2" t="inlineStr"/>
      <c r="M1106" t="inlineStr"/>
      <c r="N1106" t="inlineStr">
        <is>
          <t>20260319801206</t>
        </is>
      </c>
      <c r="O1106">
        <f>HYPERLINK("https://dart.fss.or.kr/dsaf001/main.do?rcpNo=20260319801206", "공시열람")</f>
        <v/>
      </c>
    </row>
    <row r="1107">
      <c r="A1107" t="inlineStr">
        <is>
          <t>2026-03-18</t>
        </is>
      </c>
      <c r="B1107" t="inlineStr">
        <is>
          <t>한온시스템</t>
        </is>
      </c>
      <c r="C1107" t="inlineStr">
        <is>
          <t>018880</t>
        </is>
      </c>
      <c r="D1107" t="inlineStr">
        <is>
          <t>연결</t>
        </is>
      </c>
      <c r="E1107" t="inlineStr">
        <is>
          <t>2025Q4</t>
        </is>
      </c>
      <c r="F1107" s="2" t="n">
        <v>2702509</v>
      </c>
      <c r="G1107" t="n">
        <v>-0.1</v>
      </c>
      <c r="H1107" t="n">
        <v>6.6</v>
      </c>
      <c r="I1107" s="2" t="n">
        <v>89695</v>
      </c>
      <c r="J1107" t="n">
        <v>-5.9</v>
      </c>
      <c r="K1107" t="inlineStr"/>
      <c r="L1107" s="2" t="n">
        <v>-214862</v>
      </c>
      <c r="M1107" t="n">
        <v>32.5</v>
      </c>
      <c r="N1107" t="inlineStr">
        <is>
          <t>20260318801413</t>
        </is>
      </c>
      <c r="O1107">
        <f>HYPERLINK("https://dart.fss.or.kr/dsaf001/main.do?rcpNo=20260318801413", "공시열람")</f>
        <v/>
      </c>
    </row>
    <row r="1108">
      <c r="A1108" t="inlineStr">
        <is>
          <t>2026-03-16</t>
        </is>
      </c>
      <c r="B1108" t="inlineStr">
        <is>
          <t>메타바이오메드</t>
        </is>
      </c>
      <c r="C1108" t="inlineStr">
        <is>
          <t>059210</t>
        </is>
      </c>
      <c r="D1108" t="inlineStr">
        <is>
          <t>연결</t>
        </is>
      </c>
      <c r="E1108" t="inlineStr">
        <is>
          <t>2025Q4</t>
        </is>
      </c>
      <c r="F1108" s="2" t="n">
        <v>26242</v>
      </c>
      <c r="G1108" t="n">
        <v>11.5</v>
      </c>
      <c r="H1108" t="n">
        <v>13.8</v>
      </c>
      <c r="I1108" s="2" t="n">
        <v>2579</v>
      </c>
      <c r="J1108" t="n">
        <v>-49.2</v>
      </c>
      <c r="K1108" t="n">
        <v>-46.7</v>
      </c>
      <c r="L1108" s="2" t="n">
        <v>49</v>
      </c>
      <c r="M1108" t="n">
        <v>-99.5</v>
      </c>
      <c r="N1108" t="inlineStr">
        <is>
          <t>20260316900967</t>
        </is>
      </c>
      <c r="O1108">
        <f>HYPERLINK("https://dart.fss.or.kr/dsaf001/main.do?rcpNo=20260316900967", "공시열람")</f>
        <v/>
      </c>
    </row>
    <row r="1109">
      <c r="A1109" t="inlineStr">
        <is>
          <t>2026-03-13</t>
        </is>
      </c>
      <c r="B1109" t="inlineStr">
        <is>
          <t>한국가스공사</t>
        </is>
      </c>
      <c r="C1109" t="inlineStr">
        <is>
          <t>036460</t>
        </is>
      </c>
      <c r="D1109" t="inlineStr">
        <is>
          <t>별도</t>
        </is>
      </c>
      <c r="E1109" t="inlineStr">
        <is>
          <t>2025Q4</t>
        </is>
      </c>
      <c r="F1109" s="2" t="inlineStr"/>
      <c r="G1109" t="inlineStr"/>
      <c r="H1109" t="inlineStr"/>
      <c r="I1109" s="2" t="inlineStr"/>
      <c r="J1109" t="inlineStr"/>
      <c r="K1109" t="inlineStr"/>
      <c r="L1109" s="2" t="inlineStr"/>
      <c r="M1109" t="inlineStr"/>
      <c r="N1109" t="inlineStr">
        <is>
          <t>20260313800277</t>
        </is>
      </c>
      <c r="O1109">
        <f>HYPERLINK("https://dart.fss.or.kr/dsaf001/main.do?rcpNo=20260313800277", "공시열람")</f>
        <v/>
      </c>
    </row>
    <row r="1110">
      <c r="A1110" t="inlineStr">
        <is>
          <t>2026-03-13</t>
        </is>
      </c>
      <c r="B1110" t="inlineStr">
        <is>
          <t>아로마티카</t>
        </is>
      </c>
      <c r="C1110" t="inlineStr">
        <is>
          <t>0015N0</t>
        </is>
      </c>
      <c r="D1110" t="inlineStr">
        <is>
          <t>별도</t>
        </is>
      </c>
      <c r="E1110" t="inlineStr">
        <is>
          <t>2025Q4</t>
        </is>
      </c>
      <c r="F1110" s="2" t="n">
        <v>13750</v>
      </c>
      <c r="G1110" t="n">
        <v>5.9</v>
      </c>
      <c r="H1110" t="n">
        <v>9.4</v>
      </c>
      <c r="I1110" s="2" t="n">
        <v>995</v>
      </c>
      <c r="J1110" t="n">
        <v>-47.9</v>
      </c>
      <c r="K1110" t="n">
        <v>-48.9</v>
      </c>
      <c r="L1110" s="2" t="n">
        <v>1237</v>
      </c>
      <c r="M1110" t="n">
        <v>-29.3</v>
      </c>
      <c r="N1110" t="inlineStr">
        <is>
          <t>20260313900863</t>
        </is>
      </c>
      <c r="O1110">
        <f>HYPERLINK("https://dart.fss.or.kr/dsaf001/main.do?rcpNo=20260313900863", "공시열람")</f>
        <v/>
      </c>
    </row>
    <row r="1111">
      <c r="A1111" t="inlineStr">
        <is>
          <t>2026-03-13</t>
        </is>
      </c>
      <c r="B1111" t="inlineStr">
        <is>
          <t>서진시스템</t>
        </is>
      </c>
      <c r="C1111" t="inlineStr">
        <is>
          <t>178320</t>
        </is>
      </c>
      <c r="D1111" t="inlineStr">
        <is>
          <t>연결</t>
        </is>
      </c>
      <c r="E1111" t="inlineStr">
        <is>
          <t>2025Q4</t>
        </is>
      </c>
      <c r="F1111" s="2" t="n">
        <v>310986</v>
      </c>
      <c r="G1111" t="n">
        <v>44.3</v>
      </c>
      <c r="H1111" t="n">
        <v>17.6</v>
      </c>
      <c r="I1111" s="2" t="n">
        <v>23512</v>
      </c>
      <c r="J1111" t="inlineStr"/>
      <c r="K1111" t="n">
        <v>2241</v>
      </c>
      <c r="L1111" s="2" t="n">
        <v>25636</v>
      </c>
      <c r="M1111" t="n">
        <v>223.7</v>
      </c>
      <c r="N1111" t="inlineStr">
        <is>
          <t>20260313901557</t>
        </is>
      </c>
      <c r="O1111">
        <f>HYPERLINK("https://dart.fss.or.kr/dsaf001/main.do?rcpNo=20260313901557", "공시열람")</f>
        <v/>
      </c>
    </row>
    <row r="1112">
      <c r="A1112" t="inlineStr">
        <is>
          <t>2026-03-13</t>
        </is>
      </c>
      <c r="B1112" t="inlineStr">
        <is>
          <t>오리온</t>
        </is>
      </c>
      <c r="C1112" t="inlineStr">
        <is>
          <t>271560</t>
        </is>
      </c>
      <c r="D1112" t="inlineStr">
        <is>
          <t>연결</t>
        </is>
      </c>
      <c r="E1112" t="inlineStr">
        <is>
          <t>2025Q4</t>
        </is>
      </c>
      <c r="F1112" s="2" t="inlineStr"/>
      <c r="G1112" t="inlineStr"/>
      <c r="H1112" t="inlineStr"/>
      <c r="I1112" s="2" t="inlineStr"/>
      <c r="J1112" t="inlineStr"/>
      <c r="K1112" t="inlineStr"/>
      <c r="L1112" s="2" t="inlineStr"/>
      <c r="M1112" t="inlineStr"/>
      <c r="N1112" t="inlineStr">
        <is>
          <t>20260313800199</t>
        </is>
      </c>
      <c r="O1112">
        <f>HYPERLINK("https://dart.fss.or.kr/dsaf001/main.do?rcpNo=20260313800199", "공시열람")</f>
        <v/>
      </c>
    </row>
    <row r="1113">
      <c r="A1113" t="inlineStr">
        <is>
          <t>2026-03-12</t>
        </is>
      </c>
      <c r="B1113" t="inlineStr">
        <is>
          <t>실리콘투</t>
        </is>
      </c>
      <c r="C1113" t="inlineStr">
        <is>
          <t>257720</t>
        </is>
      </c>
      <c r="D1113" t="inlineStr">
        <is>
          <t>연결</t>
        </is>
      </c>
      <c r="E1113" t="inlineStr">
        <is>
          <t>2025Q4</t>
        </is>
      </c>
      <c r="F1113" s="2" t="n">
        <v>305949</v>
      </c>
      <c r="G1113" t="n">
        <v>2.2</v>
      </c>
      <c r="H1113" t="n">
        <v>76.3</v>
      </c>
      <c r="I1113" s="2" t="n">
        <v>42378</v>
      </c>
      <c r="J1113" t="n">
        <v>-32.8</v>
      </c>
      <c r="K1113" t="n">
        <v>59.4</v>
      </c>
      <c r="L1113" s="2" t="n">
        <v>35797</v>
      </c>
      <c r="M1113" t="n">
        <v>11.9</v>
      </c>
      <c r="N1113" t="inlineStr">
        <is>
          <t>20260312900450</t>
        </is>
      </c>
      <c r="O1113">
        <f>HYPERLINK("https://dart.fss.or.kr/dsaf001/main.do?rcpNo=20260312900450", "공시열람")</f>
        <v/>
      </c>
    </row>
    <row r="1114">
      <c r="A1114" t="inlineStr">
        <is>
          <t>2026-03-12</t>
        </is>
      </c>
      <c r="B1114" t="inlineStr">
        <is>
          <t>이수화학</t>
        </is>
      </c>
      <c r="C1114" t="inlineStr">
        <is>
          <t>005950</t>
        </is>
      </c>
      <c r="D1114" t="inlineStr">
        <is>
          <t>별도</t>
        </is>
      </c>
      <c r="E1114" t="inlineStr">
        <is>
          <t>2025Q4</t>
        </is>
      </c>
      <c r="F1114" s="2" t="n">
        <v>1377712</v>
      </c>
      <c r="G1114" t="n">
        <v>-6.6</v>
      </c>
      <c r="H1114" t="inlineStr"/>
      <c r="I1114" s="2" t="n">
        <v>29748</v>
      </c>
      <c r="J1114" t="n">
        <v>934.8</v>
      </c>
      <c r="K1114" t="inlineStr"/>
      <c r="L1114" s="2" t="n">
        <v>-29394</v>
      </c>
      <c r="M1114" t="inlineStr"/>
      <c r="N1114" t="inlineStr">
        <is>
          <t>20260312801400</t>
        </is>
      </c>
      <c r="O1114">
        <f>HYPERLINK("https://dart.fss.or.kr/dsaf001/main.do?rcpNo=20260312801400", "공시열람")</f>
        <v/>
      </c>
    </row>
    <row r="1115">
      <c r="A1115" t="inlineStr">
        <is>
          <t>2026-03-11</t>
        </is>
      </c>
      <c r="B1115" t="inlineStr">
        <is>
          <t>한국타이어앤테크놀로지</t>
        </is>
      </c>
      <c r="C1115" t="inlineStr">
        <is>
          <t>161390</t>
        </is>
      </c>
      <c r="D1115" t="inlineStr">
        <is>
          <t>연결</t>
        </is>
      </c>
      <c r="E1115" t="inlineStr">
        <is>
          <t>2025Q4</t>
        </is>
      </c>
      <c r="F1115" s="2" t="n">
        <v>5456246</v>
      </c>
      <c r="G1115" t="n">
        <v>0.8</v>
      </c>
      <c r="H1115" t="n">
        <v>115.5</v>
      </c>
      <c r="I1115" s="2" t="n">
        <v>546840</v>
      </c>
      <c r="J1115" t="n">
        <v>-6.7</v>
      </c>
      <c r="K1115" t="n">
        <v>15.5</v>
      </c>
      <c r="L1115" s="2" t="n">
        <v>91058</v>
      </c>
      <c r="M1115" t="n">
        <v>47.1</v>
      </c>
      <c r="N1115" t="inlineStr">
        <is>
          <t>20260311801275</t>
        </is>
      </c>
      <c r="O1115">
        <f>HYPERLINK("https://dart.fss.or.kr/dsaf001/main.do?rcpNo=20260311801275", "공시열람")</f>
        <v/>
      </c>
    </row>
    <row r="1116">
      <c r="A1116" t="inlineStr">
        <is>
          <t>2026-03-11</t>
        </is>
      </c>
      <c r="B1116" t="inlineStr">
        <is>
          <t>이마트</t>
        </is>
      </c>
      <c r="C1116" t="inlineStr">
        <is>
          <t>139480</t>
        </is>
      </c>
      <c r="D1116" t="inlineStr">
        <is>
          <t>별도</t>
        </is>
      </c>
      <c r="E1116" t="inlineStr">
        <is>
          <t>2025Q4</t>
        </is>
      </c>
      <c r="F1116" s="2" t="n">
        <v>1473000</v>
      </c>
      <c r="G1116" t="n">
        <v>-7.5</v>
      </c>
      <c r="H1116" t="n">
        <v>22.1</v>
      </c>
      <c r="I1116" s="2" t="inlineStr"/>
      <c r="J1116" t="inlineStr"/>
      <c r="K1116" t="inlineStr"/>
      <c r="L1116" s="2" t="inlineStr"/>
      <c r="M1116" t="inlineStr"/>
      <c r="N1116" t="inlineStr">
        <is>
          <t>20260311800498</t>
        </is>
      </c>
      <c r="O1116">
        <f>HYPERLINK("https://dart.fss.or.kr/dsaf001/main.do?rcpNo=20260311800498", "공시열람")</f>
        <v/>
      </c>
    </row>
    <row r="1117">
      <c r="A1117" t="inlineStr">
        <is>
          <t>2026-03-11</t>
        </is>
      </c>
      <c r="B1117" t="inlineStr">
        <is>
          <t>컴투스홀딩스</t>
        </is>
      </c>
      <c r="C1117" t="inlineStr">
        <is>
          <t>063080</t>
        </is>
      </c>
      <c r="D1117" t="inlineStr">
        <is>
          <t>연결</t>
        </is>
      </c>
      <c r="E1117" t="inlineStr">
        <is>
          <t>2025Q4</t>
        </is>
      </c>
      <c r="F1117" s="2" t="n">
        <v>27288</v>
      </c>
      <c r="G1117" t="n">
        <v>39.2</v>
      </c>
      <c r="H1117" t="n">
        <v>34.3</v>
      </c>
      <c r="I1117" s="2" t="n">
        <v>1847</v>
      </c>
      <c r="J1117" t="inlineStr"/>
      <c r="K1117" t="inlineStr"/>
      <c r="L1117" s="2" t="n">
        <v>54820</v>
      </c>
      <c r="M1117" t="inlineStr"/>
      <c r="N1117" t="inlineStr">
        <is>
          <t>20260311900425</t>
        </is>
      </c>
      <c r="O1117">
        <f>HYPERLINK("https://dart.fss.or.kr/dsaf001/main.do?rcpNo=20260311900425", "공시열람")</f>
        <v/>
      </c>
    </row>
    <row r="1118">
      <c r="A1118" t="inlineStr">
        <is>
          <t>2026-03-10</t>
        </is>
      </c>
      <c r="B1118" t="inlineStr">
        <is>
          <t>한독</t>
        </is>
      </c>
      <c r="C1118" t="inlineStr">
        <is>
          <t>002390</t>
        </is>
      </c>
      <c r="D1118" t="inlineStr">
        <is>
          <t>별도</t>
        </is>
      </c>
      <c r="E1118" t="inlineStr">
        <is>
          <t>2025Q4</t>
        </is>
      </c>
      <c r="F1118" s="2" t="n">
        <v>135714</v>
      </c>
      <c r="G1118" t="n">
        <v>-3.63</v>
      </c>
      <c r="H1118" t="n">
        <v>13.64</v>
      </c>
      <c r="I1118" s="2" t="n">
        <v>4208</v>
      </c>
      <c r="J1118" t="n">
        <v>1364.7</v>
      </c>
      <c r="K1118" t="inlineStr"/>
      <c r="L1118" s="2" t="n">
        <v>13674</v>
      </c>
      <c r="M1118" t="inlineStr"/>
      <c r="N1118" t="inlineStr">
        <is>
          <t>20260310802005</t>
        </is>
      </c>
      <c r="O1118">
        <f>HYPERLINK("https://dart.fss.or.kr/dsaf001/main.do?rcpNo=20260310802005", "공시열람")</f>
        <v/>
      </c>
    </row>
    <row r="1119">
      <c r="A1119" t="inlineStr">
        <is>
          <t>2026-03-10</t>
        </is>
      </c>
      <c r="B1119" t="inlineStr">
        <is>
          <t>더존비즈온</t>
        </is>
      </c>
      <c r="C1119" t="inlineStr">
        <is>
          <t>012510</t>
        </is>
      </c>
      <c r="D1119" t="inlineStr">
        <is>
          <t>연결</t>
        </is>
      </c>
      <c r="E1119" t="inlineStr">
        <is>
          <t>2025Q4</t>
        </is>
      </c>
      <c r="F1119" s="2" t="n">
        <v>127141</v>
      </c>
      <c r="G1119" t="n">
        <v>10.9</v>
      </c>
      <c r="H1119" t="n">
        <v>14.1</v>
      </c>
      <c r="I1119" s="2" t="n">
        <v>46094</v>
      </c>
      <c r="J1119" t="n">
        <v>32.4</v>
      </c>
      <c r="K1119" t="n">
        <v>56.5</v>
      </c>
      <c r="L1119" s="2" t="n">
        <v>39291</v>
      </c>
      <c r="M1119" t="n">
        <v>95.59999999999999</v>
      </c>
      <c r="N1119" t="inlineStr">
        <is>
          <t>20260310801595</t>
        </is>
      </c>
      <c r="O1119">
        <f>HYPERLINK("https://dart.fss.or.kr/dsaf001/main.do?rcpNo=20260310801595", "공시열람")</f>
        <v/>
      </c>
    </row>
    <row r="1120">
      <c r="A1120" t="inlineStr">
        <is>
          <t>2026-03-10</t>
        </is>
      </c>
      <c r="B1120" t="inlineStr">
        <is>
          <t>컴투스</t>
        </is>
      </c>
      <c r="C1120" t="inlineStr">
        <is>
          <t>078340</t>
        </is>
      </c>
      <c r="D1120" t="inlineStr">
        <is>
          <t>연결</t>
        </is>
      </c>
      <c r="E1120" t="inlineStr">
        <is>
          <t>2025Q4</t>
        </is>
      </c>
      <c r="F1120" s="2" t="n">
        <v>182401</v>
      </c>
      <c r="G1120" t="n">
        <v>13.2</v>
      </c>
      <c r="H1120" t="n">
        <v>-4.2</v>
      </c>
      <c r="I1120" s="2" t="n">
        <v>19092</v>
      </c>
      <c r="J1120" t="inlineStr"/>
      <c r="K1120" t="n">
        <v>784.4</v>
      </c>
      <c r="L1120" s="2" t="n">
        <v>16494</v>
      </c>
      <c r="M1120" t="inlineStr"/>
      <c r="N1120" t="inlineStr">
        <is>
          <t>20260310901438</t>
        </is>
      </c>
      <c r="O1120">
        <f>HYPERLINK("https://dart.fss.or.kr/dsaf001/main.do?rcpNo=20260310901438", "공시열람")</f>
        <v/>
      </c>
    </row>
    <row r="1121">
      <c r="A1121" t="inlineStr">
        <is>
          <t>2026-03-10</t>
        </is>
      </c>
      <c r="B1121" t="inlineStr">
        <is>
          <t>컴투스</t>
        </is>
      </c>
      <c r="C1121" t="inlineStr">
        <is>
          <t>078340</t>
        </is>
      </c>
      <c r="D1121" t="inlineStr">
        <is>
          <t>별도</t>
        </is>
      </c>
      <c r="E1121" t="inlineStr">
        <is>
          <t>2025Q4</t>
        </is>
      </c>
      <c r="F1121" s="2" t="n">
        <v>143967</v>
      </c>
      <c r="G1121" t="n">
        <v>19</v>
      </c>
      <c r="H1121" t="n">
        <v>1.5</v>
      </c>
      <c r="I1121" s="2" t="n">
        <v>20436</v>
      </c>
      <c r="J1121" t="inlineStr"/>
      <c r="K1121" t="n">
        <v>534.1</v>
      </c>
      <c r="L1121" s="2" t="n">
        <v>-25553</v>
      </c>
      <c r="M1121" t="n">
        <v>71.59999999999999</v>
      </c>
      <c r="N1121" t="inlineStr">
        <is>
          <t>20260310901425</t>
        </is>
      </c>
      <c r="O1121">
        <f>HYPERLINK("https://dart.fss.or.kr/dsaf001/main.do?rcpNo=20260310901425", "공시열람")</f>
        <v/>
      </c>
    </row>
    <row r="1122">
      <c r="A1122" t="inlineStr">
        <is>
          <t>2026-03-10</t>
        </is>
      </c>
      <c r="B1122" t="inlineStr">
        <is>
          <t>GS</t>
        </is>
      </c>
      <c r="C1122" t="inlineStr">
        <is>
          <t>078930</t>
        </is>
      </c>
      <c r="D1122" t="inlineStr">
        <is>
          <t>연결</t>
        </is>
      </c>
      <c r="E1122" t="inlineStr">
        <is>
          <t>2025Q4</t>
        </is>
      </c>
      <c r="F1122" s="2" t="n">
        <v>6487300</v>
      </c>
      <c r="G1122" t="n">
        <v>-0.74</v>
      </c>
      <c r="H1122" t="n">
        <v>1.43</v>
      </c>
      <c r="I1122" s="2" t="n">
        <v>776200</v>
      </c>
      <c r="J1122" t="n">
        <v>10.84</v>
      </c>
      <c r="K1122" t="n">
        <v>24.79</v>
      </c>
      <c r="L1122" s="2" t="n">
        <v>250500</v>
      </c>
      <c r="M1122" t="n">
        <v>241.28</v>
      </c>
      <c r="N1122" t="inlineStr">
        <is>
          <t>20260310800638</t>
        </is>
      </c>
      <c r="O1122">
        <f>HYPERLINK("https://dart.fss.or.kr/dsaf001/main.do?rcpNo=20260310800638", "공시열람")</f>
        <v/>
      </c>
    </row>
    <row r="1123">
      <c r="A1123" t="inlineStr">
        <is>
          <t>2026-03-10</t>
        </is>
      </c>
      <c r="B1123" t="inlineStr">
        <is>
          <t>광주신세계</t>
        </is>
      </c>
      <c r="C1123" t="inlineStr">
        <is>
          <t>037710</t>
        </is>
      </c>
      <c r="D1123" t="inlineStr">
        <is>
          <t>별도</t>
        </is>
      </c>
      <c r="E1123" t="inlineStr">
        <is>
          <t>2025Q4</t>
        </is>
      </c>
      <c r="F1123" s="2" t="n">
        <v>16003</v>
      </c>
      <c r="G1123" t="n">
        <v>-0.1</v>
      </c>
      <c r="H1123" t="n">
        <v>21.5</v>
      </c>
      <c r="I1123" s="2" t="inlineStr"/>
      <c r="J1123" t="inlineStr"/>
      <c r="K1123" t="inlineStr"/>
      <c r="L1123" s="2" t="inlineStr"/>
      <c r="M1123" t="inlineStr"/>
      <c r="N1123" t="inlineStr">
        <is>
          <t>20260310801233</t>
        </is>
      </c>
      <c r="O1123">
        <f>HYPERLINK("https://dart.fss.or.kr/dsaf001/main.do?rcpNo=20260310801233", "공시열람")</f>
        <v/>
      </c>
    </row>
    <row r="1124">
      <c r="A1124" t="inlineStr">
        <is>
          <t>2026-03-10</t>
        </is>
      </c>
      <c r="B1124" t="inlineStr">
        <is>
          <t>산일전기</t>
        </is>
      </c>
      <c r="C1124" t="inlineStr">
        <is>
          <t>062040</t>
        </is>
      </c>
      <c r="D1124" t="inlineStr">
        <is>
          <t>별도</t>
        </is>
      </c>
      <c r="E1124" t="inlineStr">
        <is>
          <t>2025Q4</t>
        </is>
      </c>
      <c r="F1124" s="2" t="n">
        <v>142127</v>
      </c>
      <c r="G1124" t="n">
        <v>7.1</v>
      </c>
      <c r="H1124" t="n">
        <v>31.1</v>
      </c>
      <c r="I1124" s="2" t="n">
        <v>52517</v>
      </c>
      <c r="J1124" t="n">
        <v>23.1</v>
      </c>
      <c r="K1124" t="n">
        <v>55.9</v>
      </c>
      <c r="L1124" s="2" t="n">
        <v>43039</v>
      </c>
      <c r="M1124" t="n">
        <v>59.3</v>
      </c>
      <c r="N1124" t="inlineStr">
        <is>
          <t>20260310801163</t>
        </is>
      </c>
      <c r="O1124">
        <f>HYPERLINK("https://dart.fss.or.kr/dsaf001/main.do?rcpNo=20260310801163", "공시열람")</f>
        <v/>
      </c>
    </row>
    <row r="1125">
      <c r="A1125" t="inlineStr">
        <is>
          <t>2026-03-10</t>
        </is>
      </c>
      <c r="B1125" t="inlineStr">
        <is>
          <t>신세계</t>
        </is>
      </c>
      <c r="C1125" t="inlineStr">
        <is>
          <t>004170</t>
        </is>
      </c>
      <c r="D1125" t="inlineStr">
        <is>
          <t>별도</t>
        </is>
      </c>
      <c r="E1125" t="inlineStr">
        <is>
          <t>2025Q4</t>
        </is>
      </c>
      <c r="F1125" s="2" t="n">
        <v>188577</v>
      </c>
      <c r="G1125" t="n">
        <v>1.57</v>
      </c>
      <c r="H1125" t="n">
        <v>30.86</v>
      </c>
      <c r="I1125" s="2" t="inlineStr"/>
      <c r="J1125" t="inlineStr"/>
      <c r="K1125" t="inlineStr"/>
      <c r="L1125" s="2" t="inlineStr"/>
      <c r="M1125" t="inlineStr"/>
      <c r="N1125" t="inlineStr">
        <is>
          <t>20260310801002</t>
        </is>
      </c>
      <c r="O1125">
        <f>HYPERLINK("https://dart.fss.or.kr/dsaf001/main.do?rcpNo=20260310801002", "공시열람")</f>
        <v/>
      </c>
    </row>
    <row r="1126">
      <c r="A1126" t="inlineStr">
        <is>
          <t>2026-03-10</t>
        </is>
      </c>
      <c r="B1126" t="inlineStr">
        <is>
          <t>케이피에프</t>
        </is>
      </c>
      <c r="C1126" t="inlineStr">
        <is>
          <t>024880</t>
        </is>
      </c>
      <c r="D1126" t="inlineStr">
        <is>
          <t>연결</t>
        </is>
      </c>
      <c r="E1126" t="inlineStr">
        <is>
          <t>2025Q4</t>
        </is>
      </c>
      <c r="F1126" s="2" t="n">
        <v>175143</v>
      </c>
      <c r="G1126" t="n">
        <v>0.6</v>
      </c>
      <c r="H1126" t="n">
        <v>-2.4</v>
      </c>
      <c r="I1126" s="2" t="n">
        <v>2087</v>
      </c>
      <c r="J1126" t="n">
        <v>-75.7</v>
      </c>
      <c r="K1126" t="n">
        <v>-74.8</v>
      </c>
      <c r="L1126" s="2" t="n">
        <v>-1510</v>
      </c>
      <c r="M1126" t="inlineStr"/>
      <c r="N1126" t="inlineStr">
        <is>
          <t>20260310900384</t>
        </is>
      </c>
      <c r="O1126">
        <f>HYPERLINK("https://dart.fss.or.kr/dsaf001/main.do?rcpNo=20260310900384", "공시열람")</f>
        <v/>
      </c>
    </row>
    <row r="1127">
      <c r="A1127" t="inlineStr">
        <is>
          <t>2026-03-09</t>
        </is>
      </c>
      <c r="B1127" t="inlineStr">
        <is>
          <t>한진</t>
        </is>
      </c>
      <c r="C1127" t="inlineStr">
        <is>
          <t>002320</t>
        </is>
      </c>
      <c r="D1127" t="inlineStr">
        <is>
          <t>연결</t>
        </is>
      </c>
      <c r="E1127" t="inlineStr">
        <is>
          <t>2025Q4</t>
        </is>
      </c>
      <c r="F1127" s="2" t="n">
        <v>795700</v>
      </c>
      <c r="G1127" t="n">
        <v>-0.5</v>
      </c>
      <c r="H1127" t="n">
        <v>-2.1</v>
      </c>
      <c r="I1127" s="2" t="n">
        <v>17100</v>
      </c>
      <c r="J1127" t="n">
        <v>-44.5</v>
      </c>
      <c r="K1127" t="inlineStr"/>
      <c r="L1127" s="2" t="n">
        <v>-8500</v>
      </c>
      <c r="M1127" t="n">
        <v>-53.8</v>
      </c>
      <c r="N1127" t="inlineStr">
        <is>
          <t>20260309801274</t>
        </is>
      </c>
      <c r="O1127">
        <f>HYPERLINK("https://dart.fss.or.kr/dsaf001/main.do?rcpNo=20260309801274", "공시열람")</f>
        <v/>
      </c>
    </row>
    <row r="1128">
      <c r="A1128" t="inlineStr">
        <is>
          <t>2026-03-09</t>
        </is>
      </c>
      <c r="B1128" t="inlineStr">
        <is>
          <t>DN오토모티브</t>
        </is>
      </c>
      <c r="C1128" t="inlineStr">
        <is>
          <t>007340</t>
        </is>
      </c>
      <c r="D1128" t="inlineStr">
        <is>
          <t>연결</t>
        </is>
      </c>
      <c r="E1128" t="inlineStr">
        <is>
          <t>2025Q4</t>
        </is>
      </c>
      <c r="F1128" s="2" t="n">
        <v>968622</v>
      </c>
      <c r="G1128" t="n">
        <v>5.4</v>
      </c>
      <c r="H1128" t="n">
        <v>5.3</v>
      </c>
      <c r="I1128" s="2" t="n">
        <v>149955</v>
      </c>
      <c r="J1128" t="n">
        <v>26.3</v>
      </c>
      <c r="K1128" t="n">
        <v>24.2</v>
      </c>
      <c r="L1128" s="2" t="n">
        <v>106214</v>
      </c>
      <c r="M1128" t="n">
        <v>51.6</v>
      </c>
      <c r="N1128" t="inlineStr">
        <is>
          <t>20260309800121</t>
        </is>
      </c>
      <c r="O1128">
        <f>HYPERLINK("https://dart.fss.or.kr/dsaf001/main.do?rcpNo=20260309800121", "공시열람")</f>
        <v/>
      </c>
    </row>
    <row r="1129">
      <c r="A1129" t="inlineStr">
        <is>
          <t>2026-03-06</t>
        </is>
      </c>
      <c r="B1129" t="inlineStr">
        <is>
          <t>태광</t>
        </is>
      </c>
      <c r="C1129" t="inlineStr">
        <is>
          <t>023160</t>
        </is>
      </c>
      <c r="D1129" t="inlineStr">
        <is>
          <t>연결</t>
        </is>
      </c>
      <c r="E1129" t="inlineStr">
        <is>
          <t>2025Q4</t>
        </is>
      </c>
      <c r="F1129" s="2" t="n">
        <v>80600</v>
      </c>
      <c r="G1129" t="n">
        <v>-1</v>
      </c>
      <c r="H1129" t="n">
        <v>21.8</v>
      </c>
      <c r="I1129" s="2" t="n">
        <v>12105</v>
      </c>
      <c r="J1129" t="n">
        <v>4.6</v>
      </c>
      <c r="K1129" t="n">
        <v>25.8</v>
      </c>
      <c r="L1129" s="2" t="n">
        <v>12165</v>
      </c>
      <c r="M1129" t="n">
        <v>0.3</v>
      </c>
      <c r="N1129" t="inlineStr">
        <is>
          <t>20260306900358</t>
        </is>
      </c>
      <c r="O1129">
        <f>HYPERLINK("https://dart.fss.or.kr/dsaf001/main.do?rcpNo=20260306900358", "공시열람")</f>
        <v/>
      </c>
    </row>
    <row r="1130">
      <c r="A1130" t="inlineStr">
        <is>
          <t>2026-03-06</t>
        </is>
      </c>
      <c r="B1130" t="inlineStr">
        <is>
          <t>태광</t>
        </is>
      </c>
      <c r="C1130" t="inlineStr">
        <is>
          <t>023160</t>
        </is>
      </c>
      <c r="D1130" t="inlineStr">
        <is>
          <t>별도</t>
        </is>
      </c>
      <c r="E1130" t="inlineStr">
        <is>
          <t>2025Q4</t>
        </is>
      </c>
      <c r="F1130" s="2" t="n">
        <v>71335</v>
      </c>
      <c r="G1130" t="n">
        <v>-2.2</v>
      </c>
      <c r="H1130" t="n">
        <v>26.7</v>
      </c>
      <c r="I1130" s="2" t="n">
        <v>12504</v>
      </c>
      <c r="J1130" t="n">
        <v>-0.3</v>
      </c>
      <c r="K1130" t="n">
        <v>29.6</v>
      </c>
      <c r="L1130" s="2" t="n">
        <v>16298</v>
      </c>
      <c r="M1130" t="n">
        <v>41.6</v>
      </c>
      <c r="N1130" t="inlineStr">
        <is>
          <t>20260306900360</t>
        </is>
      </c>
      <c r="O1130">
        <f>HYPERLINK("https://dart.fss.or.kr/dsaf001/main.do?rcpNo=20260306900360", "공시열람")</f>
        <v/>
      </c>
    </row>
    <row r="1131">
      <c r="A1131" t="inlineStr">
        <is>
          <t>2026-03-06</t>
        </is>
      </c>
      <c r="B1131" t="inlineStr">
        <is>
          <t>AP시스템</t>
        </is>
      </c>
      <c r="C1131" t="inlineStr">
        <is>
          <t>265520</t>
        </is>
      </c>
      <c r="D1131" t="inlineStr">
        <is>
          <t>연결</t>
        </is>
      </c>
      <c r="E1131" t="inlineStr">
        <is>
          <t>2025Q4</t>
        </is>
      </c>
      <c r="F1131" s="2" t="n">
        <v>131645</v>
      </c>
      <c r="G1131" t="n">
        <v>36.7</v>
      </c>
      <c r="H1131" t="n">
        <v>-19.6</v>
      </c>
      <c r="I1131" s="2" t="n">
        <v>9614</v>
      </c>
      <c r="J1131" t="n">
        <v>-28.1</v>
      </c>
      <c r="K1131" t="n">
        <v>-25.9</v>
      </c>
      <c r="L1131" s="2" t="n">
        <v>10095</v>
      </c>
      <c r="M1131" t="n">
        <v>-47.6</v>
      </c>
      <c r="N1131" t="inlineStr">
        <is>
          <t>20260306901559</t>
        </is>
      </c>
      <c r="O1131">
        <f>HYPERLINK("https://dart.fss.or.kr/dsaf001/main.do?rcpNo=20260306901559", "공시열람")</f>
        <v/>
      </c>
    </row>
    <row r="1132">
      <c r="A1132" t="inlineStr">
        <is>
          <t>2026-03-05</t>
        </is>
      </c>
      <c r="B1132" t="inlineStr">
        <is>
          <t>원익QnC</t>
        </is>
      </c>
      <c r="C1132" t="inlineStr">
        <is>
          <t>074600</t>
        </is>
      </c>
      <c r="D1132" t="inlineStr">
        <is>
          <t>연결</t>
        </is>
      </c>
      <c r="E1132" t="inlineStr">
        <is>
          <t>2025Q4</t>
        </is>
      </c>
      <c r="F1132" s="2" t="n">
        <v>249064</v>
      </c>
      <c r="G1132" t="n">
        <v>8.199999999999999</v>
      </c>
      <c r="H1132" t="n">
        <v>14.7</v>
      </c>
      <c r="I1132" s="2" t="n">
        <v>18385</v>
      </c>
      <c r="J1132" t="n">
        <v>129.8</v>
      </c>
      <c r="K1132" t="inlineStr"/>
      <c r="L1132" s="2" t="n">
        <v>-5394</v>
      </c>
      <c r="M1132" t="inlineStr"/>
      <c r="N1132" t="inlineStr">
        <is>
          <t>20260305901372</t>
        </is>
      </c>
      <c r="O1132">
        <f>HYPERLINK("https://dart.fss.or.kr/dsaf001/main.do?rcpNo=20260305901372", "공시열람")</f>
        <v/>
      </c>
    </row>
    <row r="1133">
      <c r="A1133" t="inlineStr">
        <is>
          <t>2026-03-05</t>
        </is>
      </c>
      <c r="B1133" t="inlineStr">
        <is>
          <t>코리안리</t>
        </is>
      </c>
      <c r="C1133" t="inlineStr">
        <is>
          <t>003690</t>
        </is>
      </c>
      <c r="D1133" t="inlineStr">
        <is>
          <t>별도</t>
        </is>
      </c>
      <c r="E1133" t="inlineStr">
        <is>
          <t>2025Q4</t>
        </is>
      </c>
      <c r="F1133" s="2" t="n">
        <v>1636487</v>
      </c>
      <c r="G1133" t="n">
        <v>14</v>
      </c>
      <c r="H1133" t="n">
        <v>-15.5</v>
      </c>
      <c r="I1133" s="2" t="n">
        <v>65144</v>
      </c>
      <c r="J1133" t="n">
        <v>-55</v>
      </c>
      <c r="K1133" t="n">
        <v>-26.9</v>
      </c>
      <c r="L1133" s="2" t="n">
        <v>45783</v>
      </c>
      <c r="M1133" t="n">
        <v>-27.8</v>
      </c>
      <c r="N1133" t="inlineStr">
        <is>
          <t>20260305800801</t>
        </is>
      </c>
      <c r="O1133">
        <f>HYPERLINK("https://dart.fss.or.kr/dsaf001/main.do?rcpNo=20260305800801", "공시열람")</f>
        <v/>
      </c>
    </row>
    <row r="1134">
      <c r="A1134" t="inlineStr">
        <is>
          <t>2026-03-05</t>
        </is>
      </c>
      <c r="B1134" t="inlineStr">
        <is>
          <t>성광벤드</t>
        </is>
      </c>
      <c r="C1134" t="inlineStr">
        <is>
          <t>014620</t>
        </is>
      </c>
      <c r="D1134" t="inlineStr">
        <is>
          <t>연결</t>
        </is>
      </c>
      <c r="E1134" t="inlineStr">
        <is>
          <t>2025Q4</t>
        </is>
      </c>
      <c r="F1134" s="2" t="n">
        <v>59301</v>
      </c>
      <c r="G1134" t="n">
        <v>-8.1</v>
      </c>
      <c r="H1134" t="n">
        <v>1.8</v>
      </c>
      <c r="I1134" s="2" t="n">
        <v>8710</v>
      </c>
      <c r="J1134" t="n">
        <v>-25.8</v>
      </c>
      <c r="K1134" t="n">
        <v>122.1</v>
      </c>
      <c r="L1134" s="2" t="n">
        <v>8013</v>
      </c>
      <c r="M1134" t="n">
        <v>7</v>
      </c>
      <c r="N1134" t="inlineStr">
        <is>
          <t>20260305900567</t>
        </is>
      </c>
      <c r="O1134">
        <f>HYPERLINK("https://dart.fss.or.kr/dsaf001/main.do?rcpNo=20260305900567", "공시열람")</f>
        <v/>
      </c>
    </row>
    <row r="1135">
      <c r="A1135" t="inlineStr">
        <is>
          <t>2026-03-04</t>
        </is>
      </c>
      <c r="B1135" t="inlineStr">
        <is>
          <t>롯데케미칼</t>
        </is>
      </c>
      <c r="C1135" t="inlineStr">
        <is>
          <t>011170</t>
        </is>
      </c>
      <c r="D1135" t="inlineStr">
        <is>
          <t>연결</t>
        </is>
      </c>
      <c r="E1135" t="inlineStr">
        <is>
          <t>2025Q4</t>
        </is>
      </c>
      <c r="F1135" s="2" t="n">
        <v>4709943</v>
      </c>
      <c r="G1135" t="n">
        <v>-1.6</v>
      </c>
      <c r="H1135" t="n">
        <v>-1.7</v>
      </c>
      <c r="I1135" s="2" t="n">
        <v>-433474</v>
      </c>
      <c r="J1135" t="n">
        <v>-227</v>
      </c>
      <c r="K1135" t="n">
        <v>-85.5</v>
      </c>
      <c r="L1135" s="2" t="n">
        <v>-1595035</v>
      </c>
      <c r="M1135" t="n">
        <v>-39.4</v>
      </c>
      <c r="N1135" t="inlineStr">
        <is>
          <t>20260304801617</t>
        </is>
      </c>
      <c r="O1135">
        <f>HYPERLINK("https://dart.fss.or.kr/dsaf001/main.do?rcpNo=20260304801617", "공시열람")</f>
        <v/>
      </c>
    </row>
    <row r="1136">
      <c r="A1136" t="inlineStr">
        <is>
          <t>2026-03-04</t>
        </is>
      </c>
      <c r="B1136" t="inlineStr">
        <is>
          <t>GS리테일</t>
        </is>
      </c>
      <c r="C1136" t="inlineStr">
        <is>
          <t>007070</t>
        </is>
      </c>
      <c r="D1136" t="inlineStr">
        <is>
          <t>연결</t>
        </is>
      </c>
      <c r="E1136" t="inlineStr">
        <is>
          <t>2025Q4</t>
        </is>
      </c>
      <c r="F1136" s="2" t="n">
        <v>3025972</v>
      </c>
      <c r="G1136" t="n">
        <v>-5.6</v>
      </c>
      <c r="H1136" t="n">
        <v>3.5</v>
      </c>
      <c r="I1136" s="2" t="n">
        <v>53320</v>
      </c>
      <c r="J1136" t="n">
        <v>-52</v>
      </c>
      <c r="K1136" t="n">
        <v>68.5</v>
      </c>
      <c r="L1136" s="2" t="n">
        <v>-59085</v>
      </c>
      <c r="M1136" t="n">
        <v>-98.40000000000001</v>
      </c>
      <c r="N1136" t="inlineStr">
        <is>
          <t>20260304801261</t>
        </is>
      </c>
      <c r="O1136">
        <f>HYPERLINK("https://dart.fss.or.kr/dsaf001/main.do?rcpNo=20260304801261", "공시열람")</f>
        <v/>
      </c>
    </row>
    <row r="1137">
      <c r="A1137" t="inlineStr">
        <is>
          <t>2026-03-04</t>
        </is>
      </c>
      <c r="B1137" t="inlineStr">
        <is>
          <t>파라다이스</t>
        </is>
      </c>
      <c r="C1137" t="inlineStr">
        <is>
          <t>034230</t>
        </is>
      </c>
      <c r="D1137" t="inlineStr">
        <is>
          <t>연결</t>
        </is>
      </c>
      <c r="E1137" t="inlineStr">
        <is>
          <t>2025Q4</t>
        </is>
      </c>
      <c r="F1137" s="2" t="inlineStr"/>
      <c r="G1137" t="inlineStr"/>
      <c r="H1137" t="inlineStr"/>
      <c r="I1137" s="2" t="inlineStr"/>
      <c r="J1137" t="inlineStr"/>
      <c r="K1137" t="inlineStr"/>
      <c r="L1137" s="2" t="inlineStr"/>
      <c r="M1137" t="inlineStr"/>
      <c r="N1137" t="inlineStr">
        <is>
          <t>20260304800954</t>
        </is>
      </c>
      <c r="O1137">
        <f>HYPERLINK("https://dart.fss.or.kr/dsaf001/main.do?rcpNo=20260304800954", "공시열람")</f>
        <v/>
      </c>
    </row>
    <row r="1138">
      <c r="A1138" t="inlineStr">
        <is>
          <t>2026-03-04</t>
        </is>
      </c>
      <c r="B1138" t="inlineStr">
        <is>
          <t>GKL</t>
        </is>
      </c>
      <c r="C1138" t="inlineStr">
        <is>
          <t>114090</t>
        </is>
      </c>
      <c r="D1138" t="inlineStr">
        <is>
          <t>별도</t>
        </is>
      </c>
      <c r="E1138" t="inlineStr">
        <is>
          <t>2025Q4</t>
        </is>
      </c>
      <c r="F1138" s="2" t="inlineStr"/>
      <c r="G1138" t="inlineStr"/>
      <c r="H1138" t="inlineStr"/>
      <c r="I1138" s="2" t="inlineStr"/>
      <c r="J1138" t="inlineStr"/>
      <c r="K1138" t="inlineStr"/>
      <c r="L1138" s="2" t="inlineStr"/>
      <c r="M1138" t="inlineStr"/>
      <c r="N1138" t="inlineStr">
        <is>
          <t>20260304800849</t>
        </is>
      </c>
      <c r="O1138">
        <f>HYPERLINK("https://dart.fss.or.kr/dsaf001/main.do?rcpNo=20260304800849", "공시열람")</f>
        <v/>
      </c>
    </row>
    <row r="1139">
      <c r="A1139" t="inlineStr">
        <is>
          <t>2026-03-04</t>
        </is>
      </c>
      <c r="B1139" t="inlineStr">
        <is>
          <t>에이치피오</t>
        </is>
      </c>
      <c r="C1139" t="inlineStr">
        <is>
          <t>357230</t>
        </is>
      </c>
      <c r="D1139" t="inlineStr">
        <is>
          <t>연결</t>
        </is>
      </c>
      <c r="E1139" t="inlineStr">
        <is>
          <t>2025Q4</t>
        </is>
      </c>
      <c r="F1139" s="2" t="n">
        <v>63425</v>
      </c>
      <c r="G1139" t="n">
        <v>-1.42</v>
      </c>
      <c r="H1139" t="n">
        <v>0.91</v>
      </c>
      <c r="I1139" s="2" t="n">
        <v>2008</v>
      </c>
      <c r="J1139" t="n">
        <v>-4.88</v>
      </c>
      <c r="K1139" t="inlineStr"/>
      <c r="L1139" s="2" t="n">
        <v>1008</v>
      </c>
      <c r="M1139" t="n">
        <v>136.5</v>
      </c>
      <c r="N1139" t="inlineStr">
        <is>
          <t>20260304900136</t>
        </is>
      </c>
      <c r="O1139">
        <f>HYPERLINK("https://dart.fss.or.kr/dsaf001/main.do?rcpNo=20260304900136", "공시열람")</f>
        <v/>
      </c>
    </row>
    <row r="1140">
      <c r="A1140" t="inlineStr">
        <is>
          <t>2026-03-03</t>
        </is>
      </c>
      <c r="B1140" t="inlineStr">
        <is>
          <t>다올투자증권</t>
        </is>
      </c>
      <c r="C1140" t="inlineStr">
        <is>
          <t>030210</t>
        </is>
      </c>
      <c r="D1140" t="inlineStr">
        <is>
          <t>연결</t>
        </is>
      </c>
      <c r="E1140" t="inlineStr">
        <is>
          <t>2025Q4</t>
        </is>
      </c>
      <c r="F1140" s="2" t="n">
        <v>473133</v>
      </c>
      <c r="G1140" t="n">
        <v>57.2</v>
      </c>
      <c r="H1140" t="n">
        <v>-4.67</v>
      </c>
      <c r="I1140" s="2" t="n">
        <v>-3378</v>
      </c>
      <c r="J1140" t="inlineStr"/>
      <c r="K1140" t="n">
        <v>92.48999999999999</v>
      </c>
      <c r="L1140" s="2" t="n">
        <v>2248</v>
      </c>
      <c r="M1140" t="inlineStr"/>
      <c r="N1140" t="inlineStr">
        <is>
          <t>20260303801347</t>
        </is>
      </c>
      <c r="O1140">
        <f>HYPERLINK("https://dart.fss.or.kr/dsaf001/main.do?rcpNo=20260303801347", "공시열람")</f>
        <v/>
      </c>
    </row>
    <row r="1141">
      <c r="A1141" t="inlineStr">
        <is>
          <t>2026-03-03</t>
        </is>
      </c>
      <c r="B1141" t="inlineStr">
        <is>
          <t>롯데관광개발</t>
        </is>
      </c>
      <c r="C1141" t="inlineStr">
        <is>
          <t>032350</t>
        </is>
      </c>
      <c r="D1141" t="inlineStr">
        <is>
          <t>연결</t>
        </is>
      </c>
      <c r="E1141" t="inlineStr">
        <is>
          <t>2025Q4</t>
        </is>
      </c>
      <c r="F1141" s="2" t="inlineStr"/>
      <c r="G1141" t="inlineStr"/>
      <c r="H1141" t="inlineStr"/>
      <c r="I1141" s="2" t="inlineStr"/>
      <c r="J1141" t="inlineStr"/>
      <c r="K1141" t="inlineStr"/>
      <c r="L1141" s="2" t="inlineStr"/>
      <c r="M1141" t="inlineStr"/>
      <c r="N1141" t="inlineStr">
        <is>
          <t>20260303801308</t>
        </is>
      </c>
      <c r="O1141">
        <f>HYPERLINK("https://dart.fss.or.kr/dsaf001/main.do?rcpNo=20260303801308", "공시열람")</f>
        <v/>
      </c>
    </row>
    <row r="1142">
      <c r="A1142" t="inlineStr">
        <is>
          <t>2026-03-03</t>
        </is>
      </c>
      <c r="B1142" t="inlineStr">
        <is>
          <t>기아</t>
        </is>
      </c>
      <c r="C1142" t="inlineStr">
        <is>
          <t>000270</t>
        </is>
      </c>
      <c r="D1142" t="inlineStr">
        <is>
          <t>별도</t>
        </is>
      </c>
      <c r="E1142" t="inlineStr">
        <is>
          <t>2025Q4</t>
        </is>
      </c>
      <c r="F1142" s="2" t="inlineStr"/>
      <c r="G1142" t="inlineStr"/>
      <c r="H1142" t="inlineStr"/>
      <c r="I1142" s="2" t="inlineStr"/>
      <c r="J1142" t="inlineStr"/>
      <c r="K1142" t="inlineStr"/>
      <c r="L1142" s="2" t="inlineStr"/>
      <c r="M1142" t="inlineStr"/>
      <c r="N1142" t="inlineStr">
        <is>
          <t>20260303800922</t>
        </is>
      </c>
      <c r="O1142">
        <f>HYPERLINK("https://dart.fss.or.kr/dsaf001/main.do?rcpNo=20260303800922", "공시열람")</f>
        <v/>
      </c>
    </row>
    <row r="1143">
      <c r="A1143" t="inlineStr">
        <is>
          <t>2026-03-03</t>
        </is>
      </c>
      <c r="B1143" t="inlineStr">
        <is>
          <t>KG모빌리티</t>
        </is>
      </c>
      <c r="C1143" t="inlineStr">
        <is>
          <t>003620</t>
        </is>
      </c>
      <c r="D1143" t="inlineStr">
        <is>
          <t>별도</t>
        </is>
      </c>
      <c r="E1143" t="inlineStr">
        <is>
          <t>2025Q4</t>
        </is>
      </c>
      <c r="F1143" s="2" t="inlineStr"/>
      <c r="G1143" t="inlineStr"/>
      <c r="H1143" t="inlineStr"/>
      <c r="I1143" s="2" t="inlineStr"/>
      <c r="J1143" t="inlineStr"/>
      <c r="K1143" t="inlineStr"/>
      <c r="L1143" s="2" t="inlineStr"/>
      <c r="M1143" t="inlineStr"/>
      <c r="N1143" t="inlineStr">
        <is>
          <t>20260303800597</t>
        </is>
      </c>
      <c r="O1143">
        <f>HYPERLINK("https://dart.fss.or.kr/dsaf001/main.do?rcpNo=20260303800597", "공시열람")</f>
        <v/>
      </c>
    </row>
    <row r="1144">
      <c r="A1144" t="inlineStr">
        <is>
          <t>2026-03-03</t>
        </is>
      </c>
      <c r="B1144" t="inlineStr">
        <is>
          <t>현대자동차</t>
        </is>
      </c>
      <c r="C1144" t="inlineStr">
        <is>
          <t>005380</t>
        </is>
      </c>
      <c r="D1144" t="inlineStr">
        <is>
          <t>별도</t>
        </is>
      </c>
      <c r="E1144" t="inlineStr">
        <is>
          <t>2025Q4</t>
        </is>
      </c>
      <c r="F1144" s="2" t="inlineStr"/>
      <c r="G1144" t="inlineStr"/>
      <c r="H1144" t="inlineStr"/>
      <c r="I1144" s="2" t="inlineStr"/>
      <c r="J1144" t="inlineStr"/>
      <c r="K1144" t="inlineStr"/>
      <c r="L1144" s="2" t="inlineStr"/>
      <c r="M1144" t="inlineStr"/>
      <c r="N1144" t="inlineStr">
        <is>
          <t>20260303800605</t>
        </is>
      </c>
      <c r="O1144">
        <f>HYPERLINK("https://dart.fss.or.kr/dsaf001/main.do?rcpNo=20260303800605", "공시열람")</f>
        <v/>
      </c>
    </row>
    <row r="1145">
      <c r="A1145" t="inlineStr">
        <is>
          <t>2026-03-03</t>
        </is>
      </c>
      <c r="B1145" t="inlineStr">
        <is>
          <t>덴티움</t>
        </is>
      </c>
      <c r="C1145" t="inlineStr">
        <is>
          <t>145720</t>
        </is>
      </c>
      <c r="D1145" t="inlineStr">
        <is>
          <t>연결</t>
        </is>
      </c>
      <c r="E1145" t="inlineStr">
        <is>
          <t>2025Q4</t>
        </is>
      </c>
      <c r="F1145" s="2" t="n">
        <v>109145</v>
      </c>
      <c r="G1145" t="n">
        <v>39.5</v>
      </c>
      <c r="H1145" t="n">
        <v>-8.1</v>
      </c>
      <c r="I1145" s="2" t="n">
        <v>26531</v>
      </c>
      <c r="J1145" t="n">
        <v>112.7</v>
      </c>
      <c r="K1145" t="n">
        <v>-2.5</v>
      </c>
      <c r="L1145" s="2" t="n">
        <v>-4646</v>
      </c>
      <c r="M1145" t="inlineStr"/>
      <c r="N1145" t="inlineStr">
        <is>
          <t>20260303800672</t>
        </is>
      </c>
      <c r="O1145">
        <f>HYPERLINK("https://dart.fss.or.kr/dsaf001/main.do?rcpNo=20260303800672", "공시열람")</f>
        <v/>
      </c>
    </row>
    <row r="1146">
      <c r="A1146" t="inlineStr">
        <is>
          <t>2026-03-03</t>
        </is>
      </c>
      <c r="B1146" t="inlineStr">
        <is>
          <t>아이쓰리시스템</t>
        </is>
      </c>
      <c r="C1146" t="inlineStr">
        <is>
          <t>214430</t>
        </is>
      </c>
      <c r="D1146" t="inlineStr">
        <is>
          <t>별도</t>
        </is>
      </c>
      <c r="E1146" t="inlineStr">
        <is>
          <t>2025Q4</t>
        </is>
      </c>
      <c r="F1146" s="2" t="n">
        <v>28475</v>
      </c>
      <c r="G1146" t="n">
        <v>-12.1</v>
      </c>
      <c r="H1146" t="n">
        <v>-4.9</v>
      </c>
      <c r="I1146" s="2" t="n">
        <v>3807</v>
      </c>
      <c r="J1146" t="n">
        <v>-9.699999999999999</v>
      </c>
      <c r="K1146" t="n">
        <v>2.3</v>
      </c>
      <c r="L1146" s="2" t="n">
        <v>5171</v>
      </c>
      <c r="M1146" t="n">
        <v>19.1</v>
      </c>
      <c r="N1146" t="inlineStr">
        <is>
          <t>20260303900538</t>
        </is>
      </c>
      <c r="O1146">
        <f>HYPERLINK("https://dart.fss.or.kr/dsaf001/main.do?rcpNo=20260303900538", "공시열람")</f>
        <v/>
      </c>
    </row>
    <row r="1147">
      <c r="A1147" t="inlineStr">
        <is>
          <t>2026-03-03</t>
        </is>
      </c>
      <c r="B1147" t="inlineStr">
        <is>
          <t>롯데에너지머티리얼즈</t>
        </is>
      </c>
      <c r="C1147" t="inlineStr">
        <is>
          <t>020150</t>
        </is>
      </c>
      <c r="D1147" t="inlineStr">
        <is>
          <t>연결</t>
        </is>
      </c>
      <c r="E1147" t="inlineStr">
        <is>
          <t>2025Q4</t>
        </is>
      </c>
      <c r="F1147" s="2" t="n">
        <v>170900</v>
      </c>
      <c r="G1147" t="n">
        <v>18.9</v>
      </c>
      <c r="H1147" t="n">
        <v>-8.300000000000001</v>
      </c>
      <c r="I1147" s="2" t="n">
        <v>-33800</v>
      </c>
      <c r="J1147" t="n">
        <v>1.4</v>
      </c>
      <c r="K1147" t="n">
        <v>15.6</v>
      </c>
      <c r="L1147" s="2" t="n">
        <v>-36400</v>
      </c>
      <c r="M1147" t="inlineStr"/>
      <c r="N1147" t="inlineStr">
        <is>
          <t>20260303800792</t>
        </is>
      </c>
      <c r="O1147">
        <f>HYPERLINK("https://dart.fss.or.kr/dsaf001/main.do?rcpNo=20260303800792", "공시열람")</f>
        <v/>
      </c>
    </row>
    <row r="1148">
      <c r="A1148" t="inlineStr">
        <is>
          <t>2026-02-27</t>
        </is>
      </c>
      <c r="B1148" t="inlineStr">
        <is>
          <t>토니모리</t>
        </is>
      </c>
      <c r="C1148" t="inlineStr">
        <is>
          <t>214420</t>
        </is>
      </c>
      <c r="D1148" t="inlineStr">
        <is>
          <t>연결</t>
        </is>
      </c>
      <c r="E1148" t="inlineStr">
        <is>
          <t>2025Q4</t>
        </is>
      </c>
      <c r="F1148" s="2" t="n">
        <v>52572</v>
      </c>
      <c r="G1148" t="n">
        <v>-6.6</v>
      </c>
      <c r="H1148" t="n">
        <v>21.9</v>
      </c>
      <c r="I1148" s="2" t="n">
        <v>441</v>
      </c>
      <c r="J1148" t="n">
        <v>-89.8</v>
      </c>
      <c r="K1148" t="n">
        <v>-29.7</v>
      </c>
      <c r="L1148" s="2" t="n">
        <v>3161</v>
      </c>
      <c r="M1148" t="n">
        <v>-70.2</v>
      </c>
      <c r="N1148" t="inlineStr">
        <is>
          <t>20260227801320</t>
        </is>
      </c>
      <c r="O1148">
        <f>HYPERLINK("https://dart.fss.or.kr/dsaf001/main.do?rcpNo=20260227801320", "공시열람")</f>
        <v/>
      </c>
    </row>
    <row r="1149">
      <c r="A1149" t="inlineStr">
        <is>
          <t>2026-02-27</t>
        </is>
      </c>
      <c r="B1149" t="inlineStr">
        <is>
          <t>에스엠</t>
        </is>
      </c>
      <c r="C1149" t="inlineStr">
        <is>
          <t>041510</t>
        </is>
      </c>
      <c r="D1149" t="inlineStr">
        <is>
          <t>연결</t>
        </is>
      </c>
      <c r="E1149" t="inlineStr">
        <is>
          <t>2025Q4</t>
        </is>
      </c>
      <c r="F1149" s="2" t="n">
        <v>319002</v>
      </c>
      <c r="G1149" t="n">
        <v>-0.8</v>
      </c>
      <c r="H1149" t="n">
        <v>16.6</v>
      </c>
      <c r="I1149" s="2" t="n">
        <v>54624</v>
      </c>
      <c r="J1149" t="n">
        <v>13.3</v>
      </c>
      <c r="K1149" t="n">
        <v>62.2</v>
      </c>
      <c r="L1149" s="2" t="n">
        <v>31078</v>
      </c>
      <c r="M1149" t="inlineStr"/>
      <c r="N1149" t="inlineStr">
        <is>
          <t>20260227901201</t>
        </is>
      </c>
      <c r="O1149">
        <f>HYPERLINK("https://dart.fss.or.kr/dsaf001/main.do?rcpNo=20260227901201", "공시열람")</f>
        <v/>
      </c>
    </row>
    <row r="1150">
      <c r="A1150" t="inlineStr">
        <is>
          <t>2026-02-27</t>
        </is>
      </c>
      <c r="B1150" t="inlineStr">
        <is>
          <t>코오롱인더</t>
        </is>
      </c>
      <c r="C1150" t="inlineStr">
        <is>
          <t>120110</t>
        </is>
      </c>
      <c r="D1150" t="inlineStr">
        <is>
          <t>연결</t>
        </is>
      </c>
      <c r="E1150" t="inlineStr">
        <is>
          <t>2025Q4</t>
        </is>
      </c>
      <c r="F1150" s="2" t="n">
        <v>1202697</v>
      </c>
      <c r="G1150" t="n">
        <v>1.87</v>
      </c>
      <c r="H1150" t="n">
        <v>-7.37</v>
      </c>
      <c r="I1150" s="2" t="n">
        <v>9761</v>
      </c>
      <c r="J1150" t="n">
        <v>-63.71</v>
      </c>
      <c r="K1150" t="n">
        <v>-72.72</v>
      </c>
      <c r="L1150" s="2" t="n">
        <v>-8263</v>
      </c>
      <c r="M1150" t="inlineStr"/>
      <c r="N1150" t="inlineStr">
        <is>
          <t>20260227801186</t>
        </is>
      </c>
      <c r="O1150">
        <f>HYPERLINK("https://dart.fss.or.kr/dsaf001/main.do?rcpNo=20260227801186", "공시열람")</f>
        <v/>
      </c>
    </row>
    <row r="1151">
      <c r="A1151" t="inlineStr">
        <is>
          <t>2026-02-27</t>
        </is>
      </c>
      <c r="B1151" t="inlineStr">
        <is>
          <t>에스엠</t>
        </is>
      </c>
      <c r="C1151" t="inlineStr">
        <is>
          <t>041510</t>
        </is>
      </c>
      <c r="D1151" t="inlineStr">
        <is>
          <t>별도</t>
        </is>
      </c>
      <c r="E1151" t="inlineStr">
        <is>
          <t>2025Q4</t>
        </is>
      </c>
      <c r="F1151" s="2" t="n">
        <v>202162</v>
      </c>
      <c r="G1151" t="n">
        <v>-10</v>
      </c>
      <c r="H1151" t="n">
        <v>12.1</v>
      </c>
      <c r="I1151" s="2" t="n">
        <v>39535</v>
      </c>
      <c r="J1151" t="n">
        <v>-1.7</v>
      </c>
      <c r="K1151" t="n">
        <v>10.2</v>
      </c>
      <c r="L1151" s="2" t="n">
        <v>30738</v>
      </c>
      <c r="M1151" t="n">
        <v>116.6</v>
      </c>
      <c r="N1151" t="inlineStr">
        <is>
          <t>20260227901152</t>
        </is>
      </c>
      <c r="O1151">
        <f>HYPERLINK("https://dart.fss.or.kr/dsaf001/main.do?rcpNo=20260227901152", "공시열람")</f>
        <v/>
      </c>
    </row>
    <row r="1152">
      <c r="A1152" t="inlineStr">
        <is>
          <t>2026-02-27</t>
        </is>
      </c>
      <c r="B1152" t="inlineStr">
        <is>
          <t>고스트스튜디오</t>
        </is>
      </c>
      <c r="C1152" t="inlineStr">
        <is>
          <t>950190</t>
        </is>
      </c>
      <c r="D1152" t="inlineStr">
        <is>
          <t>연결</t>
        </is>
      </c>
      <c r="E1152" t="inlineStr">
        <is>
          <t>2025Q4</t>
        </is>
      </c>
      <c r="F1152" s="2" t="n">
        <v>50929</v>
      </c>
      <c r="G1152" t="n">
        <v>143.6</v>
      </c>
      <c r="H1152" t="n">
        <v>153.8</v>
      </c>
      <c r="I1152" s="2" t="n">
        <v>2908</v>
      </c>
      <c r="J1152" t="n">
        <v>-31.8</v>
      </c>
      <c r="K1152" t="n">
        <v>112.7</v>
      </c>
      <c r="L1152" s="2" t="n">
        <v>-4325</v>
      </c>
      <c r="M1152" t="n">
        <v>33.7</v>
      </c>
      <c r="N1152" t="inlineStr">
        <is>
          <t>20260227900468</t>
        </is>
      </c>
      <c r="O1152">
        <f>HYPERLINK("https://dart.fss.or.kr/dsaf001/main.do?rcpNo=20260227900468", "공시열람")</f>
        <v/>
      </c>
    </row>
    <row r="1153">
      <c r="A1153" t="inlineStr">
        <is>
          <t>2026-02-27</t>
        </is>
      </c>
      <c r="B1153" t="inlineStr">
        <is>
          <t>미투온</t>
        </is>
      </c>
      <c r="C1153" t="inlineStr">
        <is>
          <t>201490</t>
        </is>
      </c>
      <c r="D1153" t="inlineStr">
        <is>
          <t>연결</t>
        </is>
      </c>
      <c r="E1153" t="inlineStr">
        <is>
          <t>2025Q4</t>
        </is>
      </c>
      <c r="F1153" s="2" t="n">
        <v>52665</v>
      </c>
      <c r="G1153" t="n">
        <v>131.8</v>
      </c>
      <c r="H1153" t="n">
        <v>137.4</v>
      </c>
      <c r="I1153" s="2" t="n">
        <v>2783</v>
      </c>
      <c r="J1153" t="n">
        <v>-16.5</v>
      </c>
      <c r="K1153" t="n">
        <v>540.1</v>
      </c>
      <c r="L1153" s="2" t="n">
        <v>-5968</v>
      </c>
      <c r="M1153" t="n">
        <v>25.3</v>
      </c>
      <c r="N1153" t="inlineStr">
        <is>
          <t>20260227900386</t>
        </is>
      </c>
      <c r="O1153">
        <f>HYPERLINK("https://dart.fss.or.kr/dsaf001/main.do?rcpNo=20260227900386", "공시열람")</f>
        <v/>
      </c>
    </row>
    <row r="1154">
      <c r="A1154" t="inlineStr">
        <is>
          <t>2026-02-27</t>
        </is>
      </c>
      <c r="B1154" t="inlineStr">
        <is>
          <t>일성건설</t>
        </is>
      </c>
      <c r="C1154" t="inlineStr">
        <is>
          <t>013360</t>
        </is>
      </c>
      <c r="D1154" t="inlineStr">
        <is>
          <t>연결</t>
        </is>
      </c>
      <c r="E1154" t="inlineStr">
        <is>
          <t>2025Q4</t>
        </is>
      </c>
      <c r="F1154" s="2" t="n">
        <v>112540</v>
      </c>
      <c r="G1154" t="n">
        <v>1.48</v>
      </c>
      <c r="H1154" t="n">
        <v>-3.21</v>
      </c>
      <c r="I1154" s="2" t="n">
        <v>1847</v>
      </c>
      <c r="J1154" t="n">
        <v>5.36</v>
      </c>
      <c r="K1154" t="inlineStr"/>
      <c r="L1154" s="2" t="n">
        <v>2440</v>
      </c>
      <c r="M1154" t="inlineStr"/>
      <c r="N1154" t="inlineStr">
        <is>
          <t>20260227802130</t>
        </is>
      </c>
      <c r="O1154">
        <f>HYPERLINK("https://dart.fss.or.kr/dsaf001/main.do?rcpNo=20260227802130", "공시열람")</f>
        <v/>
      </c>
    </row>
    <row r="1155">
      <c r="A1155" t="inlineStr">
        <is>
          <t>2026-02-26</t>
        </is>
      </c>
      <c r="B1155" t="inlineStr">
        <is>
          <t>한국쉘석유</t>
        </is>
      </c>
      <c r="C1155" t="inlineStr">
        <is>
          <t>002960</t>
        </is>
      </c>
      <c r="D1155" t="inlineStr">
        <is>
          <t>별도</t>
        </is>
      </c>
      <c r="E1155" t="inlineStr">
        <is>
          <t>2025Q4</t>
        </is>
      </c>
      <c r="F1155" s="2" t="n">
        <v>78372</v>
      </c>
      <c r="G1155" t="n">
        <v>-8.9</v>
      </c>
      <c r="H1155" t="n">
        <v>2.8</v>
      </c>
      <c r="I1155" s="2" t="n">
        <v>9533</v>
      </c>
      <c r="J1155" t="n">
        <v>-33.4</v>
      </c>
      <c r="K1155" t="n">
        <v>10.2</v>
      </c>
      <c r="L1155" s="2" t="n">
        <v>12118</v>
      </c>
      <c r="M1155" t="n">
        <v>162.4</v>
      </c>
      <c r="N1155" t="inlineStr">
        <is>
          <t>20260226800794</t>
        </is>
      </c>
      <c r="O1155">
        <f>HYPERLINK("https://dart.fss.or.kr/dsaf001/main.do?rcpNo=20260226800794", "공시열람")</f>
        <v/>
      </c>
    </row>
    <row r="1156">
      <c r="A1156" t="inlineStr">
        <is>
          <t>2026-02-26</t>
        </is>
      </c>
      <c r="B1156" t="inlineStr">
        <is>
          <t>실리콘투</t>
        </is>
      </c>
      <c r="C1156" t="inlineStr">
        <is>
          <t>257720</t>
        </is>
      </c>
      <c r="D1156" t="inlineStr">
        <is>
          <t>연결</t>
        </is>
      </c>
      <c r="E1156" t="inlineStr">
        <is>
          <t>2025Q4</t>
        </is>
      </c>
      <c r="F1156" s="2" t="n">
        <v>309254</v>
      </c>
      <c r="G1156" t="n">
        <v>3.3</v>
      </c>
      <c r="H1156" t="n">
        <v>78.2</v>
      </c>
      <c r="I1156" s="2" t="n">
        <v>42514</v>
      </c>
      <c r="J1156" t="n">
        <v>-32.6</v>
      </c>
      <c r="K1156" t="n">
        <v>59.9</v>
      </c>
      <c r="L1156" s="2" t="n">
        <v>44371</v>
      </c>
      <c r="M1156" t="n">
        <v>38.7</v>
      </c>
      <c r="N1156" t="inlineStr">
        <is>
          <t>20260226900511</t>
        </is>
      </c>
      <c r="O1156">
        <f>HYPERLINK("https://dart.fss.or.kr/dsaf001/main.do?rcpNo=20260226900511", "공시열람")</f>
        <v/>
      </c>
    </row>
    <row r="1157">
      <c r="A1157" t="inlineStr">
        <is>
          <t>2026-02-26</t>
        </is>
      </c>
      <c r="B1157" t="inlineStr">
        <is>
          <t>한국전력공사</t>
        </is>
      </c>
      <c r="C1157" t="inlineStr">
        <is>
          <t>015760</t>
        </is>
      </c>
      <c r="D1157" t="inlineStr">
        <is>
          <t>연결</t>
        </is>
      </c>
      <c r="E1157" t="inlineStr">
        <is>
          <t>2025Q4</t>
        </is>
      </c>
      <c r="F1157" s="2" t="n">
        <v>23687966</v>
      </c>
      <c r="G1157" t="n">
        <v>-14.1</v>
      </c>
      <c r="H1157" t="n">
        <v>0.7</v>
      </c>
      <c r="I1157" s="2" t="n">
        <v>1983378</v>
      </c>
      <c r="J1157" t="n">
        <v>-64.90000000000001</v>
      </c>
      <c r="K1157" t="n">
        <v>-18</v>
      </c>
      <c r="L1157" s="2" t="n">
        <v>1409160</v>
      </c>
      <c r="M1157" t="n">
        <v>36.6</v>
      </c>
      <c r="N1157" t="inlineStr">
        <is>
          <t>20260226800817</t>
        </is>
      </c>
      <c r="O1157">
        <f>HYPERLINK("https://dart.fss.or.kr/dsaf001/main.do?rcpNo=20260226800817", "공시열람")</f>
        <v/>
      </c>
    </row>
    <row r="1158">
      <c r="A1158" t="inlineStr">
        <is>
          <t>2026-02-26</t>
        </is>
      </c>
      <c r="B1158" t="inlineStr">
        <is>
          <t>한국가스공사</t>
        </is>
      </c>
      <c r="C1158" t="inlineStr">
        <is>
          <t>036460</t>
        </is>
      </c>
      <c r="D1158" t="inlineStr">
        <is>
          <t>연결</t>
        </is>
      </c>
      <c r="E1158" t="inlineStr">
        <is>
          <t>2025Q4</t>
        </is>
      </c>
      <c r="F1158" s="2" t="n">
        <v>8992359</v>
      </c>
      <c r="G1158" t="n">
        <v>41.1</v>
      </c>
      <c r="H1158" t="n">
        <v>-9.9</v>
      </c>
      <c r="I1158" s="2" t="n">
        <v>473591</v>
      </c>
      <c r="J1158" t="n">
        <v>21.7</v>
      </c>
      <c r="K1158" t="n">
        <v>-59.7</v>
      </c>
      <c r="L1158" s="2" t="n">
        <v>-406835</v>
      </c>
      <c r="M1158" t="inlineStr"/>
      <c r="N1158" t="inlineStr">
        <is>
          <t>20260226800912</t>
        </is>
      </c>
      <c r="O1158">
        <f>HYPERLINK("https://dart.fss.or.kr/dsaf001/main.do?rcpNo=20260226800912", "공시열람")</f>
        <v/>
      </c>
    </row>
    <row r="1159">
      <c r="A1159" t="inlineStr">
        <is>
          <t>2026-02-26</t>
        </is>
      </c>
      <c r="B1159" t="inlineStr">
        <is>
          <t>쿠쿠홈시스</t>
        </is>
      </c>
      <c r="C1159" t="inlineStr">
        <is>
          <t>284740</t>
        </is>
      </c>
      <c r="D1159" t="inlineStr">
        <is>
          <t>연결</t>
        </is>
      </c>
      <c r="E1159" t="inlineStr">
        <is>
          <t>2025Q4</t>
        </is>
      </c>
      <c r="F1159" s="2" t="n">
        <v>264926</v>
      </c>
      <c r="G1159" t="n">
        <v>-9.199999999999999</v>
      </c>
      <c r="H1159" t="n">
        <v>-10.9</v>
      </c>
      <c r="I1159" s="2" t="n">
        <v>65759</v>
      </c>
      <c r="J1159" t="n">
        <v>61.2</v>
      </c>
      <c r="K1159" t="n">
        <v>-16.3</v>
      </c>
      <c r="L1159" s="2" t="n">
        <v>60299</v>
      </c>
      <c r="M1159" t="n">
        <v>69.8</v>
      </c>
      <c r="N1159" t="inlineStr">
        <is>
          <t>20260226801582</t>
        </is>
      </c>
      <c r="O1159">
        <f>HYPERLINK("https://dart.fss.or.kr/dsaf001/main.do?rcpNo=20260226801582", "공시열람")</f>
        <v/>
      </c>
    </row>
    <row r="1160">
      <c r="A1160" t="inlineStr">
        <is>
          <t>2026-02-26</t>
        </is>
      </c>
      <c r="B1160" t="inlineStr">
        <is>
          <t>트리니티항공</t>
        </is>
      </c>
      <c r="C1160" t="inlineStr">
        <is>
          <t>091810</t>
        </is>
      </c>
      <c r="D1160" t="inlineStr">
        <is>
          <t>연결</t>
        </is>
      </c>
      <c r="E1160" t="inlineStr">
        <is>
          <t>2025Q4</t>
        </is>
      </c>
      <c r="F1160" s="2" t="n">
        <v>523937</v>
      </c>
      <c r="G1160" t="n">
        <v>16.5</v>
      </c>
      <c r="H1160" t="n">
        <v>33.3</v>
      </c>
      <c r="I1160" s="2" t="n">
        <v>-56170</v>
      </c>
      <c r="J1160" t="n">
        <v>41.2</v>
      </c>
      <c r="K1160" t="n">
        <v>7.8</v>
      </c>
      <c r="L1160" s="2" t="n">
        <v>-92010</v>
      </c>
      <c r="M1160" t="n">
        <v>-5.9</v>
      </c>
      <c r="N1160" t="inlineStr">
        <is>
          <t>20260226801669</t>
        </is>
      </c>
      <c r="O1160">
        <f>HYPERLINK("https://dart.fss.or.kr/dsaf001/main.do?rcpNo=20260226801669", "공시열람")</f>
        <v/>
      </c>
    </row>
    <row r="1161">
      <c r="A1161" t="inlineStr">
        <is>
          <t>2026-02-26</t>
        </is>
      </c>
      <c r="B1161" t="inlineStr">
        <is>
          <t>KG케미칼</t>
        </is>
      </c>
      <c r="C1161" t="inlineStr">
        <is>
          <t>001390</t>
        </is>
      </c>
      <c r="D1161" t="inlineStr">
        <is>
          <t>연결</t>
        </is>
      </c>
      <c r="E1161" t="inlineStr">
        <is>
          <t>2025Q4</t>
        </is>
      </c>
      <c r="F1161" s="2" t="n">
        <v>2300390</v>
      </c>
      <c r="G1161" t="n">
        <v>-6.59</v>
      </c>
      <c r="H1161" t="n">
        <v>5.86</v>
      </c>
      <c r="I1161" s="2" t="n">
        <v>40081</v>
      </c>
      <c r="J1161" t="n">
        <v>-55.57</v>
      </c>
      <c r="K1161" t="n">
        <v>-47.14</v>
      </c>
      <c r="L1161" s="2" t="n">
        <v>74385</v>
      </c>
      <c r="M1161" t="n">
        <v>3.16</v>
      </c>
      <c r="N1161" t="inlineStr">
        <is>
          <t>20260226801791</t>
        </is>
      </c>
      <c r="O1161">
        <f>HYPERLINK("https://dart.fss.or.kr/dsaf001/main.do?rcpNo=20260226801791", "공시열람")</f>
        <v/>
      </c>
    </row>
    <row r="1162">
      <c r="A1162" t="inlineStr">
        <is>
          <t>2026-02-26</t>
        </is>
      </c>
      <c r="B1162" t="inlineStr">
        <is>
          <t>플래티어</t>
        </is>
      </c>
      <c r="C1162" t="inlineStr">
        <is>
          <t>367000</t>
        </is>
      </c>
      <c r="D1162" t="inlineStr">
        <is>
          <t>연결</t>
        </is>
      </c>
      <c r="E1162" t="inlineStr">
        <is>
          <t>2025Q2</t>
        </is>
      </c>
      <c r="F1162" s="2" t="n">
        <v>12132</v>
      </c>
      <c r="G1162" t="n">
        <v>33.17</v>
      </c>
      <c r="H1162" t="n">
        <v>73.40000000000001</v>
      </c>
      <c r="I1162" s="2" t="n">
        <v>1630</v>
      </c>
      <c r="J1162" t="n">
        <v>171.23</v>
      </c>
      <c r="K1162" t="n">
        <v>234</v>
      </c>
      <c r="L1162" s="2" t="n">
        <v>1519</v>
      </c>
      <c r="M1162" t="n">
        <v>227</v>
      </c>
      <c r="N1162" t="inlineStr">
        <is>
          <t>20260226900450</t>
        </is>
      </c>
      <c r="O1162">
        <f>HYPERLINK("https://dart.fss.or.kr/dsaf001/main.do?rcpNo=20260226900450", "공시열람")</f>
        <v/>
      </c>
    </row>
    <row r="1163">
      <c r="A1163" t="inlineStr">
        <is>
          <t>2026-02-26</t>
        </is>
      </c>
      <c r="B1163" t="inlineStr">
        <is>
          <t>인바디</t>
        </is>
      </c>
      <c r="C1163" t="inlineStr">
        <is>
          <t>041830</t>
        </is>
      </c>
      <c r="D1163" t="inlineStr">
        <is>
          <t>연결</t>
        </is>
      </c>
      <c r="E1163" t="inlineStr">
        <is>
          <t>2025Q4</t>
        </is>
      </c>
      <c r="F1163" s="2" t="n">
        <v>62397</v>
      </c>
      <c r="G1163" t="n">
        <v>4.3</v>
      </c>
      <c r="H1163" t="n">
        <v>13.3</v>
      </c>
      <c r="I1163" s="2" t="n">
        <v>9522</v>
      </c>
      <c r="J1163" t="n">
        <v>-3.2</v>
      </c>
      <c r="K1163" t="n">
        <v>26.9</v>
      </c>
      <c r="L1163" s="2" t="n">
        <v>6354</v>
      </c>
      <c r="M1163" t="n">
        <v>-24.5</v>
      </c>
      <c r="N1163" t="inlineStr">
        <is>
          <t>20260226900579</t>
        </is>
      </c>
      <c r="O1163">
        <f>HYPERLINK("https://dart.fss.or.kr/dsaf001/main.do?rcpNo=20260226900579", "공시열람")</f>
        <v/>
      </c>
    </row>
    <row r="1164">
      <c r="A1164" t="inlineStr">
        <is>
          <t>2026-02-26</t>
        </is>
      </c>
      <c r="B1164" t="inlineStr">
        <is>
          <t>동진쎄미켐</t>
        </is>
      </c>
      <c r="C1164" t="inlineStr">
        <is>
          <t>005290</t>
        </is>
      </c>
      <c r="D1164" t="inlineStr">
        <is>
          <t>연결</t>
        </is>
      </c>
      <c r="E1164" t="inlineStr">
        <is>
          <t>2025Q4</t>
        </is>
      </c>
      <c r="F1164" s="2" t="n">
        <v>309227</v>
      </c>
      <c r="G1164" t="n">
        <v>3.1</v>
      </c>
      <c r="H1164" t="n">
        <v>6.9</v>
      </c>
      <c r="I1164" s="2" t="n">
        <v>41614</v>
      </c>
      <c r="J1164" t="n">
        <v>3.1</v>
      </c>
      <c r="K1164" t="n">
        <v>0.6</v>
      </c>
      <c r="L1164" s="2" t="n">
        <v>29320</v>
      </c>
      <c r="M1164" t="n">
        <v>-3.8</v>
      </c>
      <c r="N1164" t="inlineStr">
        <is>
          <t>20260226900456</t>
        </is>
      </c>
      <c r="O1164">
        <f>HYPERLINK("https://dart.fss.or.kr/dsaf001/main.do?rcpNo=20260226900456", "공시열람")</f>
        <v/>
      </c>
    </row>
    <row r="1165">
      <c r="A1165" t="inlineStr">
        <is>
          <t>2026-02-26</t>
        </is>
      </c>
      <c r="B1165" t="inlineStr">
        <is>
          <t>원익머트리얼즈</t>
        </is>
      </c>
      <c r="C1165" t="inlineStr">
        <is>
          <t>104830</t>
        </is>
      </c>
      <c r="D1165" t="inlineStr">
        <is>
          <t>연결</t>
        </is>
      </c>
      <c r="E1165" t="inlineStr">
        <is>
          <t>2025Q4</t>
        </is>
      </c>
      <c r="F1165" s="2" t="n">
        <v>86643</v>
      </c>
      <c r="G1165" t="n">
        <v>4.6</v>
      </c>
      <c r="H1165" t="n">
        <v>8.85</v>
      </c>
      <c r="I1165" s="2" t="n">
        <v>16270</v>
      </c>
      <c r="J1165" t="n">
        <v>14.95</v>
      </c>
      <c r="K1165" t="n">
        <v>29.18</v>
      </c>
      <c r="L1165" s="2" t="n">
        <v>14084</v>
      </c>
      <c r="M1165" t="inlineStr"/>
      <c r="N1165" t="inlineStr">
        <is>
          <t>20260226900649</t>
        </is>
      </c>
      <c r="O1165">
        <f>HYPERLINK("https://dart.fss.or.kr/dsaf001/main.do?rcpNo=20260226900649", "공시열람")</f>
        <v/>
      </c>
    </row>
    <row r="1166">
      <c r="A1166" t="inlineStr">
        <is>
          <t>2026-02-25</t>
        </is>
      </c>
      <c r="B1166" t="inlineStr">
        <is>
          <t>바이오노트</t>
        </is>
      </c>
      <c r="C1166" t="inlineStr">
        <is>
          <t>377740</t>
        </is>
      </c>
      <c r="D1166" t="inlineStr">
        <is>
          <t>연결</t>
        </is>
      </c>
      <c r="E1166" t="inlineStr">
        <is>
          <t>2025Q4</t>
        </is>
      </c>
      <c r="F1166" s="2" t="n">
        <v>27973</v>
      </c>
      <c r="G1166" t="n">
        <v>-5.18</v>
      </c>
      <c r="H1166" t="n">
        <v>13.05</v>
      </c>
      <c r="I1166" s="2" t="n">
        <v>840</v>
      </c>
      <c r="J1166" t="n">
        <v>-82.58</v>
      </c>
      <c r="K1166" t="n">
        <v>-66.97</v>
      </c>
      <c r="L1166" s="2" t="n">
        <v>-196900</v>
      </c>
      <c r="M1166" t="inlineStr"/>
      <c r="N1166" t="inlineStr">
        <is>
          <t>20260225801183</t>
        </is>
      </c>
      <c r="O1166">
        <f>HYPERLINK("https://dart.fss.or.kr/dsaf001/main.do?rcpNo=20260225801183", "공시열람")</f>
        <v/>
      </c>
    </row>
    <row r="1167">
      <c r="A1167" t="inlineStr">
        <is>
          <t>2026-02-25</t>
        </is>
      </c>
      <c r="B1167" t="inlineStr">
        <is>
          <t>메가스터디교육</t>
        </is>
      </c>
      <c r="C1167" t="inlineStr">
        <is>
          <t>215200</t>
        </is>
      </c>
      <c r="D1167" t="inlineStr">
        <is>
          <t>연결</t>
        </is>
      </c>
      <c r="E1167" t="inlineStr">
        <is>
          <t>2025Q4</t>
        </is>
      </c>
      <c r="F1167" s="2" t="n">
        <v>196575</v>
      </c>
      <c r="G1167" t="n">
        <v>-21.28</v>
      </c>
      <c r="H1167" t="n">
        <v>-11.62</v>
      </c>
      <c r="I1167" s="2" t="n">
        <v>8977</v>
      </c>
      <c r="J1167" t="n">
        <v>-83.12</v>
      </c>
      <c r="K1167" t="n">
        <v>-46.94</v>
      </c>
      <c r="L1167" s="2" t="n">
        <v>4262</v>
      </c>
      <c r="M1167" t="inlineStr"/>
      <c r="N1167" t="inlineStr">
        <is>
          <t>20260225900994</t>
        </is>
      </c>
      <c r="O1167">
        <f>HYPERLINK("https://dart.fss.or.kr/dsaf001/main.do?rcpNo=20260225900994", "공시열람")</f>
        <v/>
      </c>
    </row>
    <row r="1168">
      <c r="A1168" t="inlineStr">
        <is>
          <t>2026-02-25</t>
        </is>
      </c>
      <c r="B1168" t="inlineStr">
        <is>
          <t>원익IPS</t>
        </is>
      </c>
      <c r="C1168" t="inlineStr">
        <is>
          <t>240810</t>
        </is>
      </c>
      <c r="D1168" t="inlineStr">
        <is>
          <t>연결</t>
        </is>
      </c>
      <c r="E1168" t="inlineStr">
        <is>
          <t>2025Q4</t>
        </is>
      </c>
      <c r="F1168" s="2" t="n">
        <v>274991</v>
      </c>
      <c r="G1168" t="n">
        <v>2.44</v>
      </c>
      <c r="H1168" t="n">
        <v>-6.74</v>
      </c>
      <c r="I1168" s="2" t="n">
        <v>17205</v>
      </c>
      <c r="J1168" t="n">
        <v>-37.53</v>
      </c>
      <c r="K1168" t="n">
        <v>-33.78</v>
      </c>
      <c r="L1168" s="2" t="n">
        <v>32808</v>
      </c>
      <c r="M1168" t="n">
        <v>18.28</v>
      </c>
      <c r="N1168" t="inlineStr">
        <is>
          <t>20260225901290</t>
        </is>
      </c>
      <c r="O1168">
        <f>HYPERLINK("https://dart.fss.or.kr/dsaf001/main.do?rcpNo=20260225901290", "공시열람")</f>
        <v/>
      </c>
    </row>
    <row r="1169">
      <c r="A1169" t="inlineStr">
        <is>
          <t>2026-02-25</t>
        </is>
      </c>
      <c r="B1169" t="inlineStr">
        <is>
          <t>쏘카</t>
        </is>
      </c>
      <c r="C1169" t="inlineStr">
        <is>
          <t>403550</t>
        </is>
      </c>
      <c r="D1169" t="inlineStr">
        <is>
          <t>연결</t>
        </is>
      </c>
      <c r="E1169" t="inlineStr">
        <is>
          <t>2025Q4</t>
        </is>
      </c>
      <c r="F1169" s="2" t="n">
        <v>128724</v>
      </c>
      <c r="G1169" t="n">
        <v>15.1</v>
      </c>
      <c r="H1169" t="n">
        <v>5.1</v>
      </c>
      <c r="I1169" s="2" t="n">
        <v>13185</v>
      </c>
      <c r="J1169" t="n">
        <v>93.5</v>
      </c>
      <c r="K1169" t="n">
        <v>345</v>
      </c>
      <c r="L1169" s="2" t="n">
        <v>-14695</v>
      </c>
      <c r="M1169" t="n">
        <v>-282.7</v>
      </c>
      <c r="N1169" t="inlineStr">
        <is>
          <t>20260225800509</t>
        </is>
      </c>
      <c r="O1169">
        <f>HYPERLINK("https://dart.fss.or.kr/dsaf001/main.do?rcpNo=20260225800509", "공시열람")</f>
        <v/>
      </c>
    </row>
    <row r="1170">
      <c r="A1170" t="inlineStr">
        <is>
          <t>2026-02-25</t>
        </is>
      </c>
      <c r="B1170" t="inlineStr">
        <is>
          <t>씨젠</t>
        </is>
      </c>
      <c r="C1170" t="inlineStr">
        <is>
          <t>096530</t>
        </is>
      </c>
      <c r="D1170" t="inlineStr">
        <is>
          <t>연결</t>
        </is>
      </c>
      <c r="E1170" t="inlineStr">
        <is>
          <t>2025Q1</t>
        </is>
      </c>
      <c r="F1170" s="2" t="n">
        <v>130631</v>
      </c>
      <c r="G1170" t="n">
        <v>15</v>
      </c>
      <c r="H1170" t="n">
        <v>13.3</v>
      </c>
      <c r="I1170" s="2" t="n">
        <v>6949</v>
      </c>
      <c r="J1170" t="n">
        <v>-27.7</v>
      </c>
      <c r="K1170" t="inlineStr"/>
      <c r="L1170" s="2" t="n">
        <v>16563</v>
      </c>
      <c r="M1170" t="inlineStr"/>
      <c r="N1170" t="inlineStr">
        <is>
          <t>20260225900818</t>
        </is>
      </c>
      <c r="O1170">
        <f>HYPERLINK("https://dart.fss.or.kr/dsaf001/main.do?rcpNo=20260225900818", "공시열람")</f>
        <v/>
      </c>
    </row>
    <row r="1171">
      <c r="A1171" t="inlineStr">
        <is>
          <t>2026-02-25</t>
        </is>
      </c>
      <c r="B1171" t="inlineStr">
        <is>
          <t>지투파워</t>
        </is>
      </c>
      <c r="C1171" t="inlineStr">
        <is>
          <t>388050</t>
        </is>
      </c>
      <c r="D1171" t="inlineStr">
        <is>
          <t>연결</t>
        </is>
      </c>
      <c r="E1171" t="inlineStr">
        <is>
          <t>2025Q4</t>
        </is>
      </c>
      <c r="F1171" s="2" t="n">
        <v>37533</v>
      </c>
      <c r="G1171" t="n">
        <v>139.9</v>
      </c>
      <c r="H1171" t="n">
        <v>53.7</v>
      </c>
      <c r="I1171" s="2" t="n">
        <v>6299</v>
      </c>
      <c r="J1171" t="n">
        <v>181.6</v>
      </c>
      <c r="K1171" t="n">
        <v>181.3</v>
      </c>
      <c r="L1171" s="2" t="n">
        <v>3275</v>
      </c>
      <c r="M1171" t="n">
        <v>43.5</v>
      </c>
      <c r="N1171" t="inlineStr">
        <is>
          <t>20260225901419</t>
        </is>
      </c>
      <c r="O1171">
        <f>HYPERLINK("https://dart.fss.or.kr/dsaf001/main.do?rcpNo=20260225901419", "공시열람")</f>
        <v/>
      </c>
    </row>
    <row r="1172">
      <c r="A1172" t="inlineStr">
        <is>
          <t>2026-02-25</t>
        </is>
      </c>
      <c r="B1172" t="inlineStr">
        <is>
          <t>한국콜마</t>
        </is>
      </c>
      <c r="C1172" t="inlineStr">
        <is>
          <t>161890</t>
        </is>
      </c>
      <c r="D1172" t="inlineStr">
        <is>
          <t>연결</t>
        </is>
      </c>
      <c r="E1172" t="inlineStr">
        <is>
          <t>2025Q4</t>
        </is>
      </c>
      <c r="F1172" s="2" t="n">
        <v>655470</v>
      </c>
      <c r="G1172" t="n">
        <v>-4.03</v>
      </c>
      <c r="H1172" t="n">
        <v>11</v>
      </c>
      <c r="I1172" s="2" t="n">
        <v>47847</v>
      </c>
      <c r="J1172" t="n">
        <v>-17.97</v>
      </c>
      <c r="K1172" t="n">
        <v>36.16</v>
      </c>
      <c r="L1172" s="2" t="n">
        <v>60908</v>
      </c>
      <c r="M1172" t="n">
        <v>37.04</v>
      </c>
      <c r="N1172" t="inlineStr">
        <is>
          <t>20260225800394</t>
        </is>
      </c>
      <c r="O1172">
        <f>HYPERLINK("https://dart.fss.or.kr/dsaf001/main.do?rcpNo=20260225800394", "공시열람")</f>
        <v/>
      </c>
    </row>
    <row r="1173">
      <c r="A1173" t="inlineStr">
        <is>
          <t>2026-02-25</t>
        </is>
      </c>
      <c r="B1173" t="inlineStr">
        <is>
          <t>한국콜마</t>
        </is>
      </c>
      <c r="C1173" t="inlineStr">
        <is>
          <t>161890</t>
        </is>
      </c>
      <c r="D1173" t="inlineStr">
        <is>
          <t>별도</t>
        </is>
      </c>
      <c r="E1173" t="inlineStr">
        <is>
          <t>2025Q4</t>
        </is>
      </c>
      <c r="F1173" s="2" t="n">
        <v>268297</v>
      </c>
      <c r="G1173" t="n">
        <v>-16.67</v>
      </c>
      <c r="H1173" t="n">
        <v>11.22</v>
      </c>
      <c r="I1173" s="2" t="n">
        <v>22298</v>
      </c>
      <c r="J1173" t="n">
        <v>-49.68</v>
      </c>
      <c r="K1173" t="n">
        <v>23.53</v>
      </c>
      <c r="L1173" s="2" t="n">
        <v>19630</v>
      </c>
      <c r="M1173" t="n">
        <v>-44.58</v>
      </c>
      <c r="N1173" t="inlineStr">
        <is>
          <t>20260225800390</t>
        </is>
      </c>
      <c r="O1173">
        <f>HYPERLINK("https://dart.fss.or.kr/dsaf001/main.do?rcpNo=20260225800390", "공시열람")</f>
        <v/>
      </c>
    </row>
    <row r="1174">
      <c r="A1174" t="inlineStr">
        <is>
          <t>2026-02-25</t>
        </is>
      </c>
      <c r="B1174" t="inlineStr">
        <is>
          <t>태광</t>
        </is>
      </c>
      <c r="C1174" t="inlineStr">
        <is>
          <t>023160</t>
        </is>
      </c>
      <c r="D1174" t="inlineStr">
        <is>
          <t>별도</t>
        </is>
      </c>
      <c r="E1174" t="inlineStr">
        <is>
          <t>2025Q4</t>
        </is>
      </c>
      <c r="F1174" s="2" t="n">
        <v>71335</v>
      </c>
      <c r="G1174" t="n">
        <v>-2.2</v>
      </c>
      <c r="H1174" t="n">
        <v>26.7</v>
      </c>
      <c r="I1174" s="2" t="n">
        <v>12504</v>
      </c>
      <c r="J1174" t="n">
        <v>-0.3</v>
      </c>
      <c r="K1174" t="n">
        <v>29.6</v>
      </c>
      <c r="L1174" s="2" t="n">
        <v>16298</v>
      </c>
      <c r="M1174" t="n">
        <v>41.6</v>
      </c>
      <c r="N1174" t="inlineStr">
        <is>
          <t>20260225900312</t>
        </is>
      </c>
      <c r="O1174">
        <f>HYPERLINK("https://dart.fss.or.kr/dsaf001/main.do?rcpNo=20260225900312", "공시열람")</f>
        <v/>
      </c>
    </row>
    <row r="1175">
      <c r="A1175" t="inlineStr">
        <is>
          <t>2026-02-25</t>
        </is>
      </c>
      <c r="B1175" t="inlineStr">
        <is>
          <t>서울보증보험</t>
        </is>
      </c>
      <c r="C1175" t="inlineStr">
        <is>
          <t>031210</t>
        </is>
      </c>
      <c r="D1175" t="inlineStr">
        <is>
          <t>별도</t>
        </is>
      </c>
      <c r="E1175" t="inlineStr">
        <is>
          <t>2025Q4</t>
        </is>
      </c>
      <c r="F1175" s="2" t="n">
        <v>670061</v>
      </c>
      <c r="G1175" t="n">
        <v>3.1</v>
      </c>
      <c r="H1175" t="n">
        <v>-5</v>
      </c>
      <c r="I1175" s="2" t="n">
        <v>180666</v>
      </c>
      <c r="J1175" t="n">
        <v>125.7</v>
      </c>
      <c r="K1175" t="n">
        <v>65.5</v>
      </c>
      <c r="L1175" s="2" t="n">
        <v>118683</v>
      </c>
      <c r="M1175" t="n">
        <v>42.8</v>
      </c>
      <c r="N1175" t="inlineStr">
        <is>
          <t>20260225801467</t>
        </is>
      </c>
      <c r="O1175">
        <f>HYPERLINK("https://dart.fss.or.kr/dsaf001/main.do?rcpNo=20260225801467", "공시열람")</f>
        <v/>
      </c>
    </row>
    <row r="1176">
      <c r="A1176" t="inlineStr">
        <is>
          <t>2026-02-25</t>
        </is>
      </c>
      <c r="B1176" t="inlineStr">
        <is>
          <t>모베이스전자</t>
        </is>
      </c>
      <c r="C1176" t="inlineStr">
        <is>
          <t>012860</t>
        </is>
      </c>
      <c r="D1176" t="inlineStr">
        <is>
          <t>연결</t>
        </is>
      </c>
      <c r="E1176" t="inlineStr">
        <is>
          <t>2025Q4</t>
        </is>
      </c>
      <c r="F1176" s="2" t="n">
        <v>279233</v>
      </c>
      <c r="G1176" t="n">
        <v>17.97</v>
      </c>
      <c r="H1176" t="n">
        <v>0.46</v>
      </c>
      <c r="I1176" s="2" t="n">
        <v>10513</v>
      </c>
      <c r="J1176" t="n">
        <v>10.3</v>
      </c>
      <c r="K1176" t="n">
        <v>60.93</v>
      </c>
      <c r="L1176" s="2" t="n">
        <v>8888</v>
      </c>
      <c r="M1176" t="n">
        <v>72.06</v>
      </c>
      <c r="N1176" t="inlineStr">
        <is>
          <t>20260225900238</t>
        </is>
      </c>
      <c r="O1176">
        <f>HYPERLINK("https://dart.fss.or.kr/dsaf001/main.do?rcpNo=20260225900238", "공시열람")</f>
        <v/>
      </c>
    </row>
    <row r="1177">
      <c r="A1177" t="inlineStr">
        <is>
          <t>2026-02-25</t>
        </is>
      </c>
      <c r="B1177" t="inlineStr">
        <is>
          <t>카페24</t>
        </is>
      </c>
      <c r="C1177" t="inlineStr">
        <is>
          <t>042000</t>
        </is>
      </c>
      <c r="D1177" t="inlineStr">
        <is>
          <t>연결</t>
        </is>
      </c>
      <c r="E1177" t="inlineStr">
        <is>
          <t>2025Q4</t>
        </is>
      </c>
      <c r="F1177" s="2" t="n">
        <v>87320</v>
      </c>
      <c r="G1177" t="n">
        <v>13.7</v>
      </c>
      <c r="H1177" t="n">
        <v>0.2</v>
      </c>
      <c r="I1177" s="2" t="n">
        <v>12989</v>
      </c>
      <c r="J1177" t="n">
        <v>29.3</v>
      </c>
      <c r="K1177" t="n">
        <v>-0.1</v>
      </c>
      <c r="L1177" s="2" t="n">
        <v>13182</v>
      </c>
      <c r="M1177" t="n">
        <v>18.4</v>
      </c>
      <c r="N1177" t="inlineStr">
        <is>
          <t>20260225901551</t>
        </is>
      </c>
      <c r="O1177">
        <f>HYPERLINK("https://dart.fss.or.kr/dsaf001/main.do?rcpNo=20260225901551", "공시열람")</f>
        <v/>
      </c>
    </row>
    <row r="1178">
      <c r="A1178" t="inlineStr">
        <is>
          <t>2026-02-25</t>
        </is>
      </c>
      <c r="B1178" t="inlineStr">
        <is>
          <t>에코프로머티</t>
        </is>
      </c>
      <c r="C1178" t="inlineStr">
        <is>
          <t>450080</t>
        </is>
      </c>
      <c r="D1178" t="inlineStr">
        <is>
          <t>별도</t>
        </is>
      </c>
      <c r="E1178" t="inlineStr">
        <is>
          <t>2025Q4</t>
        </is>
      </c>
      <c r="F1178" s="2" t="n">
        <v>115203</v>
      </c>
      <c r="G1178" t="n">
        <v>82.40000000000001</v>
      </c>
      <c r="H1178" t="n">
        <v>30.8</v>
      </c>
      <c r="I1178" s="2" t="n">
        <v>3345</v>
      </c>
      <c r="J1178" t="inlineStr"/>
      <c r="K1178" t="inlineStr"/>
      <c r="L1178" s="2" t="n">
        <v>-91229</v>
      </c>
      <c r="M1178" t="n">
        <v>-1518.5</v>
      </c>
      <c r="N1178" t="inlineStr">
        <is>
          <t>20260225801569</t>
        </is>
      </c>
      <c r="O1178">
        <f>HYPERLINK("https://dart.fss.or.kr/dsaf001/main.do?rcpNo=20260225801569", "공시열람")</f>
        <v/>
      </c>
    </row>
    <row r="1179">
      <c r="A1179" t="inlineStr">
        <is>
          <t>2026-02-25</t>
        </is>
      </c>
      <c r="B1179" t="inlineStr">
        <is>
          <t>한화</t>
        </is>
      </c>
      <c r="C1179" t="inlineStr">
        <is>
          <t>000880</t>
        </is>
      </c>
      <c r="D1179" t="inlineStr">
        <is>
          <t>연결</t>
        </is>
      </c>
      <c r="E1179" t="inlineStr">
        <is>
          <t>2025Q4</t>
        </is>
      </c>
      <c r="F1179" s="2" t="n">
        <v>21113996</v>
      </c>
      <c r="G1179" t="n">
        <v>18.71</v>
      </c>
      <c r="H1179" t="n">
        <v>17.3</v>
      </c>
      <c r="I1179" s="2" t="n">
        <v>395272</v>
      </c>
      <c r="J1179" t="n">
        <v>-70.59</v>
      </c>
      <c r="K1179" t="n">
        <v>-64.91</v>
      </c>
      <c r="L1179" s="2" t="n">
        <v>231380</v>
      </c>
      <c r="M1179" t="n">
        <v>-86.28</v>
      </c>
      <c r="N1179" t="inlineStr">
        <is>
          <t>20260225801674</t>
        </is>
      </c>
      <c r="O1179">
        <f>HYPERLINK("https://dart.fss.or.kr/dsaf001/main.do?rcpNo=20260225801674", "공시열람")</f>
        <v/>
      </c>
    </row>
    <row r="1180">
      <c r="A1180" t="inlineStr">
        <is>
          <t>2026-02-25</t>
        </is>
      </c>
      <c r="B1180" t="inlineStr">
        <is>
          <t>롯데정밀화학</t>
        </is>
      </c>
      <c r="C1180" t="inlineStr">
        <is>
          <t>004000</t>
        </is>
      </c>
      <c r="D1180" t="inlineStr">
        <is>
          <t>연결</t>
        </is>
      </c>
      <c r="E1180" t="inlineStr">
        <is>
          <t>2025Q4</t>
        </is>
      </c>
      <c r="F1180" s="2" t="n">
        <v>439100</v>
      </c>
      <c r="G1180" t="n">
        <v>-1</v>
      </c>
      <c r="H1180" t="n">
        <v>2.4</v>
      </c>
      <c r="I1180" s="2" t="n">
        <v>19300</v>
      </c>
      <c r="J1180" t="n">
        <v>-30.1</v>
      </c>
      <c r="K1180" t="n">
        <v>58.2</v>
      </c>
      <c r="L1180" s="2" t="n">
        <v>27000</v>
      </c>
      <c r="M1180" t="inlineStr"/>
      <c r="N1180" t="inlineStr">
        <is>
          <t>20260225801727</t>
        </is>
      </c>
      <c r="O1180">
        <f>HYPERLINK("https://dart.fss.or.kr/dsaf001/main.do?rcpNo=20260225801727", "공시열람")</f>
        <v/>
      </c>
    </row>
    <row r="1181">
      <c r="A1181" t="inlineStr">
        <is>
          <t>2026-02-25</t>
        </is>
      </c>
      <c r="B1181" t="inlineStr">
        <is>
          <t>오리온</t>
        </is>
      </c>
      <c r="C1181" t="inlineStr">
        <is>
          <t>271560</t>
        </is>
      </c>
      <c r="D1181" t="inlineStr">
        <is>
          <t>연결</t>
        </is>
      </c>
      <c r="E1181" t="inlineStr">
        <is>
          <t>2025Q4</t>
        </is>
      </c>
      <c r="F1181" s="2" t="inlineStr"/>
      <c r="G1181" t="inlineStr"/>
      <c r="H1181" t="inlineStr"/>
      <c r="I1181" s="2" t="inlineStr"/>
      <c r="J1181" t="inlineStr"/>
      <c r="K1181" t="inlineStr"/>
      <c r="L1181" s="2" t="inlineStr"/>
      <c r="M1181" t="inlineStr"/>
      <c r="N1181" t="inlineStr">
        <is>
          <t>20260225800112</t>
        </is>
      </c>
      <c r="O1181">
        <f>HYPERLINK("https://dart.fss.or.kr/dsaf001/main.do?rcpNo=20260225800112", "공시열람")</f>
        <v/>
      </c>
    </row>
    <row r="1182">
      <c r="A1182" t="inlineStr">
        <is>
          <t>2026-02-25</t>
        </is>
      </c>
      <c r="B1182" t="inlineStr">
        <is>
          <t>태광</t>
        </is>
      </c>
      <c r="C1182" t="inlineStr">
        <is>
          <t>023160</t>
        </is>
      </c>
      <c r="D1182" t="inlineStr">
        <is>
          <t>연결</t>
        </is>
      </c>
      <c r="E1182" t="inlineStr">
        <is>
          <t>2025Q4</t>
        </is>
      </c>
      <c r="F1182" s="2" t="n">
        <v>80600</v>
      </c>
      <c r="G1182" t="n">
        <v>-1</v>
      </c>
      <c r="H1182" t="n">
        <v>21.8</v>
      </c>
      <c r="I1182" s="2" t="n">
        <v>12105</v>
      </c>
      <c r="J1182" t="n">
        <v>4.6</v>
      </c>
      <c r="K1182" t="n">
        <v>25.8</v>
      </c>
      <c r="L1182" s="2" t="n">
        <v>12165</v>
      </c>
      <c r="M1182" t="n">
        <v>0.3</v>
      </c>
      <c r="N1182" t="inlineStr">
        <is>
          <t>20260225900306</t>
        </is>
      </c>
      <c r="O1182">
        <f>HYPERLINK("https://dart.fss.or.kr/dsaf001/main.do?rcpNo=20260225900306", "공시열람")</f>
        <v/>
      </c>
    </row>
    <row r="1183">
      <c r="A1183" t="inlineStr">
        <is>
          <t>2026-02-24</t>
        </is>
      </c>
      <c r="B1183" t="inlineStr">
        <is>
          <t>KG에코솔루션</t>
        </is>
      </c>
      <c r="C1183" t="inlineStr">
        <is>
          <t>151860</t>
        </is>
      </c>
      <c r="D1183" t="inlineStr">
        <is>
          <t>연결</t>
        </is>
      </c>
      <c r="E1183" t="inlineStr">
        <is>
          <t>2025Q4</t>
        </is>
      </c>
      <c r="F1183" s="2" t="n">
        <v>1918829</v>
      </c>
      <c r="G1183" t="n">
        <v>-7.3</v>
      </c>
      <c r="H1183" t="n">
        <v>4.1</v>
      </c>
      <c r="I1183" s="2" t="n">
        <v>14075</v>
      </c>
      <c r="J1183" t="n">
        <v>-76.09999999999999</v>
      </c>
      <c r="K1183" t="n">
        <v>-77.3</v>
      </c>
      <c r="L1183" s="2" t="n">
        <v>60549</v>
      </c>
      <c r="M1183" t="n">
        <v>-0.8</v>
      </c>
      <c r="N1183" t="inlineStr">
        <is>
          <t>20260224901394</t>
        </is>
      </c>
      <c r="O1183">
        <f>HYPERLINK("https://dart.fss.or.kr/dsaf001/main.do?rcpNo=20260224901394", "공시열람")</f>
        <v/>
      </c>
    </row>
    <row r="1184">
      <c r="A1184" t="inlineStr">
        <is>
          <t>2026-02-24</t>
        </is>
      </c>
      <c r="B1184" t="inlineStr">
        <is>
          <t>현대위아</t>
        </is>
      </c>
      <c r="C1184" t="inlineStr">
        <is>
          <t>011210</t>
        </is>
      </c>
      <c r="D1184" t="inlineStr">
        <is>
          <t>연결</t>
        </is>
      </c>
      <c r="E1184" t="inlineStr">
        <is>
          <t>2025Q4</t>
        </is>
      </c>
      <c r="F1184" s="2" t="n">
        <v>2089337</v>
      </c>
      <c r="G1184" t="n">
        <v>-2.9</v>
      </c>
      <c r="H1184" t="n">
        <v>4.1</v>
      </c>
      <c r="I1184" s="2" t="n">
        <v>47686</v>
      </c>
      <c r="J1184" t="n">
        <v>-8</v>
      </c>
      <c r="K1184" t="n">
        <v>-12.8</v>
      </c>
      <c r="L1184" s="2" t="n">
        <v>9099</v>
      </c>
      <c r="M1184" t="n">
        <v>-84.40000000000001</v>
      </c>
      <c r="N1184" t="inlineStr">
        <is>
          <t>20260224801081</t>
        </is>
      </c>
      <c r="O1184">
        <f>HYPERLINK("https://dart.fss.or.kr/dsaf001/main.do?rcpNo=20260224801081", "공시열람")</f>
        <v/>
      </c>
    </row>
    <row r="1185">
      <c r="A1185" t="inlineStr">
        <is>
          <t>2026-02-24</t>
        </is>
      </c>
      <c r="B1185" t="inlineStr">
        <is>
          <t>모델솔루션</t>
        </is>
      </c>
      <c r="C1185" t="inlineStr">
        <is>
          <t>417970</t>
        </is>
      </c>
      <c r="D1185" t="inlineStr">
        <is>
          <t>연결</t>
        </is>
      </c>
      <c r="E1185" t="inlineStr">
        <is>
          <t>2025Q4</t>
        </is>
      </c>
      <c r="F1185" s="2" t="n">
        <v>21154</v>
      </c>
      <c r="G1185" t="n">
        <v>3.11</v>
      </c>
      <c r="H1185" t="n">
        <v>12.03</v>
      </c>
      <c r="I1185" s="2" t="n">
        <v>2613</v>
      </c>
      <c r="J1185" t="n">
        <v>-21.13</v>
      </c>
      <c r="K1185" t="n">
        <v>91.77</v>
      </c>
      <c r="L1185" s="2" t="n">
        <v>2100</v>
      </c>
      <c r="M1185" t="n">
        <v>8.449999999999999</v>
      </c>
      <c r="N1185" t="inlineStr">
        <is>
          <t>20260224900993</t>
        </is>
      </c>
      <c r="O1185">
        <f>HYPERLINK("https://dart.fss.or.kr/dsaf001/main.do?rcpNo=20260224900993", "공시열람")</f>
        <v/>
      </c>
    </row>
    <row r="1186">
      <c r="A1186" t="inlineStr">
        <is>
          <t>2026-02-24</t>
        </is>
      </c>
      <c r="B1186" t="inlineStr">
        <is>
          <t>KG에코솔루션</t>
        </is>
      </c>
      <c r="C1186" t="inlineStr">
        <is>
          <t>151860</t>
        </is>
      </c>
      <c r="D1186" t="inlineStr">
        <is>
          <t>별도</t>
        </is>
      </c>
      <c r="E1186" t="inlineStr">
        <is>
          <t>2025Q4</t>
        </is>
      </c>
      <c r="F1186" s="2" t="n">
        <v>29858</v>
      </c>
      <c r="G1186" t="n">
        <v>17.7</v>
      </c>
      <c r="H1186" t="n">
        <v>-33</v>
      </c>
      <c r="I1186" s="2" t="n">
        <v>-5365</v>
      </c>
      <c r="J1186" t="inlineStr"/>
      <c r="K1186" t="inlineStr"/>
      <c r="L1186" s="2" t="n">
        <v>-8818</v>
      </c>
      <c r="M1186" t="n">
        <v>15.4</v>
      </c>
      <c r="N1186" t="inlineStr">
        <is>
          <t>20260224900936</t>
        </is>
      </c>
      <c r="O1186">
        <f>HYPERLINK("https://dart.fss.or.kr/dsaf001/main.do?rcpNo=20260224900936", "공시열람")</f>
        <v/>
      </c>
    </row>
    <row r="1187">
      <c r="A1187" t="inlineStr">
        <is>
          <t>2026-02-24</t>
        </is>
      </c>
      <c r="B1187" t="inlineStr">
        <is>
          <t>HD현대중공업</t>
        </is>
      </c>
      <c r="C1187" t="inlineStr">
        <is>
          <t>329180</t>
        </is>
      </c>
      <c r="D1187" t="inlineStr">
        <is>
          <t>별도</t>
        </is>
      </c>
      <c r="E1187" t="inlineStr">
        <is>
          <t>2025Q4</t>
        </is>
      </c>
      <c r="F1187" s="2" t="n">
        <v>2103125</v>
      </c>
      <c r="G1187" t="n">
        <v>-3.14</v>
      </c>
      <c r="H1187" t="n">
        <v>74.20999999999999</v>
      </c>
      <c r="I1187" s="2" t="inlineStr"/>
      <c r="J1187" t="inlineStr"/>
      <c r="K1187" t="inlineStr"/>
      <c r="L1187" s="2" t="inlineStr"/>
      <c r="M1187" t="inlineStr"/>
      <c r="N1187" t="inlineStr">
        <is>
          <t>20260224800861</t>
        </is>
      </c>
      <c r="O1187">
        <f>HYPERLINK("https://dart.fss.or.kr/dsaf001/main.do?rcpNo=20260224800861", "공시열람")</f>
        <v/>
      </c>
    </row>
    <row r="1188">
      <c r="A1188" t="inlineStr">
        <is>
          <t>2026-02-24</t>
        </is>
      </c>
      <c r="B1188" t="inlineStr">
        <is>
          <t>HD한국조선해양</t>
        </is>
      </c>
      <c r="C1188" t="inlineStr">
        <is>
          <t>009540</t>
        </is>
      </c>
      <c r="D1188" t="inlineStr">
        <is>
          <t>별도</t>
        </is>
      </c>
      <c r="E1188" t="inlineStr">
        <is>
          <t>2025Q4</t>
        </is>
      </c>
      <c r="F1188" s="2" t="inlineStr"/>
      <c r="G1188" t="inlineStr"/>
      <c r="H1188" t="inlineStr"/>
      <c r="I1188" s="2" t="inlineStr"/>
      <c r="J1188" t="inlineStr"/>
      <c r="K1188" t="inlineStr"/>
      <c r="L1188" s="2" t="inlineStr"/>
      <c r="M1188" t="inlineStr"/>
      <c r="N1188" t="inlineStr">
        <is>
          <t>20260224800860</t>
        </is>
      </c>
      <c r="O1188">
        <f>HYPERLINK("https://dart.fss.or.kr/dsaf001/main.do?rcpNo=20260224800860", "공시열람")</f>
        <v/>
      </c>
    </row>
    <row r="1189">
      <c r="A1189" t="inlineStr">
        <is>
          <t>2026-02-24</t>
        </is>
      </c>
      <c r="B1189" t="inlineStr">
        <is>
          <t>HD한국조선해양</t>
        </is>
      </c>
      <c r="C1189" t="inlineStr">
        <is>
          <t>009540</t>
        </is>
      </c>
      <c r="D1189" t="inlineStr">
        <is>
          <t>별도</t>
        </is>
      </c>
      <c r="E1189" t="inlineStr">
        <is>
          <t>2025Q4</t>
        </is>
      </c>
      <c r="F1189" s="2" t="n">
        <v>803738</v>
      </c>
      <c r="G1189" t="n">
        <v>11.12</v>
      </c>
      <c r="H1189" t="n">
        <v>33.1</v>
      </c>
      <c r="I1189" s="2" t="inlineStr"/>
      <c r="J1189" t="inlineStr"/>
      <c r="K1189" t="inlineStr"/>
      <c r="L1189" s="2" t="inlineStr"/>
      <c r="M1189" t="inlineStr"/>
      <c r="N1189" t="inlineStr">
        <is>
          <t>20260224800852</t>
        </is>
      </c>
      <c r="O1189">
        <f>HYPERLINK("https://dart.fss.or.kr/dsaf001/main.do?rcpNo=20260224800852", "공시열람")</f>
        <v/>
      </c>
    </row>
    <row r="1190">
      <c r="A1190" t="inlineStr">
        <is>
          <t>2026-02-20</t>
        </is>
      </c>
      <c r="B1190" t="inlineStr">
        <is>
          <t>DB손해보험</t>
        </is>
      </c>
      <c r="C1190" t="inlineStr">
        <is>
          <t>005830</t>
        </is>
      </c>
      <c r="D1190" t="inlineStr">
        <is>
          <t>별도</t>
        </is>
      </c>
      <c r="E1190" t="inlineStr">
        <is>
          <t>2025Q4</t>
        </is>
      </c>
      <c r="F1190" s="2" t="n">
        <v>4875030</v>
      </c>
      <c r="G1190" t="n">
        <v>3.7</v>
      </c>
      <c r="H1190" t="n">
        <v>-5.3</v>
      </c>
      <c r="I1190" s="2" t="n">
        <v>451457</v>
      </c>
      <c r="J1190" t="n">
        <v>12</v>
      </c>
      <c r="K1190" t="n">
        <v>58.7</v>
      </c>
      <c r="L1190" s="2" t="n">
        <v>334969</v>
      </c>
      <c r="M1190" t="n">
        <v>72.40000000000001</v>
      </c>
      <c r="N1190" t="inlineStr">
        <is>
          <t>20260220800529</t>
        </is>
      </c>
      <c r="O1190">
        <f>HYPERLINK("https://dart.fss.or.kr/dsaf001/main.do?rcpNo=20260220800529", "공시열람")</f>
        <v/>
      </c>
    </row>
    <row r="1191">
      <c r="A1191" t="inlineStr">
        <is>
          <t>2026-02-20</t>
        </is>
      </c>
      <c r="B1191" t="inlineStr">
        <is>
          <t>삼성화재해상보험</t>
        </is>
      </c>
      <c r="C1191" t="inlineStr">
        <is>
          <t>000810</t>
        </is>
      </c>
      <c r="D1191" t="inlineStr">
        <is>
          <t>연결</t>
        </is>
      </c>
      <c r="E1191" t="inlineStr">
        <is>
          <t>2025Q4</t>
        </is>
      </c>
      <c r="F1191" s="2" t="n">
        <v>6082974</v>
      </c>
      <c r="G1191" t="n">
        <v>6.1</v>
      </c>
      <c r="H1191" t="n">
        <v>-3.4</v>
      </c>
      <c r="I1191" s="2" t="n">
        <v>391258</v>
      </c>
      <c r="J1191" t="n">
        <v>-41.1</v>
      </c>
      <c r="K1191" t="n">
        <v>54.8</v>
      </c>
      <c r="L1191" s="2" t="n">
        <v>234382</v>
      </c>
      <c r="M1191" t="n">
        <v>12.8</v>
      </c>
      <c r="N1191" t="inlineStr">
        <is>
          <t>20260220800022</t>
        </is>
      </c>
      <c r="O1191">
        <f>HYPERLINK("https://dart.fss.or.kr/dsaf001/main.do?rcpNo=20260220800022", "공시열람")</f>
        <v/>
      </c>
    </row>
    <row r="1192">
      <c r="A1192" t="inlineStr">
        <is>
          <t>2026-02-20</t>
        </is>
      </c>
      <c r="B1192" t="inlineStr">
        <is>
          <t>코어라인소프트</t>
        </is>
      </c>
      <c r="C1192" t="inlineStr">
        <is>
          <t>384470</t>
        </is>
      </c>
      <c r="D1192" t="inlineStr">
        <is>
          <t>연결</t>
        </is>
      </c>
      <c r="E1192" t="inlineStr">
        <is>
          <t>2025Q4</t>
        </is>
      </c>
      <c r="F1192" s="2" t="n">
        <v>1328</v>
      </c>
      <c r="G1192" t="n">
        <v>36.19</v>
      </c>
      <c r="H1192" t="n">
        <v>45.62</v>
      </c>
      <c r="I1192" s="2" t="n">
        <v>-2960</v>
      </c>
      <c r="J1192" t="n">
        <v>17.58</v>
      </c>
      <c r="K1192" t="n">
        <v>20.06</v>
      </c>
      <c r="L1192" s="2" t="n">
        <v>-3278</v>
      </c>
      <c r="M1192" t="n">
        <v>25.05</v>
      </c>
      <c r="N1192" t="inlineStr">
        <is>
          <t>20260220900396</t>
        </is>
      </c>
      <c r="O1192">
        <f>HYPERLINK("https://dart.fss.or.kr/dsaf001/main.do?rcpNo=20260220900396", "공시열람")</f>
        <v/>
      </c>
    </row>
    <row r="1193">
      <c r="A1193" t="inlineStr">
        <is>
          <t>2026-02-20</t>
        </is>
      </c>
      <c r="B1193" t="inlineStr">
        <is>
          <t>하이록코리아</t>
        </is>
      </c>
      <c r="C1193" t="inlineStr">
        <is>
          <t>013030</t>
        </is>
      </c>
      <c r="D1193" t="inlineStr">
        <is>
          <t>연결</t>
        </is>
      </c>
      <c r="E1193" t="inlineStr">
        <is>
          <t>2025Q4</t>
        </is>
      </c>
      <c r="F1193" s="2" t="n">
        <v>57352</v>
      </c>
      <c r="G1193" t="n">
        <v>6.5</v>
      </c>
      <c r="H1193" t="n">
        <v>16.2</v>
      </c>
      <c r="I1193" s="2" t="n">
        <v>15581</v>
      </c>
      <c r="J1193" t="n">
        <v>9.699999999999999</v>
      </c>
      <c r="K1193" t="n">
        <v>144.1</v>
      </c>
      <c r="L1193" s="2" t="n">
        <v>14359</v>
      </c>
      <c r="M1193" t="n">
        <v>35.9</v>
      </c>
      <c r="N1193" t="inlineStr">
        <is>
          <t>20260220900472</t>
        </is>
      </c>
      <c r="O1193">
        <f>HYPERLINK("https://dart.fss.or.kr/dsaf001/main.do?rcpNo=20260220900472", "공시열람")</f>
        <v/>
      </c>
    </row>
    <row r="1194">
      <c r="A1194" t="inlineStr">
        <is>
          <t>2026-02-20</t>
        </is>
      </c>
      <c r="B1194" t="inlineStr">
        <is>
          <t>지역난방공사</t>
        </is>
      </c>
      <c r="C1194" t="inlineStr">
        <is>
          <t>071320</t>
        </is>
      </c>
      <c r="D1194" t="inlineStr">
        <is>
          <t>별도</t>
        </is>
      </c>
      <c r="E1194" t="inlineStr">
        <is>
          <t>2025Q4</t>
        </is>
      </c>
      <c r="F1194" s="2" t="inlineStr"/>
      <c r="G1194" t="inlineStr"/>
      <c r="H1194" t="inlineStr"/>
      <c r="I1194" s="2" t="inlineStr"/>
      <c r="J1194" t="inlineStr"/>
      <c r="K1194" t="inlineStr"/>
      <c r="L1194" s="2" t="inlineStr"/>
      <c r="M1194" t="inlineStr"/>
      <c r="N1194" t="inlineStr">
        <is>
          <t>20260220800497</t>
        </is>
      </c>
      <c r="O1194">
        <f>HYPERLINK("https://dart.fss.or.kr/dsaf001/main.do?rcpNo=20260220800497", "공시열람")</f>
        <v/>
      </c>
    </row>
    <row r="1195">
      <c r="A1195" t="inlineStr">
        <is>
          <t>2026-02-20</t>
        </is>
      </c>
      <c r="B1195" t="inlineStr">
        <is>
          <t>제이에스코퍼레이션</t>
        </is>
      </c>
      <c r="C1195" t="inlineStr">
        <is>
          <t>194370</t>
        </is>
      </c>
      <c r="D1195" t="inlineStr">
        <is>
          <t>연결</t>
        </is>
      </c>
      <c r="E1195" t="inlineStr">
        <is>
          <t>2025Q4</t>
        </is>
      </c>
      <c r="F1195" s="2" t="n">
        <v>320394</v>
      </c>
      <c r="G1195" t="n">
        <v>-10.21</v>
      </c>
      <c r="H1195" t="n">
        <v>0.2</v>
      </c>
      <c r="I1195" s="2" t="n">
        <v>42945</v>
      </c>
      <c r="J1195" t="n">
        <v>4.47</v>
      </c>
      <c r="K1195" t="n">
        <v>29.86</v>
      </c>
      <c r="L1195" s="2" t="n">
        <v>22457</v>
      </c>
      <c r="M1195" t="inlineStr"/>
      <c r="N1195" t="inlineStr">
        <is>
          <t>20260220800498</t>
        </is>
      </c>
      <c r="O1195">
        <f>HYPERLINK("https://dart.fss.or.kr/dsaf001/main.do?rcpNo=20260220800498", "공시열람")</f>
        <v/>
      </c>
    </row>
    <row r="1196">
      <c r="A1196" t="inlineStr">
        <is>
          <t>2026-02-20</t>
        </is>
      </c>
      <c r="B1196" t="inlineStr">
        <is>
          <t>달바글로벌</t>
        </is>
      </c>
      <c r="C1196" t="inlineStr">
        <is>
          <t>483650</t>
        </is>
      </c>
      <c r="D1196" t="inlineStr">
        <is>
          <t>연결</t>
        </is>
      </c>
      <c r="E1196" t="inlineStr">
        <is>
          <t>2025Q4</t>
        </is>
      </c>
      <c r="F1196" s="2" t="n">
        <v>163526</v>
      </c>
      <c r="G1196" t="n">
        <v>43.2</v>
      </c>
      <c r="H1196" t="n">
        <v>71.5</v>
      </c>
      <c r="I1196" s="2" t="n">
        <v>25164</v>
      </c>
      <c r="J1196" t="n">
        <v>51.1</v>
      </c>
      <c r="K1196" t="n">
        <v>86.7</v>
      </c>
      <c r="L1196" s="2" t="n">
        <v>20469</v>
      </c>
      <c r="M1196" t="n">
        <v>57.6</v>
      </c>
      <c r="N1196" t="inlineStr">
        <is>
          <t>20260220800169</t>
        </is>
      </c>
      <c r="O1196">
        <f>HYPERLINK("https://dart.fss.or.kr/dsaf001/main.do?rcpNo=20260220800169", "공시열람")</f>
        <v/>
      </c>
    </row>
    <row r="1197">
      <c r="A1197" t="inlineStr">
        <is>
          <t>2026-02-20</t>
        </is>
      </c>
      <c r="B1197" t="inlineStr">
        <is>
          <t>코스메카코리아</t>
        </is>
      </c>
      <c r="C1197" t="inlineStr">
        <is>
          <t>241710</t>
        </is>
      </c>
      <c r="D1197" t="inlineStr">
        <is>
          <t>연결</t>
        </is>
      </c>
      <c r="E1197" t="inlineStr">
        <is>
          <t>2025Q4</t>
        </is>
      </c>
      <c r="F1197" s="2" t="n">
        <v>178105</v>
      </c>
      <c r="G1197" t="n">
        <v>-2.3</v>
      </c>
      <c r="H1197" t="n">
        <v>38.8</v>
      </c>
      <c r="I1197" s="2" t="n">
        <v>20868</v>
      </c>
      <c r="J1197" t="n">
        <v>-23.3</v>
      </c>
      <c r="K1197" t="n">
        <v>56.5</v>
      </c>
      <c r="L1197" s="2" t="n">
        <v>15145</v>
      </c>
      <c r="M1197" t="n">
        <v>-6.9</v>
      </c>
      <c r="N1197" t="inlineStr">
        <is>
          <t>20260220900631</t>
        </is>
      </c>
      <c r="O1197">
        <f>HYPERLINK("https://dart.fss.or.kr/dsaf001/main.do?rcpNo=20260220900631", "공시열람")</f>
        <v/>
      </c>
    </row>
    <row r="1198">
      <c r="A1198" t="inlineStr">
        <is>
          <t>2026-02-20</t>
        </is>
      </c>
      <c r="B1198" t="inlineStr">
        <is>
          <t>바디텍메드</t>
        </is>
      </c>
      <c r="C1198" t="inlineStr">
        <is>
          <t>206640</t>
        </is>
      </c>
      <c r="D1198" t="inlineStr">
        <is>
          <t>연결</t>
        </is>
      </c>
      <c r="E1198" t="inlineStr">
        <is>
          <t>2025Q4</t>
        </is>
      </c>
      <c r="F1198" s="2" t="n">
        <v>41491</v>
      </c>
      <c r="G1198" t="n">
        <v>3.87</v>
      </c>
      <c r="H1198" t="n">
        <v>32.88</v>
      </c>
      <c r="I1198" s="2" t="n">
        <v>5054</v>
      </c>
      <c r="J1198" t="n">
        <v>-23.48</v>
      </c>
      <c r="K1198" t="n">
        <v>134.05</v>
      </c>
      <c r="L1198" s="2" t="n">
        <v>1380</v>
      </c>
      <c r="M1198" t="n">
        <v>-71.44</v>
      </c>
      <c r="N1198" t="inlineStr">
        <is>
          <t>20260220901252</t>
        </is>
      </c>
      <c r="O1198">
        <f>HYPERLINK("https://dart.fss.or.kr/dsaf001/main.do?rcpNo=20260220901252", "공시열람")</f>
        <v/>
      </c>
    </row>
    <row r="1199">
      <c r="A1199" t="inlineStr">
        <is>
          <t>2026-02-20</t>
        </is>
      </c>
      <c r="B1199" t="inlineStr">
        <is>
          <t>잉글우드랩</t>
        </is>
      </c>
      <c r="C1199" t="inlineStr">
        <is>
          <t>950140</t>
        </is>
      </c>
      <c r="D1199" t="inlineStr">
        <is>
          <t>연결</t>
        </is>
      </c>
      <c r="E1199" t="inlineStr">
        <is>
          <t>2025Q4</t>
        </is>
      </c>
      <c r="F1199" s="2" t="n">
        <v>54521</v>
      </c>
      <c r="G1199" t="n">
        <v>-11.8</v>
      </c>
      <c r="H1199" t="n">
        <v>29.2</v>
      </c>
      <c r="I1199" s="2" t="n">
        <v>9294</v>
      </c>
      <c r="J1199" t="n">
        <v>-29.8</v>
      </c>
      <c r="K1199" t="n">
        <v>150.8</v>
      </c>
      <c r="L1199" s="2" t="n">
        <v>7494</v>
      </c>
      <c r="M1199" t="n">
        <v>-4.6</v>
      </c>
      <c r="N1199" t="inlineStr">
        <is>
          <t>20260220900619</t>
        </is>
      </c>
      <c r="O1199">
        <f>HYPERLINK("https://dart.fss.or.kr/dsaf001/main.do?rcpNo=20260220900619", "공시열람")</f>
        <v/>
      </c>
    </row>
    <row r="1200">
      <c r="A1200" t="inlineStr">
        <is>
          <t>2026-02-19</t>
        </is>
      </c>
      <c r="B1200" t="inlineStr">
        <is>
          <t>와이엠티</t>
        </is>
      </c>
      <c r="C1200" t="inlineStr">
        <is>
          <t>251370</t>
        </is>
      </c>
      <c r="D1200" t="inlineStr">
        <is>
          <t>별도</t>
        </is>
      </c>
      <c r="E1200" t="inlineStr">
        <is>
          <t>2025Q4</t>
        </is>
      </c>
      <c r="F1200" s="2" t="n">
        <v>86251</v>
      </c>
      <c r="G1200" t="n">
        <v>12.4</v>
      </c>
      <c r="H1200" t="inlineStr"/>
      <c r="I1200" s="2" t="n">
        <v>2996</v>
      </c>
      <c r="J1200" t="inlineStr"/>
      <c r="K1200" t="inlineStr"/>
      <c r="L1200" s="2" t="n">
        <v>-3595</v>
      </c>
      <c r="M1200" t="inlineStr"/>
      <c r="N1200" t="inlineStr">
        <is>
          <t>20260219900451</t>
        </is>
      </c>
      <c r="O1200">
        <f>HYPERLINK("https://dart.fss.or.kr/dsaf001/main.do?rcpNo=20260219900451", "공시열람")</f>
        <v/>
      </c>
    </row>
    <row r="1201">
      <c r="A1201" t="inlineStr">
        <is>
          <t>2026-02-19</t>
        </is>
      </c>
      <c r="B1201" t="inlineStr">
        <is>
          <t>바텍</t>
        </is>
      </c>
      <c r="C1201" t="inlineStr">
        <is>
          <t>043150</t>
        </is>
      </c>
      <c r="D1201" t="inlineStr">
        <is>
          <t>연결</t>
        </is>
      </c>
      <c r="E1201" t="inlineStr">
        <is>
          <t>2025Q4</t>
        </is>
      </c>
      <c r="F1201" s="2" t="n">
        <v>114368</v>
      </c>
      <c r="G1201" t="n">
        <v>14.2</v>
      </c>
      <c r="H1201" t="n">
        <v>12.4</v>
      </c>
      <c r="I1201" s="2" t="n">
        <v>12292</v>
      </c>
      <c r="J1201" t="n">
        <v>-0.9</v>
      </c>
      <c r="K1201" t="n">
        <v>19.5</v>
      </c>
      <c r="L1201" s="2" t="n">
        <v>6945</v>
      </c>
      <c r="M1201" t="n">
        <v>-55.7</v>
      </c>
      <c r="N1201" t="inlineStr">
        <is>
          <t>20260219900569</t>
        </is>
      </c>
      <c r="O1201">
        <f>HYPERLINK("https://dart.fss.or.kr/dsaf001/main.do?rcpNo=20260219900569", "공시열람")</f>
        <v/>
      </c>
    </row>
    <row r="1202">
      <c r="A1202" t="inlineStr">
        <is>
          <t>2026-02-19</t>
        </is>
      </c>
      <c r="B1202" t="inlineStr">
        <is>
          <t>아비코전자</t>
        </is>
      </c>
      <c r="C1202" t="inlineStr">
        <is>
          <t>036010</t>
        </is>
      </c>
      <c r="D1202" t="inlineStr">
        <is>
          <t>연결</t>
        </is>
      </c>
      <c r="E1202" t="inlineStr">
        <is>
          <t>2025Q4</t>
        </is>
      </c>
      <c r="F1202" s="2" t="n">
        <v>34151</v>
      </c>
      <c r="G1202" t="n">
        <v>-1.6</v>
      </c>
      <c r="H1202" t="n">
        <v>16.7</v>
      </c>
      <c r="I1202" s="2" t="n">
        <v>2116</v>
      </c>
      <c r="J1202" t="n">
        <v>-12.5</v>
      </c>
      <c r="K1202" t="inlineStr"/>
      <c r="L1202" s="2" t="n">
        <v>2372</v>
      </c>
      <c r="M1202" t="inlineStr"/>
      <c r="N1202" t="inlineStr">
        <is>
          <t>20260219900467</t>
        </is>
      </c>
      <c r="O1202">
        <f>HYPERLINK("https://dart.fss.or.kr/dsaf001/main.do?rcpNo=20260219900467", "공시열람")</f>
        <v/>
      </c>
    </row>
    <row r="1203">
      <c r="A1203" t="inlineStr">
        <is>
          <t>2026-02-19</t>
        </is>
      </c>
      <c r="B1203" t="inlineStr">
        <is>
          <t>제이에스코퍼레이션</t>
        </is>
      </c>
      <c r="C1203" t="inlineStr">
        <is>
          <t>194370</t>
        </is>
      </c>
      <c r="D1203" t="inlineStr">
        <is>
          <t>연결</t>
        </is>
      </c>
      <c r="E1203" t="inlineStr">
        <is>
          <t>2025Q4</t>
        </is>
      </c>
      <c r="F1203" s="2" t="n">
        <v>320394</v>
      </c>
      <c r="G1203" t="n">
        <v>-10.21</v>
      </c>
      <c r="H1203" t="n">
        <v>0.2</v>
      </c>
      <c r="I1203" s="2" t="n">
        <v>42945</v>
      </c>
      <c r="J1203" t="n">
        <v>4.47</v>
      </c>
      <c r="K1203" t="n">
        <v>29.86</v>
      </c>
      <c r="L1203" s="2" t="n">
        <v>22457</v>
      </c>
      <c r="M1203" t="inlineStr"/>
      <c r="N1203" t="inlineStr">
        <is>
          <t>20260219800685</t>
        </is>
      </c>
      <c r="O1203">
        <f>HYPERLINK("https://dart.fss.or.kr/dsaf001/main.do?rcpNo=20260219800685", "공시열람")</f>
        <v/>
      </c>
    </row>
    <row r="1204">
      <c r="A1204" t="inlineStr">
        <is>
          <t>2026-02-13</t>
        </is>
      </c>
      <c r="B1204" t="inlineStr">
        <is>
          <t>휴온스</t>
        </is>
      </c>
      <c r="C1204" t="inlineStr">
        <is>
          <t>243070</t>
        </is>
      </c>
      <c r="D1204" t="inlineStr">
        <is>
          <t>연결</t>
        </is>
      </c>
      <c r="E1204" t="inlineStr">
        <is>
          <t>2025Q4</t>
        </is>
      </c>
      <c r="F1204" s="2" t="n">
        <v>165185</v>
      </c>
      <c r="G1204" t="n">
        <v>7.5</v>
      </c>
      <c r="H1204" t="n">
        <v>12.7</v>
      </c>
      <c r="I1204" s="2" t="n">
        <v>9848</v>
      </c>
      <c r="J1204" t="n">
        <v>-0.3</v>
      </c>
      <c r="K1204" t="n">
        <v>-10.6</v>
      </c>
      <c r="L1204" s="2" t="n">
        <v>9220</v>
      </c>
      <c r="M1204" t="n">
        <v>135</v>
      </c>
      <c r="N1204" t="inlineStr">
        <is>
          <t>20260213901168</t>
        </is>
      </c>
      <c r="O1204">
        <f>HYPERLINK("https://dart.fss.or.kr/dsaf001/main.do?rcpNo=20260213901168", "공시열람")</f>
        <v/>
      </c>
    </row>
    <row r="1205">
      <c r="A1205" t="inlineStr">
        <is>
          <t>2026-02-13</t>
        </is>
      </c>
      <c r="B1205" t="inlineStr">
        <is>
          <t>씨앤씨인터내셔널</t>
        </is>
      </c>
      <c r="C1205" t="inlineStr">
        <is>
          <t>352480</t>
        </is>
      </c>
      <c r="D1205" t="inlineStr">
        <is>
          <t>연결</t>
        </is>
      </c>
      <c r="E1205" t="inlineStr">
        <is>
          <t>2025Q4</t>
        </is>
      </c>
      <c r="F1205" s="2" t="n">
        <v>73238</v>
      </c>
      <c r="G1205" t="n">
        <v>-2.8</v>
      </c>
      <c r="H1205" t="n">
        <v>30.1</v>
      </c>
      <c r="I1205" s="2" t="n">
        <v>1211</v>
      </c>
      <c r="J1205" t="n">
        <v>-82.40000000000001</v>
      </c>
      <c r="K1205" t="n">
        <v>4385.2</v>
      </c>
      <c r="L1205" s="2" t="n">
        <v>1494</v>
      </c>
      <c r="M1205" t="n">
        <v>-52.7</v>
      </c>
      <c r="N1205" t="inlineStr">
        <is>
          <t>20260213901974</t>
        </is>
      </c>
      <c r="O1205">
        <f>HYPERLINK("https://dart.fss.or.kr/dsaf001/main.do?rcpNo=20260213901974", "공시열람")</f>
        <v/>
      </c>
    </row>
    <row r="1206">
      <c r="A1206" t="inlineStr">
        <is>
          <t>2026-02-13</t>
        </is>
      </c>
      <c r="B1206" t="inlineStr">
        <is>
          <t>클리오</t>
        </is>
      </c>
      <c r="C1206" t="inlineStr">
        <is>
          <t>237880</t>
        </is>
      </c>
      <c r="D1206" t="inlineStr">
        <is>
          <t>연결</t>
        </is>
      </c>
      <c r="E1206" t="inlineStr">
        <is>
          <t>2025Q4</t>
        </is>
      </c>
      <c r="F1206" s="2" t="n">
        <v>80622</v>
      </c>
      <c r="G1206" t="n">
        <v>-3.8</v>
      </c>
      <c r="H1206" t="n">
        <v>3</v>
      </c>
      <c r="I1206" s="2" t="n">
        <v>7046</v>
      </c>
      <c r="J1206" t="n">
        <v>49.3</v>
      </c>
      <c r="K1206" t="n">
        <v>6310.3</v>
      </c>
      <c r="L1206" s="2" t="n">
        <v>3139</v>
      </c>
      <c r="M1206" t="n">
        <v>38.4</v>
      </c>
      <c r="N1206" t="inlineStr">
        <is>
          <t>20260213901799</t>
        </is>
      </c>
      <c r="O1206">
        <f>HYPERLINK("https://dart.fss.or.kr/dsaf001/main.do?rcpNo=20260213901799", "공시열람")</f>
        <v/>
      </c>
    </row>
    <row r="1207">
      <c r="A1207" t="inlineStr">
        <is>
          <t>2026-02-13</t>
        </is>
      </c>
      <c r="B1207" t="inlineStr">
        <is>
          <t>한화오션</t>
        </is>
      </c>
      <c r="C1207" t="inlineStr">
        <is>
          <t>042660</t>
        </is>
      </c>
      <c r="D1207" t="inlineStr">
        <is>
          <t>연결</t>
        </is>
      </c>
      <c r="E1207" t="inlineStr">
        <is>
          <t>2025Q4</t>
        </is>
      </c>
      <c r="F1207" s="2" t="n">
        <v>3322900</v>
      </c>
      <c r="G1207" t="n">
        <v>9.9</v>
      </c>
      <c r="H1207" t="n">
        <v>2.1</v>
      </c>
      <c r="I1207" s="2" t="n">
        <v>247500</v>
      </c>
      <c r="J1207" t="n">
        <v>-14.6</v>
      </c>
      <c r="K1207" t="n">
        <v>46.4</v>
      </c>
      <c r="L1207" s="2" t="n">
        <v>612300</v>
      </c>
      <c r="M1207" t="n">
        <v>5.7</v>
      </c>
      <c r="N1207" t="inlineStr">
        <is>
          <t>20260213801819</t>
        </is>
      </c>
      <c r="O1207">
        <f>HYPERLINK("https://dart.fss.or.kr/dsaf001/main.do?rcpNo=20260213801819", "공시열람")</f>
        <v/>
      </c>
    </row>
    <row r="1208">
      <c r="A1208" t="inlineStr">
        <is>
          <t>2026-02-13</t>
        </is>
      </c>
      <c r="B1208" t="inlineStr">
        <is>
          <t>흥국에프엔비</t>
        </is>
      </c>
      <c r="C1208" t="inlineStr">
        <is>
          <t>189980</t>
        </is>
      </c>
      <c r="D1208" t="inlineStr">
        <is>
          <t>연결</t>
        </is>
      </c>
      <c r="E1208" t="inlineStr">
        <is>
          <t>2025Q4</t>
        </is>
      </c>
      <c r="F1208" s="2" t="n">
        <v>21169</v>
      </c>
      <c r="G1208" t="n">
        <v>-25.92</v>
      </c>
      <c r="H1208" t="n">
        <v>-15.65</v>
      </c>
      <c r="I1208" s="2" t="n">
        <v>236</v>
      </c>
      <c r="J1208" t="n">
        <v>-92.23999999999999</v>
      </c>
      <c r="K1208" t="n">
        <v>-86.55</v>
      </c>
      <c r="L1208" s="2" t="n">
        <v>1873</v>
      </c>
      <c r="M1208" t="inlineStr"/>
      <c r="N1208" t="inlineStr">
        <is>
          <t>20260213901581</t>
        </is>
      </c>
      <c r="O1208">
        <f>HYPERLINK("https://dart.fss.or.kr/dsaf001/main.do?rcpNo=20260213901581", "공시열람")</f>
        <v/>
      </c>
    </row>
    <row r="1209">
      <c r="A1209" t="inlineStr">
        <is>
          <t>2026-02-13</t>
        </is>
      </c>
      <c r="B1209" t="inlineStr">
        <is>
          <t>펌텍코리아</t>
        </is>
      </c>
      <c r="C1209" t="inlineStr">
        <is>
          <t>251970</t>
        </is>
      </c>
      <c r="D1209" t="inlineStr">
        <is>
          <t>연결</t>
        </is>
      </c>
      <c r="E1209" t="inlineStr">
        <is>
          <t>2025Q4</t>
        </is>
      </c>
      <c r="F1209" s="2" t="n">
        <v>77133</v>
      </c>
      <c r="G1209" t="n">
        <v>-21</v>
      </c>
      <c r="H1209" t="n">
        <v>-14.2</v>
      </c>
      <c r="I1209" s="2" t="n">
        <v>8330</v>
      </c>
      <c r="J1209" t="n">
        <v>-45.6</v>
      </c>
      <c r="K1209" t="n">
        <v>-36</v>
      </c>
      <c r="L1209" s="2" t="n">
        <v>2339</v>
      </c>
      <c r="M1209" t="n">
        <v>-81.5</v>
      </c>
      <c r="N1209" t="inlineStr">
        <is>
          <t>20260213901293</t>
        </is>
      </c>
      <c r="O1209">
        <f>HYPERLINK("https://dart.fss.or.kr/dsaf001/main.do?rcpNo=20260213901293", "공시열람")</f>
        <v/>
      </c>
    </row>
    <row r="1210">
      <c r="A1210" t="inlineStr">
        <is>
          <t>2026-02-13</t>
        </is>
      </c>
      <c r="B1210" t="inlineStr">
        <is>
          <t>LIG디펜스앤에어로스페이스</t>
        </is>
      </c>
      <c r="C1210" t="inlineStr">
        <is>
          <t>079550</t>
        </is>
      </c>
      <c r="D1210" t="inlineStr">
        <is>
          <t>연결</t>
        </is>
      </c>
      <c r="E1210" t="inlineStr">
        <is>
          <t>2025Q4</t>
        </is>
      </c>
      <c r="F1210" s="2" t="n">
        <v>1404800</v>
      </c>
      <c r="G1210" t="n">
        <v>33.9</v>
      </c>
      <c r="H1210" t="n">
        <v>20.3</v>
      </c>
      <c r="I1210" s="2" t="n">
        <v>42100</v>
      </c>
      <c r="J1210" t="n">
        <v>-53</v>
      </c>
      <c r="K1210" t="n">
        <v>-23.8</v>
      </c>
      <c r="L1210" s="2" t="n">
        <v>-26000</v>
      </c>
      <c r="M1210" t="inlineStr"/>
      <c r="N1210" t="inlineStr">
        <is>
          <t>20260213800719</t>
        </is>
      </c>
      <c r="O1210">
        <f>HYPERLINK("https://dart.fss.or.kr/dsaf001/main.do?rcpNo=20260213800719", "공시열람")</f>
        <v/>
      </c>
    </row>
    <row r="1211">
      <c r="A1211" t="inlineStr">
        <is>
          <t>2026-02-13</t>
        </is>
      </c>
      <c r="B1211" t="inlineStr">
        <is>
          <t>더즌</t>
        </is>
      </c>
      <c r="C1211" t="inlineStr">
        <is>
          <t>462860</t>
        </is>
      </c>
      <c r="D1211" t="inlineStr">
        <is>
          <t>별도</t>
        </is>
      </c>
      <c r="E1211" t="inlineStr">
        <is>
          <t>2025Q4</t>
        </is>
      </c>
      <c r="F1211" s="2" t="n">
        <v>14875</v>
      </c>
      <c r="G1211" t="n">
        <v>-1.5</v>
      </c>
      <c r="H1211" t="n">
        <v>-5.6</v>
      </c>
      <c r="I1211" s="2" t="n">
        <v>4369</v>
      </c>
      <c r="J1211" t="n">
        <v>4.3</v>
      </c>
      <c r="K1211" t="n">
        <v>78.3</v>
      </c>
      <c r="L1211" s="2" t="n">
        <v>1976</v>
      </c>
      <c r="M1211" t="n">
        <v>-23.6</v>
      </c>
      <c r="N1211" t="inlineStr">
        <is>
          <t>20260213900870</t>
        </is>
      </c>
      <c r="O1211">
        <f>HYPERLINK("https://dart.fss.or.kr/dsaf001/main.do?rcpNo=20260213900870", "공시열람")</f>
        <v/>
      </c>
    </row>
    <row r="1212">
      <c r="A1212" t="inlineStr">
        <is>
          <t>2026-02-13</t>
        </is>
      </c>
      <c r="B1212" t="inlineStr">
        <is>
          <t>LB세미콘</t>
        </is>
      </c>
      <c r="C1212" t="inlineStr">
        <is>
          <t>061970</t>
        </is>
      </c>
      <c r="D1212" t="inlineStr">
        <is>
          <t>연결</t>
        </is>
      </c>
      <c r="E1212" t="inlineStr">
        <is>
          <t>2025Q4</t>
        </is>
      </c>
      <c r="F1212" s="2" t="n">
        <v>121731</v>
      </c>
      <c r="G1212" t="n">
        <v>-3</v>
      </c>
      <c r="H1212" t="n">
        <v>15.4</v>
      </c>
      <c r="I1212" s="2" t="n">
        <v>-26205</v>
      </c>
      <c r="J1212" t="n">
        <v>-317.3</v>
      </c>
      <c r="K1212" t="n">
        <v>-150.9</v>
      </c>
      <c r="L1212" s="2" t="n">
        <v>-126738</v>
      </c>
      <c r="M1212" t="n">
        <v>-930.6</v>
      </c>
      <c r="N1212" t="inlineStr">
        <is>
          <t>20260213900912</t>
        </is>
      </c>
      <c r="O1212">
        <f>HYPERLINK("https://dart.fss.or.kr/dsaf001/main.do?rcpNo=20260213900912", "공시열람")</f>
        <v/>
      </c>
    </row>
    <row r="1213">
      <c r="A1213" t="inlineStr">
        <is>
          <t>2026-02-13</t>
        </is>
      </c>
      <c r="B1213" t="inlineStr">
        <is>
          <t>우진아이엔에스</t>
        </is>
      </c>
      <c r="C1213" t="inlineStr">
        <is>
          <t>010400</t>
        </is>
      </c>
      <c r="D1213" t="inlineStr">
        <is>
          <t>별도</t>
        </is>
      </c>
      <c r="E1213" t="inlineStr">
        <is>
          <t>2025Q4</t>
        </is>
      </c>
      <c r="F1213" s="2" t="n">
        <v>42092</v>
      </c>
      <c r="G1213" t="n">
        <v>-17.56</v>
      </c>
      <c r="H1213" t="n">
        <v>17.06</v>
      </c>
      <c r="I1213" s="2" t="n">
        <v>-217</v>
      </c>
      <c r="J1213" t="inlineStr"/>
      <c r="K1213" t="n">
        <v>97.78</v>
      </c>
      <c r="L1213" s="2" t="n">
        <v>-864</v>
      </c>
      <c r="M1213" t="n">
        <v>94.79000000000001</v>
      </c>
      <c r="N1213" t="inlineStr">
        <is>
          <t>20260213800864</t>
        </is>
      </c>
      <c r="O1213">
        <f>HYPERLINK("https://dart.fss.or.kr/dsaf001/main.do?rcpNo=20260213800864", "공시열람")</f>
        <v/>
      </c>
    </row>
    <row r="1214">
      <c r="A1214" t="inlineStr">
        <is>
          <t>2026-02-13</t>
        </is>
      </c>
      <c r="B1214" t="inlineStr">
        <is>
          <t>티비에이치글로벌</t>
        </is>
      </c>
      <c r="C1214" t="inlineStr">
        <is>
          <t>084870</t>
        </is>
      </c>
      <c r="D1214" t="inlineStr">
        <is>
          <t>연결</t>
        </is>
      </c>
      <c r="E1214" t="inlineStr">
        <is>
          <t>2025Q4</t>
        </is>
      </c>
      <c r="F1214" s="2" t="n">
        <v>58615</v>
      </c>
      <c r="G1214" t="n">
        <v>65.09999999999999</v>
      </c>
      <c r="H1214" t="n">
        <v>4.4</v>
      </c>
      <c r="I1214" s="2" t="n">
        <v>3697</v>
      </c>
      <c r="J1214" t="inlineStr"/>
      <c r="K1214" t="n">
        <v>-1.3</v>
      </c>
      <c r="L1214" s="2" t="n">
        <v>3049</v>
      </c>
      <c r="M1214" t="n">
        <v>123.4</v>
      </c>
      <c r="N1214" t="inlineStr">
        <is>
          <t>20260213800803</t>
        </is>
      </c>
      <c r="O1214">
        <f>HYPERLINK("https://dart.fss.or.kr/dsaf001/main.do?rcpNo=20260213800803", "공시열람")</f>
        <v/>
      </c>
    </row>
    <row r="1215">
      <c r="A1215" t="inlineStr">
        <is>
          <t>2026-02-13</t>
        </is>
      </c>
      <c r="B1215" t="inlineStr">
        <is>
          <t>우진아이엔에스</t>
        </is>
      </c>
      <c r="C1215" t="inlineStr">
        <is>
          <t>010400</t>
        </is>
      </c>
      <c r="D1215" t="inlineStr">
        <is>
          <t>연결</t>
        </is>
      </c>
      <c r="E1215" t="inlineStr">
        <is>
          <t>2025Q4</t>
        </is>
      </c>
      <c r="F1215" s="2" t="n">
        <v>42092</v>
      </c>
      <c r="G1215" t="n">
        <v>-17.56</v>
      </c>
      <c r="H1215" t="n">
        <v>17.06</v>
      </c>
      <c r="I1215" s="2" t="n">
        <v>-219</v>
      </c>
      <c r="J1215" t="inlineStr"/>
      <c r="K1215" t="n">
        <v>97.76000000000001</v>
      </c>
      <c r="L1215" s="2" t="n">
        <v>-864</v>
      </c>
      <c r="M1215" t="n">
        <v>94.79000000000001</v>
      </c>
      <c r="N1215" t="inlineStr">
        <is>
          <t>20260213800731</t>
        </is>
      </c>
      <c r="O1215">
        <f>HYPERLINK("https://dart.fss.or.kr/dsaf001/main.do?rcpNo=20260213800731", "공시열람")</f>
        <v/>
      </c>
    </row>
    <row r="1216">
      <c r="A1216" t="inlineStr">
        <is>
          <t>2026-02-13</t>
        </is>
      </c>
      <c r="B1216" t="inlineStr">
        <is>
          <t>스톰테크</t>
        </is>
      </c>
      <c r="C1216" t="inlineStr">
        <is>
          <t>352090</t>
        </is>
      </c>
      <c r="D1216" t="inlineStr">
        <is>
          <t>연결</t>
        </is>
      </c>
      <c r="E1216" t="inlineStr">
        <is>
          <t>2025Q4</t>
        </is>
      </c>
      <c r="F1216" s="2" t="n">
        <v>15445</v>
      </c>
      <c r="G1216" t="n">
        <v>-18.65</v>
      </c>
      <c r="H1216" t="n">
        <v>-18.53</v>
      </c>
      <c r="I1216" s="2" t="n">
        <v>2255</v>
      </c>
      <c r="J1216" t="n">
        <v>-40.65</v>
      </c>
      <c r="K1216" t="n">
        <v>15.39</v>
      </c>
      <c r="L1216" s="2" t="n">
        <v>2406</v>
      </c>
      <c r="M1216" t="n">
        <v>-32.6</v>
      </c>
      <c r="N1216" t="inlineStr">
        <is>
          <t>20260213902014</t>
        </is>
      </c>
      <c r="O1216">
        <f>HYPERLINK("https://dart.fss.or.kr/dsaf001/main.do?rcpNo=20260213902014", "공시열람")</f>
        <v/>
      </c>
    </row>
    <row r="1217">
      <c r="A1217" t="inlineStr">
        <is>
          <t>2026-02-13</t>
        </is>
      </c>
      <c r="B1217" t="inlineStr">
        <is>
          <t>보령</t>
        </is>
      </c>
      <c r="C1217" t="inlineStr">
        <is>
          <t>003850</t>
        </is>
      </c>
      <c r="D1217" t="inlineStr">
        <is>
          <t>연결</t>
        </is>
      </c>
      <c r="E1217" t="inlineStr">
        <is>
          <t>2025Q4</t>
        </is>
      </c>
      <c r="F1217" s="2" t="n">
        <v>245348</v>
      </c>
      <c r="G1217" t="n">
        <v>-12.38</v>
      </c>
      <c r="H1217" t="n">
        <v>-4.5</v>
      </c>
      <c r="I1217" s="2" t="n">
        <v>-649</v>
      </c>
      <c r="J1217" t="inlineStr"/>
      <c r="K1217" t="inlineStr"/>
      <c r="L1217" s="2" t="n">
        <v>21091</v>
      </c>
      <c r="M1217" t="n">
        <v>59.37</v>
      </c>
      <c r="N1217" t="inlineStr">
        <is>
          <t>20260213800021</t>
        </is>
      </c>
      <c r="O1217">
        <f>HYPERLINK("https://dart.fss.or.kr/dsaf001/main.do?rcpNo=20260213800021", "공시열람")</f>
        <v/>
      </c>
    </row>
    <row r="1218">
      <c r="A1218" t="inlineStr">
        <is>
          <t>2026-02-13</t>
        </is>
      </c>
      <c r="B1218" t="inlineStr">
        <is>
          <t>스톰테크</t>
        </is>
      </c>
      <c r="C1218" t="inlineStr">
        <is>
          <t>352090</t>
        </is>
      </c>
      <c r="D1218" t="inlineStr">
        <is>
          <t>별도</t>
        </is>
      </c>
      <c r="E1218" t="inlineStr">
        <is>
          <t>2025Q4</t>
        </is>
      </c>
      <c r="F1218" s="2" t="n">
        <v>13980</v>
      </c>
      <c r="G1218" t="n">
        <v>-21.71</v>
      </c>
      <c r="H1218" t="n">
        <v>-7.84</v>
      </c>
      <c r="I1218" s="2" t="n">
        <v>2644</v>
      </c>
      <c r="J1218" t="n">
        <v>-38.45</v>
      </c>
      <c r="K1218" t="n">
        <v>-14.13</v>
      </c>
      <c r="L1218" s="2" t="n">
        <v>2929</v>
      </c>
      <c r="M1218" t="n">
        <v>-17.2</v>
      </c>
      <c r="N1218" t="inlineStr">
        <is>
          <t>20260213902013</t>
        </is>
      </c>
      <c r="O1218">
        <f>HYPERLINK("https://dart.fss.or.kr/dsaf001/main.do?rcpNo=20260213902013", "공시열람")</f>
        <v/>
      </c>
    </row>
    <row r="1219">
      <c r="A1219" t="inlineStr">
        <is>
          <t>2026-02-13</t>
        </is>
      </c>
      <c r="B1219" t="inlineStr">
        <is>
          <t>클래시스</t>
        </is>
      </c>
      <c r="C1219" t="inlineStr">
        <is>
          <t>214150</t>
        </is>
      </c>
      <c r="D1219" t="inlineStr">
        <is>
          <t>연결</t>
        </is>
      </c>
      <c r="E1219" t="inlineStr">
        <is>
          <t>2025Q4</t>
        </is>
      </c>
      <c r="F1219" s="2" t="n">
        <v>93425</v>
      </c>
      <c r="G1219" t="n">
        <v>12.6</v>
      </c>
      <c r="H1219" t="n">
        <v>25.6</v>
      </c>
      <c r="I1219" s="2" t="n">
        <v>51190</v>
      </c>
      <c r="J1219" t="n">
        <v>36.1</v>
      </c>
      <c r="K1219" t="n">
        <v>43</v>
      </c>
      <c r="L1219" s="2" t="n">
        <v>42665</v>
      </c>
      <c r="M1219" t="n">
        <v>50.3</v>
      </c>
      <c r="N1219" t="inlineStr">
        <is>
          <t>20260213900393</t>
        </is>
      </c>
      <c r="O1219">
        <f>HYPERLINK("https://dart.fss.or.kr/dsaf001/main.do?rcpNo=20260213900393", "공시열람")</f>
        <v/>
      </c>
    </row>
    <row r="1220">
      <c r="A1220" t="inlineStr">
        <is>
          <t>2026-02-13</t>
        </is>
      </c>
      <c r="B1220" t="inlineStr">
        <is>
          <t>엠씨넥스</t>
        </is>
      </c>
      <c r="C1220" t="inlineStr">
        <is>
          <t>097520</t>
        </is>
      </c>
      <c r="D1220" t="inlineStr">
        <is>
          <t>연결</t>
        </is>
      </c>
      <c r="E1220" t="inlineStr">
        <is>
          <t>2025Q4</t>
        </is>
      </c>
      <c r="F1220" s="2" t="n">
        <v>301360</v>
      </c>
      <c r="G1220" t="n">
        <v>-0.72</v>
      </c>
      <c r="H1220" t="n">
        <v>0.99</v>
      </c>
      <c r="I1220" s="2" t="n">
        <v>8219</v>
      </c>
      <c r="J1220" t="n">
        <v>22.53</v>
      </c>
      <c r="K1220" t="n">
        <v>-55.45</v>
      </c>
      <c r="L1220" s="2" t="n">
        <v>8899</v>
      </c>
      <c r="M1220" t="n">
        <v>-66.73</v>
      </c>
      <c r="N1220" t="inlineStr">
        <is>
          <t>20260213802029</t>
        </is>
      </c>
      <c r="O1220">
        <f>HYPERLINK("https://dart.fss.or.kr/dsaf001/main.do?rcpNo=20260213802029", "공시열람")</f>
        <v/>
      </c>
    </row>
    <row r="1221">
      <c r="A1221" t="inlineStr">
        <is>
          <t>2026-02-13</t>
        </is>
      </c>
      <c r="B1221" t="inlineStr">
        <is>
          <t>에이유브랜즈</t>
        </is>
      </c>
      <c r="C1221" t="inlineStr">
        <is>
          <t>481070</t>
        </is>
      </c>
      <c r="D1221" t="inlineStr">
        <is>
          <t>연결</t>
        </is>
      </c>
      <c r="E1221" t="inlineStr">
        <is>
          <t>2025Q4</t>
        </is>
      </c>
      <c r="F1221" s="2" t="n">
        <v>26610</v>
      </c>
      <c r="G1221" t="n">
        <v>123.3</v>
      </c>
      <c r="H1221" t="n">
        <v>75.3</v>
      </c>
      <c r="I1221" s="2" t="n">
        <v>5894</v>
      </c>
      <c r="J1221" t="n">
        <v>625</v>
      </c>
      <c r="K1221" t="n">
        <v>27</v>
      </c>
      <c r="L1221" s="2" t="n">
        <v>4645</v>
      </c>
      <c r="M1221" t="n">
        <v>22.9</v>
      </c>
      <c r="N1221" t="inlineStr">
        <is>
          <t>20260213900424</t>
        </is>
      </c>
      <c r="O1221">
        <f>HYPERLINK("https://dart.fss.or.kr/dsaf001/main.do?rcpNo=20260213900424", "공시열람")</f>
        <v/>
      </c>
    </row>
    <row r="1222">
      <c r="A1222" t="inlineStr">
        <is>
          <t>2026-02-12</t>
        </is>
      </c>
      <c r="B1222" t="inlineStr">
        <is>
          <t>KTcs</t>
        </is>
      </c>
      <c r="C1222" t="inlineStr">
        <is>
          <t>058850</t>
        </is>
      </c>
      <c r="D1222" t="inlineStr">
        <is>
          <t>별도</t>
        </is>
      </c>
      <c r="E1222" t="inlineStr">
        <is>
          <t>2025Q4</t>
        </is>
      </c>
      <c r="F1222" s="2" t="n">
        <v>168513</v>
      </c>
      <c r="G1222" t="n">
        <v>-5.3</v>
      </c>
      <c r="H1222" t="n">
        <v>7.2</v>
      </c>
      <c r="I1222" s="2" t="n">
        <v>-1978</v>
      </c>
      <c r="J1222" t="inlineStr"/>
      <c r="K1222" t="inlineStr"/>
      <c r="L1222" s="2" t="n">
        <v>-734</v>
      </c>
      <c r="M1222" t="inlineStr"/>
      <c r="N1222" t="inlineStr">
        <is>
          <t>20260212800654</t>
        </is>
      </c>
      <c r="O1222">
        <f>HYPERLINK("https://dart.fss.or.kr/dsaf001/main.do?rcpNo=20260212800654", "공시열람")</f>
        <v/>
      </c>
    </row>
    <row r="1223">
      <c r="A1223" t="inlineStr">
        <is>
          <t>2026-02-12</t>
        </is>
      </c>
      <c r="B1223" t="inlineStr">
        <is>
          <t>펄어비스</t>
        </is>
      </c>
      <c r="C1223" t="inlineStr">
        <is>
          <t>263750</t>
        </is>
      </c>
      <c r="D1223" t="inlineStr">
        <is>
          <t>연결</t>
        </is>
      </c>
      <c r="E1223" t="inlineStr">
        <is>
          <t>2025Q4</t>
        </is>
      </c>
      <c r="F1223" s="2" t="n">
        <v>95500</v>
      </c>
      <c r="G1223" t="n">
        <v>-10.6</v>
      </c>
      <c r="H1223" t="n">
        <v>-0.2</v>
      </c>
      <c r="I1223" s="2" t="n">
        <v>-8405</v>
      </c>
      <c r="J1223" t="inlineStr"/>
      <c r="K1223" t="inlineStr"/>
      <c r="L1223" s="2" t="n">
        <v>-14403</v>
      </c>
      <c r="M1223" t="inlineStr"/>
      <c r="N1223" t="inlineStr">
        <is>
          <t>20260212900001</t>
        </is>
      </c>
      <c r="O1223">
        <f>HYPERLINK("https://dart.fss.or.kr/dsaf001/main.do?rcpNo=20260212900001", "공시열람")</f>
        <v/>
      </c>
    </row>
    <row r="1224">
      <c r="A1224" t="inlineStr">
        <is>
          <t>2026-02-12</t>
        </is>
      </c>
      <c r="B1224" t="inlineStr">
        <is>
          <t>카카오</t>
        </is>
      </c>
      <c r="C1224" t="inlineStr">
        <is>
          <t>035720</t>
        </is>
      </c>
      <c r="D1224" t="inlineStr">
        <is>
          <t>별도</t>
        </is>
      </c>
      <c r="E1224" t="inlineStr">
        <is>
          <t>2025Q4</t>
        </is>
      </c>
      <c r="F1224" s="2" t="n">
        <v>726068</v>
      </c>
      <c r="G1224" t="n">
        <v>13.7</v>
      </c>
      <c r="H1224" t="n">
        <v>5</v>
      </c>
      <c r="I1224" s="2" t="n">
        <v>127942</v>
      </c>
      <c r="J1224" t="n">
        <v>27.3</v>
      </c>
      <c r="K1224" t="n">
        <v>4.4</v>
      </c>
      <c r="L1224" s="2" t="n">
        <v>71804</v>
      </c>
      <c r="M1224" t="inlineStr"/>
      <c r="N1224" t="inlineStr">
        <is>
          <t>20260212800005</t>
        </is>
      </c>
      <c r="O1224">
        <f>HYPERLINK("https://dart.fss.or.kr/dsaf001/main.do?rcpNo=20260212800005", "공시열람")</f>
        <v/>
      </c>
    </row>
    <row r="1225">
      <c r="A1225" t="inlineStr">
        <is>
          <t>2026-02-12</t>
        </is>
      </c>
      <c r="B1225" t="inlineStr">
        <is>
          <t>카카오</t>
        </is>
      </c>
      <c r="C1225" t="inlineStr">
        <is>
          <t>035720</t>
        </is>
      </c>
      <c r="D1225" t="inlineStr">
        <is>
          <t>연결</t>
        </is>
      </c>
      <c r="E1225" t="inlineStr">
        <is>
          <t>2025Q4</t>
        </is>
      </c>
      <c r="F1225" s="2" t="n">
        <v>2133199</v>
      </c>
      <c r="G1225" t="n">
        <v>2.2</v>
      </c>
      <c r="H1225" t="n">
        <v>9</v>
      </c>
      <c r="I1225" s="2" t="n">
        <v>203445</v>
      </c>
      <c r="J1225" t="n">
        <v>-2.2</v>
      </c>
      <c r="K1225" t="n">
        <v>169.7</v>
      </c>
      <c r="L1225" s="2" t="n">
        <v>-39297</v>
      </c>
      <c r="M1225" t="n">
        <v>90.09999999999999</v>
      </c>
      <c r="N1225" t="inlineStr">
        <is>
          <t>20260212800004</t>
        </is>
      </c>
      <c r="O1225">
        <f>HYPERLINK("https://dart.fss.or.kr/dsaf001/main.do?rcpNo=20260212800004", "공시열람")</f>
        <v/>
      </c>
    </row>
    <row r="1226">
      <c r="A1226" t="inlineStr">
        <is>
          <t>2026-02-12</t>
        </is>
      </c>
      <c r="B1226" t="inlineStr">
        <is>
          <t>더블유게임즈</t>
        </is>
      </c>
      <c r="C1226" t="inlineStr">
        <is>
          <t>192080</t>
        </is>
      </c>
      <c r="D1226" t="inlineStr">
        <is>
          <t>연결</t>
        </is>
      </c>
      <c r="E1226" t="inlineStr">
        <is>
          <t>2025Q4</t>
        </is>
      </c>
      <c r="F1226" s="2" t="n">
        <v>199818</v>
      </c>
      <c r="G1226" t="n">
        <v>7.3</v>
      </c>
      <c r="H1226" t="n">
        <v>28.3</v>
      </c>
      <c r="I1226" s="2" t="n">
        <v>63910</v>
      </c>
      <c r="J1226" t="n">
        <v>8</v>
      </c>
      <c r="K1226" t="n">
        <v>5.6</v>
      </c>
      <c r="L1226" s="2" t="n">
        <v>44627</v>
      </c>
      <c r="M1226" t="n">
        <v>-42.7</v>
      </c>
      <c r="N1226" t="inlineStr">
        <is>
          <t>20260212800009</t>
        </is>
      </c>
      <c r="O1226">
        <f>HYPERLINK("https://dart.fss.or.kr/dsaf001/main.do?rcpNo=20260212800009", "공시열람")</f>
        <v/>
      </c>
    </row>
    <row r="1227">
      <c r="A1227" t="inlineStr">
        <is>
          <t>2026-02-12</t>
        </is>
      </c>
      <c r="B1227" t="inlineStr">
        <is>
          <t>더블유게임즈</t>
        </is>
      </c>
      <c r="C1227" t="inlineStr">
        <is>
          <t>192080</t>
        </is>
      </c>
      <c r="D1227" t="inlineStr">
        <is>
          <t>별도</t>
        </is>
      </c>
      <c r="E1227" t="inlineStr">
        <is>
          <t>2025Q4</t>
        </is>
      </c>
      <c r="F1227" s="2" t="n">
        <v>44502</v>
      </c>
      <c r="G1227" t="n">
        <v>2.8</v>
      </c>
      <c r="H1227" t="n">
        <v>0.3</v>
      </c>
      <c r="I1227" s="2" t="n">
        <v>11494</v>
      </c>
      <c r="J1227" t="n">
        <v>-18.7</v>
      </c>
      <c r="K1227" t="n">
        <v>-12.8</v>
      </c>
      <c r="L1227" s="2" t="n">
        <v>10817</v>
      </c>
      <c r="M1227" t="n">
        <v>-55.4</v>
      </c>
      <c r="N1227" t="inlineStr">
        <is>
          <t>20260212800011</t>
        </is>
      </c>
      <c r="O1227">
        <f>HYPERLINK("https://dart.fss.or.kr/dsaf001/main.do?rcpNo=20260212800011", "공시열람")</f>
        <v/>
      </c>
    </row>
    <row r="1228">
      <c r="A1228" t="inlineStr">
        <is>
          <t>2026-02-12</t>
        </is>
      </c>
      <c r="B1228" t="inlineStr">
        <is>
          <t>컴투스</t>
        </is>
      </c>
      <c r="C1228" t="inlineStr">
        <is>
          <t>078340</t>
        </is>
      </c>
      <c r="D1228" t="inlineStr">
        <is>
          <t>연결</t>
        </is>
      </c>
      <c r="E1228" t="inlineStr">
        <is>
          <t>2025Q4</t>
        </is>
      </c>
      <c r="F1228" s="2" t="n">
        <v>179815</v>
      </c>
      <c r="G1228" t="n">
        <v>11.5</v>
      </c>
      <c r="H1228" t="n">
        <v>-5.5</v>
      </c>
      <c r="I1228" s="2" t="n">
        <v>18965</v>
      </c>
      <c r="J1228" t="inlineStr"/>
      <c r="K1228" t="n">
        <v>778.6</v>
      </c>
      <c r="L1228" s="2" t="n">
        <v>15234</v>
      </c>
      <c r="M1228" t="inlineStr"/>
      <c r="N1228" t="inlineStr">
        <is>
          <t>20260212900100</t>
        </is>
      </c>
      <c r="O1228">
        <f>HYPERLINK("https://dart.fss.or.kr/dsaf001/main.do?rcpNo=20260212900100", "공시열람")</f>
        <v/>
      </c>
    </row>
    <row r="1229">
      <c r="A1229" t="inlineStr">
        <is>
          <t>2026-02-12</t>
        </is>
      </c>
      <c r="B1229" t="inlineStr">
        <is>
          <t>뷰웍스</t>
        </is>
      </c>
      <c r="C1229" t="inlineStr">
        <is>
          <t>100120</t>
        </is>
      </c>
      <c r="D1229" t="inlineStr">
        <is>
          <t>연결</t>
        </is>
      </c>
      <c r="E1229" t="inlineStr">
        <is>
          <t>2025Q4</t>
        </is>
      </c>
      <c r="F1229" s="2" t="n">
        <v>68560</v>
      </c>
      <c r="G1229" t="n">
        <v>27.7</v>
      </c>
      <c r="H1229" t="n">
        <v>14.8</v>
      </c>
      <c r="I1229" s="2" t="n">
        <v>8527</v>
      </c>
      <c r="J1229" t="n">
        <v>98.2</v>
      </c>
      <c r="K1229" t="n">
        <v>23</v>
      </c>
      <c r="L1229" s="2" t="n">
        <v>10472</v>
      </c>
      <c r="M1229" t="n">
        <v>13.4</v>
      </c>
      <c r="N1229" t="inlineStr">
        <is>
          <t>20260212900648</t>
        </is>
      </c>
      <c r="O1229">
        <f>HYPERLINK("https://dart.fss.or.kr/dsaf001/main.do?rcpNo=20260212900648", "공시열람")</f>
        <v/>
      </c>
    </row>
    <row r="1230">
      <c r="A1230" t="inlineStr">
        <is>
          <t>2026-02-12</t>
        </is>
      </c>
      <c r="B1230" t="inlineStr">
        <is>
          <t>KTcs</t>
        </is>
      </c>
      <c r="C1230" t="inlineStr">
        <is>
          <t>058850</t>
        </is>
      </c>
      <c r="D1230" t="inlineStr">
        <is>
          <t>연결</t>
        </is>
      </c>
      <c r="E1230" t="inlineStr">
        <is>
          <t>2025Q4</t>
        </is>
      </c>
      <c r="F1230" s="2" t="n">
        <v>290528</v>
      </c>
      <c r="G1230" t="n">
        <v>8</v>
      </c>
      <c r="H1230" t="n">
        <v>4</v>
      </c>
      <c r="I1230" s="2" t="n">
        <v>1175</v>
      </c>
      <c r="J1230" t="n">
        <v>-87.2</v>
      </c>
      <c r="K1230" t="n">
        <v>-68.8</v>
      </c>
      <c r="L1230" s="2" t="n">
        <v>2617</v>
      </c>
      <c r="M1230" t="n">
        <v>-28</v>
      </c>
      <c r="N1230" t="inlineStr">
        <is>
          <t>20260212800659</t>
        </is>
      </c>
      <c r="O1230">
        <f>HYPERLINK("https://dart.fss.or.kr/dsaf001/main.do?rcpNo=20260212800659", "공시열람")</f>
        <v/>
      </c>
    </row>
    <row r="1231">
      <c r="A1231" t="inlineStr">
        <is>
          <t>2026-02-12</t>
        </is>
      </c>
      <c r="B1231" t="inlineStr">
        <is>
          <t>HD현대</t>
        </is>
      </c>
      <c r="C1231" t="inlineStr">
        <is>
          <t>267250</t>
        </is>
      </c>
      <c r="D1231" t="inlineStr">
        <is>
          <t>연결</t>
        </is>
      </c>
      <c r="E1231" t="inlineStr">
        <is>
          <t>2025Q4</t>
        </is>
      </c>
      <c r="F1231" s="2" t="n">
        <v>18737100</v>
      </c>
      <c r="G1231" t="n">
        <v>2.8</v>
      </c>
      <c r="H1231" t="n">
        <v>9.6</v>
      </c>
      <c r="I1231" s="2" t="n">
        <v>1971900</v>
      </c>
      <c r="J1231" t="n">
        <v>15.8</v>
      </c>
      <c r="K1231" t="n">
        <v>124.5</v>
      </c>
      <c r="L1231" s="2" t="n">
        <v>1423200</v>
      </c>
      <c r="M1231" t="n">
        <v>83.40000000000001</v>
      </c>
      <c r="N1231" t="inlineStr">
        <is>
          <t>20260212800546</t>
        </is>
      </c>
      <c r="O1231">
        <f>HYPERLINK("https://dart.fss.or.kr/dsaf001/main.do?rcpNo=20260212800546", "공시열람")</f>
        <v/>
      </c>
    </row>
    <row r="1232">
      <c r="A1232" t="inlineStr">
        <is>
          <t>2026-02-12</t>
        </is>
      </c>
      <c r="B1232" t="inlineStr">
        <is>
          <t>컴투스홀딩스</t>
        </is>
      </c>
      <c r="C1232" t="inlineStr">
        <is>
          <t>063080</t>
        </is>
      </c>
      <c r="D1232" t="inlineStr">
        <is>
          <t>연결</t>
        </is>
      </c>
      <c r="E1232" t="inlineStr">
        <is>
          <t>2025Q4</t>
        </is>
      </c>
      <c r="F1232" s="2" t="n">
        <v>25837</v>
      </c>
      <c r="G1232" t="n">
        <v>31.8</v>
      </c>
      <c r="H1232" t="n">
        <v>27.2</v>
      </c>
      <c r="I1232" s="2" t="n">
        <v>620</v>
      </c>
      <c r="J1232" t="inlineStr"/>
      <c r="K1232" t="inlineStr"/>
      <c r="L1232" s="2" t="n">
        <v>53743</v>
      </c>
      <c r="M1232" t="inlineStr"/>
      <c r="N1232" t="inlineStr">
        <is>
          <t>20260212900658</t>
        </is>
      </c>
      <c r="O1232">
        <f>HYPERLINK("https://dart.fss.or.kr/dsaf001/main.do?rcpNo=20260212900658", "공시열람")</f>
        <v/>
      </c>
    </row>
    <row r="1233">
      <c r="A1233" t="inlineStr">
        <is>
          <t>2026-02-12</t>
        </is>
      </c>
      <c r="B1233" t="inlineStr">
        <is>
          <t>HD현대</t>
        </is>
      </c>
      <c r="C1233" t="inlineStr">
        <is>
          <t>267250</t>
        </is>
      </c>
      <c r="D1233" t="inlineStr">
        <is>
          <t>연결</t>
        </is>
      </c>
      <c r="E1233" t="inlineStr">
        <is>
          <t>2025Q4</t>
        </is>
      </c>
      <c r="F1233" s="2" t="n">
        <v>7030000</v>
      </c>
      <c r="G1233" t="n">
        <v>-4.1</v>
      </c>
      <c r="H1233" t="n">
        <v>-1.8</v>
      </c>
      <c r="I1233" s="2" t="n">
        <v>493000</v>
      </c>
      <c r="J1233" t="n">
        <v>157.8</v>
      </c>
      <c r="K1233" t="n">
        <v>234.2</v>
      </c>
      <c r="L1233" s="2" t="n">
        <v>230500</v>
      </c>
      <c r="M1233" t="inlineStr"/>
      <c r="N1233" t="inlineStr">
        <is>
          <t>20260212800538</t>
        </is>
      </c>
      <c r="O1233">
        <f>HYPERLINK("https://dart.fss.or.kr/dsaf001/main.do?rcpNo=20260212800538", "공시열람")</f>
        <v/>
      </c>
    </row>
    <row r="1234">
      <c r="A1234" t="inlineStr">
        <is>
          <t>2026-02-12</t>
        </is>
      </c>
      <c r="B1234" t="inlineStr">
        <is>
          <t>코윈테크</t>
        </is>
      </c>
      <c r="C1234" t="inlineStr">
        <is>
          <t>282880</t>
        </is>
      </c>
      <c r="D1234" t="inlineStr">
        <is>
          <t>별도</t>
        </is>
      </c>
      <c r="E1234" t="inlineStr">
        <is>
          <t>2025Q4</t>
        </is>
      </c>
      <c r="F1234" s="2" t="n">
        <v>35352</v>
      </c>
      <c r="G1234" t="n">
        <v>24.4</v>
      </c>
      <c r="H1234" t="n">
        <v>76.7</v>
      </c>
      <c r="I1234" s="2" t="n">
        <v>1347</v>
      </c>
      <c r="J1234" t="n">
        <v>55.1</v>
      </c>
      <c r="K1234" t="inlineStr"/>
      <c r="L1234" s="2" t="n">
        <v>6648</v>
      </c>
      <c r="M1234" t="n">
        <v>-18.6</v>
      </c>
      <c r="N1234" t="inlineStr">
        <is>
          <t>20260212900486</t>
        </is>
      </c>
      <c r="O1234">
        <f>HYPERLINK("https://dart.fss.or.kr/dsaf001/main.do?rcpNo=20260212900486", "공시열람")</f>
        <v/>
      </c>
    </row>
    <row r="1235">
      <c r="A1235" t="inlineStr">
        <is>
          <t>2026-02-12</t>
        </is>
      </c>
      <c r="B1235" t="inlineStr">
        <is>
          <t>드림어스컴퍼니</t>
        </is>
      </c>
      <c r="C1235" t="inlineStr">
        <is>
          <t>060570</t>
        </is>
      </c>
      <c r="D1235" t="inlineStr">
        <is>
          <t>연결</t>
        </is>
      </c>
      <c r="E1235" t="inlineStr">
        <is>
          <t>2025Q4</t>
        </is>
      </c>
      <c r="F1235" s="2" t="n">
        <v>224997</v>
      </c>
      <c r="G1235" t="n">
        <v>0</v>
      </c>
      <c r="H1235" t="inlineStr"/>
      <c r="I1235" s="2" t="n">
        <v>593</v>
      </c>
      <c r="J1235" t="inlineStr"/>
      <c r="K1235" t="inlineStr"/>
      <c r="L1235" s="2" t="n">
        <v>2601</v>
      </c>
      <c r="M1235" t="inlineStr"/>
      <c r="N1235" t="inlineStr">
        <is>
          <t>20260212900467</t>
        </is>
      </c>
      <c r="O1235">
        <f>HYPERLINK("https://dart.fss.or.kr/dsaf001/main.do?rcpNo=20260212900467", "공시열람")</f>
        <v/>
      </c>
    </row>
    <row r="1236">
      <c r="A1236" t="inlineStr">
        <is>
          <t>2026-02-12</t>
        </is>
      </c>
      <c r="B1236" t="inlineStr">
        <is>
          <t>더블유씨피</t>
        </is>
      </c>
      <c r="C1236" t="inlineStr">
        <is>
          <t>393890</t>
        </is>
      </c>
      <c r="D1236" t="inlineStr">
        <is>
          <t>연결</t>
        </is>
      </c>
      <c r="E1236" t="inlineStr">
        <is>
          <t>2025Q4</t>
        </is>
      </c>
      <c r="F1236" s="2" t="n">
        <v>27189</v>
      </c>
      <c r="G1236" t="n">
        <v>-6.6</v>
      </c>
      <c r="H1236" t="n">
        <v>54.8</v>
      </c>
      <c r="I1236" s="2" t="n">
        <v>-39331</v>
      </c>
      <c r="J1236" t="n">
        <v>-26.9</v>
      </c>
      <c r="K1236" t="n">
        <v>27.1</v>
      </c>
      <c r="L1236" s="2" t="n">
        <v>-43961</v>
      </c>
      <c r="M1236" t="n">
        <v>24.2</v>
      </c>
      <c r="N1236" t="inlineStr">
        <is>
          <t>20260212900121</t>
        </is>
      </c>
      <c r="O1236">
        <f>HYPERLINK("https://dart.fss.or.kr/dsaf001/main.do?rcpNo=20260212900121", "공시열람")</f>
        <v/>
      </c>
    </row>
    <row r="1237">
      <c r="A1237" t="inlineStr">
        <is>
          <t>2026-02-12</t>
        </is>
      </c>
      <c r="B1237" t="inlineStr">
        <is>
          <t>컴투스</t>
        </is>
      </c>
      <c r="C1237" t="inlineStr">
        <is>
          <t>078340</t>
        </is>
      </c>
      <c r="D1237" t="inlineStr">
        <is>
          <t>별도</t>
        </is>
      </c>
      <c r="E1237" t="inlineStr">
        <is>
          <t>2025Q4</t>
        </is>
      </c>
      <c r="F1237" s="2" t="n">
        <v>143996</v>
      </c>
      <c r="G1237" t="n">
        <v>19.1</v>
      </c>
      <c r="H1237" t="n">
        <v>1.6</v>
      </c>
      <c r="I1237" s="2" t="n">
        <v>20358</v>
      </c>
      <c r="J1237" t="inlineStr"/>
      <c r="K1237" t="n">
        <v>531.7</v>
      </c>
      <c r="L1237" s="2" t="n">
        <v>-12389</v>
      </c>
      <c r="M1237" t="n">
        <v>86.3</v>
      </c>
      <c r="N1237" t="inlineStr">
        <is>
          <t>20260212900103</t>
        </is>
      </c>
      <c r="O1237">
        <f>HYPERLINK("https://dart.fss.or.kr/dsaf001/main.do?rcpNo=20260212900103", "공시열람")</f>
        <v/>
      </c>
    </row>
    <row r="1238">
      <c r="A1238" t="inlineStr">
        <is>
          <t>2026-02-12</t>
        </is>
      </c>
      <c r="B1238" t="inlineStr">
        <is>
          <t>디케이티</t>
        </is>
      </c>
      <c r="C1238" t="inlineStr">
        <is>
          <t>290550</t>
        </is>
      </c>
      <c r="D1238" t="inlineStr">
        <is>
          <t>연결</t>
        </is>
      </c>
      <c r="E1238" t="inlineStr">
        <is>
          <t>2025Q4</t>
        </is>
      </c>
      <c r="F1238" s="2" t="n">
        <v>114807</v>
      </c>
      <c r="G1238" t="n">
        <v>8.5</v>
      </c>
      <c r="H1238" t="n">
        <v>16.9</v>
      </c>
      <c r="I1238" s="2" t="n">
        <v>5649</v>
      </c>
      <c r="J1238" t="n">
        <v>17.5</v>
      </c>
      <c r="K1238" t="n">
        <v>102.5</v>
      </c>
      <c r="L1238" s="2" t="inlineStr"/>
      <c r="M1238" t="inlineStr"/>
      <c r="N1238" t="inlineStr">
        <is>
          <t>20260212900153</t>
        </is>
      </c>
      <c r="O1238">
        <f>HYPERLINK("https://dart.fss.or.kr/dsaf001/main.do?rcpNo=20260212900153", "공시열람")</f>
        <v/>
      </c>
    </row>
    <row r="1239">
      <c r="A1239" t="inlineStr">
        <is>
          <t>2026-02-12</t>
        </is>
      </c>
      <c r="B1239" t="inlineStr">
        <is>
          <t>제노레이</t>
        </is>
      </c>
      <c r="C1239" t="inlineStr">
        <is>
          <t>122310</t>
        </is>
      </c>
      <c r="D1239" t="inlineStr">
        <is>
          <t>연결</t>
        </is>
      </c>
      <c r="E1239" t="inlineStr">
        <is>
          <t>2025Q4</t>
        </is>
      </c>
      <c r="F1239" s="2" t="n">
        <v>34048</v>
      </c>
      <c r="G1239" t="n">
        <v>56</v>
      </c>
      <c r="H1239" t="n">
        <v>18.4</v>
      </c>
      <c r="I1239" s="2" t="n">
        <v>1516</v>
      </c>
      <c r="J1239" t="inlineStr"/>
      <c r="K1239" t="inlineStr"/>
      <c r="L1239" s="2" t="n">
        <v>3034</v>
      </c>
      <c r="M1239" t="inlineStr"/>
      <c r="N1239" t="inlineStr">
        <is>
          <t>20260212900259</t>
        </is>
      </c>
      <c r="O1239">
        <f>HYPERLINK("https://dart.fss.or.kr/dsaf001/main.do?rcpNo=20260212900259", "공시열람")</f>
        <v/>
      </c>
    </row>
    <row r="1240">
      <c r="A1240" t="inlineStr">
        <is>
          <t>2026-02-12</t>
        </is>
      </c>
      <c r="B1240" t="inlineStr">
        <is>
          <t>폰드그룹</t>
        </is>
      </c>
      <c r="C1240" t="inlineStr">
        <is>
          <t>472850</t>
        </is>
      </c>
      <c r="D1240" t="inlineStr">
        <is>
          <t>연결</t>
        </is>
      </c>
      <c r="E1240" t="inlineStr">
        <is>
          <t>2025Q4</t>
        </is>
      </c>
      <c r="F1240" s="2" t="n">
        <v>176432</v>
      </c>
      <c r="G1240" t="n">
        <v>94.3</v>
      </c>
      <c r="H1240" t="n">
        <v>28.1</v>
      </c>
      <c r="I1240" s="2" t="n">
        <v>20341</v>
      </c>
      <c r="J1240" t="n">
        <v>188.5</v>
      </c>
      <c r="K1240" t="n">
        <v>38.5</v>
      </c>
      <c r="L1240" s="2" t="n">
        <v>17317</v>
      </c>
      <c r="M1240" t="n">
        <v>26</v>
      </c>
      <c r="N1240" t="inlineStr">
        <is>
          <t>20260212900336</t>
        </is>
      </c>
      <c r="O1240">
        <f>HYPERLINK("https://dart.fss.or.kr/dsaf001/main.do?rcpNo=20260212900336", "공시열람")</f>
        <v/>
      </c>
    </row>
    <row r="1241">
      <c r="A1241" t="inlineStr">
        <is>
          <t>2026-02-12</t>
        </is>
      </c>
      <c r="B1241" t="inlineStr">
        <is>
          <t>레드캡투어</t>
        </is>
      </c>
      <c r="C1241" t="inlineStr">
        <is>
          <t>038390</t>
        </is>
      </c>
      <c r="D1241" t="inlineStr">
        <is>
          <t>연결</t>
        </is>
      </c>
      <c r="E1241" t="inlineStr">
        <is>
          <t>2025Q4</t>
        </is>
      </c>
      <c r="F1241" s="2" t="n">
        <v>76600</v>
      </c>
      <c r="G1241" t="n">
        <v>-13.9</v>
      </c>
      <c r="H1241" t="n">
        <v>-16.1</v>
      </c>
      <c r="I1241" s="2" t="n">
        <v>5098</v>
      </c>
      <c r="J1241" t="n">
        <v>-50.5</v>
      </c>
      <c r="K1241" t="n">
        <v>-39.3</v>
      </c>
      <c r="L1241" s="2" t="n">
        <v>665</v>
      </c>
      <c r="M1241" t="n">
        <v>-81.3</v>
      </c>
      <c r="N1241" t="inlineStr">
        <is>
          <t>20260212900434</t>
        </is>
      </c>
      <c r="O1241">
        <f>HYPERLINK("https://dart.fss.or.kr/dsaf001/main.do?rcpNo=20260212900434", "공시열람")</f>
        <v/>
      </c>
    </row>
    <row r="1242">
      <c r="A1242" t="inlineStr">
        <is>
          <t>2026-02-12</t>
        </is>
      </c>
      <c r="B1242" t="inlineStr">
        <is>
          <t>SFA</t>
        </is>
      </c>
      <c r="C1242" t="inlineStr">
        <is>
          <t>056190</t>
        </is>
      </c>
      <c r="D1242" t="inlineStr">
        <is>
          <t>연결</t>
        </is>
      </c>
      <c r="E1242" t="inlineStr">
        <is>
          <t>2025Q4</t>
        </is>
      </c>
      <c r="F1242" s="2" t="n">
        <v>393556</v>
      </c>
      <c r="G1242" t="n">
        <v>-0.12</v>
      </c>
      <c r="H1242" t="n">
        <v>-17.17</v>
      </c>
      <c r="I1242" s="2" t="n">
        <v>12849</v>
      </c>
      <c r="J1242" t="n">
        <v>-51.88</v>
      </c>
      <c r="K1242" t="inlineStr"/>
      <c r="L1242" s="2" t="n">
        <v>4547</v>
      </c>
      <c r="M1242" t="inlineStr"/>
      <c r="N1242" t="inlineStr">
        <is>
          <t>20260212900707</t>
        </is>
      </c>
      <c r="O1242">
        <f>HYPERLINK("https://dart.fss.or.kr/dsaf001/main.do?rcpNo=20260212900707", "공시열람")</f>
        <v/>
      </c>
    </row>
    <row r="1243">
      <c r="A1243" t="inlineStr">
        <is>
          <t>2026-02-12</t>
        </is>
      </c>
      <c r="B1243" t="inlineStr">
        <is>
          <t>SFA</t>
        </is>
      </c>
      <c r="C1243" t="inlineStr">
        <is>
          <t>056190</t>
        </is>
      </c>
      <c r="D1243" t="inlineStr">
        <is>
          <t>별도</t>
        </is>
      </c>
      <c r="E1243" t="inlineStr">
        <is>
          <t>2025Q4</t>
        </is>
      </c>
      <c r="F1243" s="2" t="n">
        <v>172105</v>
      </c>
      <c r="G1243" t="n">
        <v>-12.38</v>
      </c>
      <c r="H1243" t="n">
        <v>-18.61</v>
      </c>
      <c r="I1243" s="2" t="n">
        <v>22234</v>
      </c>
      <c r="J1243" t="n">
        <v>-19.15</v>
      </c>
      <c r="K1243" t="inlineStr"/>
      <c r="L1243" s="2" t="n">
        <v>21260</v>
      </c>
      <c r="M1243" t="inlineStr"/>
      <c r="N1243" t="inlineStr">
        <is>
          <t>20260212900688</t>
        </is>
      </c>
      <c r="O1243">
        <f>HYPERLINK("https://dart.fss.or.kr/dsaf001/main.do?rcpNo=20260212900688", "공시열람")</f>
        <v/>
      </c>
    </row>
    <row r="1244">
      <c r="A1244" t="inlineStr">
        <is>
          <t>2026-02-12</t>
        </is>
      </c>
      <c r="B1244" t="inlineStr">
        <is>
          <t>서울반도체</t>
        </is>
      </c>
      <c r="C1244" t="inlineStr">
        <is>
          <t>046890</t>
        </is>
      </c>
      <c r="D1244" t="inlineStr">
        <is>
          <t>연결</t>
        </is>
      </c>
      <c r="E1244" t="inlineStr">
        <is>
          <t>2025Q4</t>
        </is>
      </c>
      <c r="F1244" s="2" t="n">
        <v>265350</v>
      </c>
      <c r="G1244" t="n">
        <v>3.3</v>
      </c>
      <c r="H1244" t="n">
        <v>-0.1</v>
      </c>
      <c r="I1244" s="2" t="n">
        <v>4713</v>
      </c>
      <c r="J1244" t="inlineStr"/>
      <c r="K1244" t="inlineStr"/>
      <c r="L1244" s="2" t="n">
        <v>5864</v>
      </c>
      <c r="M1244" t="n">
        <v>92.09999999999999</v>
      </c>
      <c r="N1244" t="inlineStr">
        <is>
          <t>20260212900701</t>
        </is>
      </c>
      <c r="O1244">
        <f>HYPERLINK("https://dart.fss.or.kr/dsaf001/main.do?rcpNo=20260212900701", "공시열람")</f>
        <v/>
      </c>
    </row>
    <row r="1245">
      <c r="A1245" t="inlineStr">
        <is>
          <t>2026-02-12</t>
        </is>
      </c>
      <c r="B1245" t="inlineStr">
        <is>
          <t>SOOP</t>
        </is>
      </c>
      <c r="C1245" t="inlineStr">
        <is>
          <t>067160</t>
        </is>
      </c>
      <c r="D1245" t="inlineStr">
        <is>
          <t>연결</t>
        </is>
      </c>
      <c r="E1245" t="inlineStr">
        <is>
          <t>2025Q4</t>
        </is>
      </c>
      <c r="F1245" s="2" t="n">
        <v>119264</v>
      </c>
      <c r="G1245" t="n">
        <v>-5.2</v>
      </c>
      <c r="H1245" t="n">
        <v>6.7</v>
      </c>
      <c r="I1245" s="2" t="n">
        <v>27769</v>
      </c>
      <c r="J1245" t="n">
        <v>-23.4</v>
      </c>
      <c r="K1245" t="n">
        <v>-0.1</v>
      </c>
      <c r="L1245" s="2" t="n">
        <v>23050</v>
      </c>
      <c r="M1245" t="n">
        <v>-11.3</v>
      </c>
      <c r="N1245" t="inlineStr">
        <is>
          <t>20260212900789</t>
        </is>
      </c>
      <c r="O1245">
        <f>HYPERLINK("https://dart.fss.or.kr/dsaf001/main.do?rcpNo=20260212900789", "공시열람")</f>
        <v/>
      </c>
    </row>
    <row r="1246">
      <c r="A1246" t="inlineStr">
        <is>
          <t>2026-02-12</t>
        </is>
      </c>
      <c r="B1246" t="inlineStr">
        <is>
          <t>안랩</t>
        </is>
      </c>
      <c r="C1246" t="inlineStr">
        <is>
          <t>053800</t>
        </is>
      </c>
      <c r="D1246" t="inlineStr">
        <is>
          <t>별도</t>
        </is>
      </c>
      <c r="E1246" t="inlineStr">
        <is>
          <t>2025Q4</t>
        </is>
      </c>
      <c r="F1246" s="2" t="n">
        <v>73507</v>
      </c>
      <c r="G1246" t="n">
        <v>28.5</v>
      </c>
      <c r="H1246" t="n">
        <v>0.6</v>
      </c>
      <c r="I1246" s="2" t="n">
        <v>20840</v>
      </c>
      <c r="J1246" t="n">
        <v>102.9</v>
      </c>
      <c r="K1246" t="n">
        <v>20.9</v>
      </c>
      <c r="L1246" s="2" t="n">
        <v>31174</v>
      </c>
      <c r="M1246" t="n">
        <v>59.3</v>
      </c>
      <c r="N1246" t="inlineStr">
        <is>
          <t>20260212901152</t>
        </is>
      </c>
      <c r="O1246">
        <f>HYPERLINK("https://dart.fss.or.kr/dsaf001/main.do?rcpNo=20260212901152", "공시열람")</f>
        <v/>
      </c>
    </row>
    <row r="1247">
      <c r="A1247" t="inlineStr">
        <is>
          <t>2026-02-12</t>
        </is>
      </c>
      <c r="B1247" t="inlineStr">
        <is>
          <t>코윈테크</t>
        </is>
      </c>
      <c r="C1247" t="inlineStr">
        <is>
          <t>282880</t>
        </is>
      </c>
      <c r="D1247" t="inlineStr">
        <is>
          <t>연결</t>
        </is>
      </c>
      <c r="E1247" t="inlineStr">
        <is>
          <t>2025Q4</t>
        </is>
      </c>
      <c r="F1247" s="2" t="n">
        <v>41025</v>
      </c>
      <c r="G1247" t="n">
        <v>4.4</v>
      </c>
      <c r="H1247" t="n">
        <v>21.3</v>
      </c>
      <c r="I1247" s="2" t="n">
        <v>-20290</v>
      </c>
      <c r="J1247" t="n">
        <v>-723.4</v>
      </c>
      <c r="K1247" t="n">
        <v>-54.7</v>
      </c>
      <c r="L1247" s="2" t="n">
        <v>-17340</v>
      </c>
      <c r="M1247" t="n">
        <v>-248</v>
      </c>
      <c r="N1247" t="inlineStr">
        <is>
          <t>20260212901014</t>
        </is>
      </c>
      <c r="O1247">
        <f>HYPERLINK("https://dart.fss.or.kr/dsaf001/main.do?rcpNo=20260212901014", "공시열람")</f>
        <v/>
      </c>
    </row>
    <row r="1248">
      <c r="A1248" t="inlineStr">
        <is>
          <t>2026-02-12</t>
        </is>
      </c>
      <c r="B1248" t="inlineStr">
        <is>
          <t>한국가스공사</t>
        </is>
      </c>
      <c r="C1248" t="inlineStr">
        <is>
          <t>036460</t>
        </is>
      </c>
      <c r="D1248" t="inlineStr">
        <is>
          <t>별도</t>
        </is>
      </c>
      <c r="E1248" t="inlineStr">
        <is>
          <t>2025Q4</t>
        </is>
      </c>
      <c r="F1248" s="2" t="inlineStr"/>
      <c r="G1248" t="inlineStr"/>
      <c r="H1248" t="inlineStr"/>
      <c r="I1248" s="2" t="inlineStr"/>
      <c r="J1248" t="inlineStr"/>
      <c r="K1248" t="inlineStr"/>
      <c r="L1248" s="2" t="inlineStr"/>
      <c r="M1248" t="inlineStr"/>
      <c r="N1248" t="inlineStr">
        <is>
          <t>20260212801026</t>
        </is>
      </c>
      <c r="O1248">
        <f>HYPERLINK("https://dart.fss.or.kr/dsaf001/main.do?rcpNo=20260212801026", "공시열람")</f>
        <v/>
      </c>
    </row>
    <row r="1249">
      <c r="A1249" t="inlineStr">
        <is>
          <t>2026-02-12</t>
        </is>
      </c>
      <c r="B1249" t="inlineStr">
        <is>
          <t>아이마켓코리아</t>
        </is>
      </c>
      <c r="C1249" t="inlineStr">
        <is>
          <t>122900</t>
        </is>
      </c>
      <c r="D1249" t="inlineStr">
        <is>
          <t>연결</t>
        </is>
      </c>
      <c r="E1249" t="inlineStr">
        <is>
          <t>2025Q4</t>
        </is>
      </c>
      <c r="F1249" s="2" t="n">
        <v>807415</v>
      </c>
      <c r="G1249" t="n">
        <v>5.68</v>
      </c>
      <c r="H1249" t="n">
        <v>-1.02</v>
      </c>
      <c r="I1249" s="2" t="n">
        <v>-4127</v>
      </c>
      <c r="J1249" t="inlineStr"/>
      <c r="K1249" t="inlineStr"/>
      <c r="L1249" s="2" t="n">
        <v>6796</v>
      </c>
      <c r="M1249" t="n">
        <v>-36.41</v>
      </c>
      <c r="N1249" t="inlineStr">
        <is>
          <t>20260212800908</t>
        </is>
      </c>
      <c r="O1249">
        <f>HYPERLINK("https://dart.fss.or.kr/dsaf001/main.do?rcpNo=20260212800908", "공시열람")</f>
        <v/>
      </c>
    </row>
    <row r="1250">
      <c r="A1250" t="inlineStr">
        <is>
          <t>2026-02-12</t>
        </is>
      </c>
      <c r="B1250" t="inlineStr">
        <is>
          <t>케이씨씨글라스</t>
        </is>
      </c>
      <c r="C1250" t="inlineStr">
        <is>
          <t>344820</t>
        </is>
      </c>
      <c r="D1250" t="inlineStr">
        <is>
          <t>연결</t>
        </is>
      </c>
      <c r="E1250" t="inlineStr">
        <is>
          <t>2025Q4</t>
        </is>
      </c>
      <c r="F1250" s="2" t="n">
        <v>457818</v>
      </c>
      <c r="G1250" t="n">
        <v>-4.9</v>
      </c>
      <c r="H1250" t="n">
        <v>-10.6</v>
      </c>
      <c r="I1250" s="2" t="n">
        <v>-19980</v>
      </c>
      <c r="J1250" t="n">
        <v>-40.3</v>
      </c>
      <c r="K1250" t="inlineStr"/>
      <c r="L1250" s="2" t="n">
        <v>-22118</v>
      </c>
      <c r="M1250" t="n">
        <v>-197.2</v>
      </c>
      <c r="N1250" t="inlineStr">
        <is>
          <t>20260212801089</t>
        </is>
      </c>
      <c r="O1250">
        <f>HYPERLINK("https://dart.fss.or.kr/dsaf001/main.do?rcpNo=20260212801089", "공시열람")</f>
        <v/>
      </c>
    </row>
    <row r="1251">
      <c r="A1251" t="inlineStr">
        <is>
          <t>2026-02-12</t>
        </is>
      </c>
      <c r="B1251" t="inlineStr">
        <is>
          <t>콘텐트리중앙</t>
        </is>
      </c>
      <c r="C1251" t="inlineStr">
        <is>
          <t>036420</t>
        </is>
      </c>
      <c r="D1251" t="inlineStr">
        <is>
          <t>연결</t>
        </is>
      </c>
      <c r="E1251" t="inlineStr">
        <is>
          <t>2025Q4</t>
        </is>
      </c>
      <c r="F1251" s="2" t="n">
        <v>269615</v>
      </c>
      <c r="G1251" t="n">
        <v>-3.3</v>
      </c>
      <c r="H1251" t="n">
        <v>32.5</v>
      </c>
      <c r="I1251" s="2" t="n">
        <v>4619</v>
      </c>
      <c r="J1251" t="n">
        <v>-59.4</v>
      </c>
      <c r="K1251" t="inlineStr"/>
      <c r="L1251" s="2" t="n">
        <v>-8235</v>
      </c>
      <c r="M1251" t="n">
        <v>-317.1</v>
      </c>
      <c r="N1251" t="inlineStr">
        <is>
          <t>20260212800727</t>
        </is>
      </c>
      <c r="O1251">
        <f>HYPERLINK("https://dart.fss.or.kr/dsaf001/main.do?rcpNo=20260212800727", "공시열람")</f>
        <v/>
      </c>
    </row>
    <row r="1252">
      <c r="A1252" t="inlineStr">
        <is>
          <t>2026-02-12</t>
        </is>
      </c>
      <c r="B1252" t="inlineStr">
        <is>
          <t>하이브</t>
        </is>
      </c>
      <c r="C1252" t="inlineStr">
        <is>
          <t>352820</t>
        </is>
      </c>
      <c r="D1252" t="inlineStr">
        <is>
          <t>연결</t>
        </is>
      </c>
      <c r="E1252" t="inlineStr">
        <is>
          <t>2025Q4</t>
        </is>
      </c>
      <c r="F1252" s="2" t="n">
        <v>716400</v>
      </c>
      <c r="G1252" t="n">
        <v>-1.5</v>
      </c>
      <c r="H1252" t="n">
        <v>-1.4</v>
      </c>
      <c r="I1252" s="2" t="n">
        <v>4600</v>
      </c>
      <c r="J1252" t="inlineStr"/>
      <c r="K1252" t="n">
        <v>-92.90000000000001</v>
      </c>
      <c r="L1252" s="2" t="n">
        <v>-274500</v>
      </c>
      <c r="M1252" t="n">
        <v>-951.7</v>
      </c>
      <c r="N1252" t="inlineStr">
        <is>
          <t>20260212801161</t>
        </is>
      </c>
      <c r="O1252">
        <f>HYPERLINK("https://dart.fss.or.kr/dsaf001/main.do?rcpNo=20260212801161", "공시열람")</f>
        <v/>
      </c>
    </row>
    <row r="1253">
      <c r="A1253" t="inlineStr">
        <is>
          <t>2026-02-12</t>
        </is>
      </c>
      <c r="B1253" t="inlineStr">
        <is>
          <t>이수화학</t>
        </is>
      </c>
      <c r="C1253" t="inlineStr">
        <is>
          <t>005950</t>
        </is>
      </c>
      <c r="D1253" t="inlineStr">
        <is>
          <t>별도</t>
        </is>
      </c>
      <c r="E1253" t="inlineStr">
        <is>
          <t>2025Q4</t>
        </is>
      </c>
      <c r="F1253" s="2" t="n">
        <v>1377712</v>
      </c>
      <c r="G1253" t="n">
        <v>-6.6</v>
      </c>
      <c r="H1253" t="inlineStr"/>
      <c r="I1253" s="2" t="n">
        <v>29730</v>
      </c>
      <c r="J1253" t="n">
        <v>934.2</v>
      </c>
      <c r="K1253" t="inlineStr"/>
      <c r="L1253" s="2" t="n">
        <v>-28721</v>
      </c>
      <c r="M1253" t="inlineStr"/>
      <c r="N1253" t="inlineStr">
        <is>
          <t>20260212801276</t>
        </is>
      </c>
      <c r="O1253">
        <f>HYPERLINK("https://dart.fss.or.kr/dsaf001/main.do?rcpNo=20260212801276", "공시열람")</f>
        <v/>
      </c>
    </row>
    <row r="1254">
      <c r="A1254" t="inlineStr">
        <is>
          <t>2026-02-12</t>
        </is>
      </c>
      <c r="B1254" t="inlineStr">
        <is>
          <t>한샘</t>
        </is>
      </c>
      <c r="C1254" t="inlineStr">
        <is>
          <t>009240</t>
        </is>
      </c>
      <c r="D1254" t="inlineStr">
        <is>
          <t>연결</t>
        </is>
      </c>
      <c r="E1254" t="inlineStr">
        <is>
          <t>2025Q4</t>
        </is>
      </c>
      <c r="F1254" s="2" t="n">
        <v>400265</v>
      </c>
      <c r="G1254" t="n">
        <v>-9.300000000000001</v>
      </c>
      <c r="H1254" t="n">
        <v>-18.4</v>
      </c>
      <c r="I1254" s="2" t="n">
        <v>2952</v>
      </c>
      <c r="J1254" t="n">
        <v>-56.9</v>
      </c>
      <c r="K1254" t="n">
        <v>-23.5</v>
      </c>
      <c r="L1254" s="2" t="n">
        <v>4587</v>
      </c>
      <c r="M1254" t="inlineStr"/>
      <c r="N1254" t="inlineStr">
        <is>
          <t>20260212801571</t>
        </is>
      </c>
      <c r="O1254">
        <f>HYPERLINK("https://dart.fss.or.kr/dsaf001/main.do?rcpNo=20260212801571", "공시열람")</f>
        <v/>
      </c>
    </row>
    <row r="1255">
      <c r="A1255" t="inlineStr">
        <is>
          <t>2026-02-12</t>
        </is>
      </c>
      <c r="B1255" t="inlineStr">
        <is>
          <t>인카금융서비스</t>
        </is>
      </c>
      <c r="C1255" t="inlineStr">
        <is>
          <t>211050</t>
        </is>
      </c>
      <c r="D1255" t="inlineStr">
        <is>
          <t>연결</t>
        </is>
      </c>
      <c r="E1255" t="inlineStr">
        <is>
          <t>2025Q4</t>
        </is>
      </c>
      <c r="F1255" s="2" t="n">
        <v>282091</v>
      </c>
      <c r="G1255" t="n">
        <v>4.2</v>
      </c>
      <c r="H1255" t="n">
        <v>40.5</v>
      </c>
      <c r="I1255" s="2" t="n">
        <v>24383</v>
      </c>
      <c r="J1255" t="n">
        <v>-6.1</v>
      </c>
      <c r="K1255" t="n">
        <v>32.5</v>
      </c>
      <c r="L1255" s="2" t="n">
        <v>17063</v>
      </c>
      <c r="M1255" t="n">
        <v>24.6</v>
      </c>
      <c r="N1255" t="inlineStr">
        <is>
          <t>20260212900671</t>
        </is>
      </c>
      <c r="O1255">
        <f>HYPERLINK("https://dart.fss.or.kr/dsaf001/main.do?rcpNo=20260212900671", "공시열람")</f>
        <v/>
      </c>
    </row>
    <row r="1256">
      <c r="A1256" t="inlineStr">
        <is>
          <t>2026-02-11</t>
        </is>
      </c>
      <c r="B1256" t="inlineStr">
        <is>
          <t>현대홈쇼핑</t>
        </is>
      </c>
      <c r="C1256" t="inlineStr">
        <is>
          <t>057050</t>
        </is>
      </c>
      <c r="D1256" t="inlineStr">
        <is>
          <t>연결</t>
        </is>
      </c>
      <c r="E1256" t="inlineStr">
        <is>
          <t>2025Q4</t>
        </is>
      </c>
      <c r="F1256" s="2" t="n">
        <v>1032221</v>
      </c>
      <c r="G1256" t="n">
        <v>18.1</v>
      </c>
      <c r="H1256" t="n">
        <v>2.3</v>
      </c>
      <c r="I1256" s="2" t="n">
        <v>27821</v>
      </c>
      <c r="J1256" t="n">
        <v>12.3</v>
      </c>
      <c r="K1256" t="n">
        <v>54.4</v>
      </c>
      <c r="L1256" s="2" t="n">
        <v>27685</v>
      </c>
      <c r="M1256" t="inlineStr"/>
      <c r="N1256" t="inlineStr">
        <is>
          <t>20260211800524</t>
        </is>
      </c>
      <c r="O1256">
        <f>HYPERLINK("https://dart.fss.or.kr/dsaf001/main.do?rcpNo=20260211800524", "공시열람")</f>
        <v/>
      </c>
    </row>
    <row r="1257">
      <c r="A1257" t="inlineStr">
        <is>
          <t>2026-02-11</t>
        </is>
      </c>
      <c r="B1257" t="inlineStr">
        <is>
          <t>티엠씨</t>
        </is>
      </c>
      <c r="C1257" t="inlineStr">
        <is>
          <t>217590</t>
        </is>
      </c>
      <c r="D1257" t="inlineStr">
        <is>
          <t>별도</t>
        </is>
      </c>
      <c r="E1257" t="inlineStr">
        <is>
          <t>2025Q4</t>
        </is>
      </c>
      <c r="F1257" s="2" t="n">
        <v>73781</v>
      </c>
      <c r="G1257" t="n">
        <v>-1</v>
      </c>
      <c r="H1257" t="n">
        <v>-1.88</v>
      </c>
      <c r="I1257" s="2" t="n">
        <v>-1051</v>
      </c>
      <c r="J1257" t="inlineStr"/>
      <c r="K1257" t="inlineStr"/>
      <c r="L1257" s="2" t="n">
        <v>-1453</v>
      </c>
      <c r="M1257" t="n">
        <v>26.43</v>
      </c>
      <c r="N1257" t="inlineStr">
        <is>
          <t>20260211801199</t>
        </is>
      </c>
      <c r="O1257">
        <f>HYPERLINK("https://dart.fss.or.kr/dsaf001/main.do?rcpNo=20260211801199", "공시열람")</f>
        <v/>
      </c>
    </row>
    <row r="1258">
      <c r="A1258" t="inlineStr">
        <is>
          <t>2026-02-11</t>
        </is>
      </c>
      <c r="B1258" t="inlineStr">
        <is>
          <t>티엠씨</t>
        </is>
      </c>
      <c r="C1258" t="inlineStr">
        <is>
          <t>217590</t>
        </is>
      </c>
      <c r="D1258" t="inlineStr">
        <is>
          <t>연결</t>
        </is>
      </c>
      <c r="E1258" t="inlineStr">
        <is>
          <t>2025Q4</t>
        </is>
      </c>
      <c r="F1258" s="2" t="n">
        <v>75890</v>
      </c>
      <c r="G1258" t="n">
        <v>-4.84</v>
      </c>
      <c r="H1258" t="n">
        <v>-3.37</v>
      </c>
      <c r="I1258" s="2" t="n">
        <v>-2104</v>
      </c>
      <c r="J1258" t="inlineStr"/>
      <c r="K1258" t="inlineStr"/>
      <c r="L1258" s="2" t="n">
        <v>-3066</v>
      </c>
      <c r="M1258" t="inlineStr"/>
      <c r="N1258" t="inlineStr">
        <is>
          <t>20260211801206</t>
        </is>
      </c>
      <c r="O1258">
        <f>HYPERLINK("https://dart.fss.or.kr/dsaf001/main.do?rcpNo=20260211801206", "공시열람")</f>
        <v/>
      </c>
    </row>
    <row r="1259">
      <c r="A1259" t="inlineStr">
        <is>
          <t>2026-02-11</t>
        </is>
      </c>
      <c r="B1259" t="inlineStr">
        <is>
          <t>웹젠</t>
        </is>
      </c>
      <c r="C1259" t="inlineStr">
        <is>
          <t>069080</t>
        </is>
      </c>
      <c r="D1259" t="inlineStr">
        <is>
          <t>연결</t>
        </is>
      </c>
      <c r="E1259" t="inlineStr">
        <is>
          <t>2025Q4</t>
        </is>
      </c>
      <c r="F1259" s="2" t="n">
        <v>49938</v>
      </c>
      <c r="G1259" t="n">
        <v>13.9</v>
      </c>
      <c r="H1259" t="n">
        <v>-10.9</v>
      </c>
      <c r="I1259" s="2" t="n">
        <v>7019</v>
      </c>
      <c r="J1259" t="n">
        <v>-8</v>
      </c>
      <c r="K1259" t="n">
        <v>-53.6</v>
      </c>
      <c r="L1259" s="2" t="n">
        <v>6772</v>
      </c>
      <c r="M1259" t="n">
        <v>-44.1</v>
      </c>
      <c r="N1259" t="inlineStr">
        <is>
          <t>20260211901300</t>
        </is>
      </c>
      <c r="O1259">
        <f>HYPERLINK("https://dart.fss.or.kr/dsaf001/main.do?rcpNo=20260211901300", "공시열람")</f>
        <v/>
      </c>
    </row>
    <row r="1260">
      <c r="A1260" t="inlineStr">
        <is>
          <t>2026-02-11</t>
        </is>
      </c>
      <c r="B1260" t="inlineStr">
        <is>
          <t>코리안리</t>
        </is>
      </c>
      <c r="C1260" t="inlineStr">
        <is>
          <t>003690</t>
        </is>
      </c>
      <c r="D1260" t="inlineStr">
        <is>
          <t>별도</t>
        </is>
      </c>
      <c r="E1260" t="inlineStr">
        <is>
          <t>2025Q4</t>
        </is>
      </c>
      <c r="F1260" s="2" t="n">
        <v>1636487</v>
      </c>
      <c r="G1260" t="n">
        <v>14</v>
      </c>
      <c r="H1260" t="n">
        <v>-15.5</v>
      </c>
      <c r="I1260" s="2" t="n">
        <v>65144</v>
      </c>
      <c r="J1260" t="n">
        <v>-55</v>
      </c>
      <c r="K1260" t="n">
        <v>-26.9</v>
      </c>
      <c r="L1260" s="2" t="n">
        <v>45783</v>
      </c>
      <c r="M1260" t="n">
        <v>-27.8</v>
      </c>
      <c r="N1260" t="inlineStr">
        <is>
          <t>20260211801284</t>
        </is>
      </c>
      <c r="O1260">
        <f>HYPERLINK("https://dart.fss.or.kr/dsaf001/main.do?rcpNo=20260211801284", "공시열람")</f>
        <v/>
      </c>
    </row>
    <row r="1261">
      <c r="A1261" t="inlineStr">
        <is>
          <t>2026-02-11</t>
        </is>
      </c>
      <c r="B1261" t="inlineStr">
        <is>
          <t>에이블씨엔씨</t>
        </is>
      </c>
      <c r="C1261" t="inlineStr">
        <is>
          <t>078520</t>
        </is>
      </c>
      <c r="D1261" t="inlineStr">
        <is>
          <t>연결</t>
        </is>
      </c>
      <c r="E1261" t="inlineStr">
        <is>
          <t>2025Q4</t>
        </is>
      </c>
      <c r="F1261" s="2" t="n">
        <v>67868</v>
      </c>
      <c r="G1261" t="n">
        <v>20.6</v>
      </c>
      <c r="H1261" t="n">
        <v>4.6</v>
      </c>
      <c r="I1261" s="2" t="n">
        <v>6907</v>
      </c>
      <c r="J1261" t="inlineStr"/>
      <c r="K1261" t="n">
        <v>26.9</v>
      </c>
      <c r="L1261" s="2" t="n">
        <v>5502</v>
      </c>
      <c r="M1261" t="n">
        <v>85.90000000000001</v>
      </c>
      <c r="N1261" t="inlineStr">
        <is>
          <t>20260211801296</t>
        </is>
      </c>
      <c r="O1261">
        <f>HYPERLINK("https://dart.fss.or.kr/dsaf001/main.do?rcpNo=20260211801296", "공시열람")</f>
        <v/>
      </c>
    </row>
    <row r="1262">
      <c r="A1262" t="inlineStr">
        <is>
          <t>2026-02-11</t>
        </is>
      </c>
      <c r="B1262" t="inlineStr">
        <is>
          <t>HL홀딩스</t>
        </is>
      </c>
      <c r="C1262" t="inlineStr">
        <is>
          <t>060980</t>
        </is>
      </c>
      <c r="D1262" t="inlineStr">
        <is>
          <t>연결</t>
        </is>
      </c>
      <c r="E1262" t="inlineStr">
        <is>
          <t>2025Q4</t>
        </is>
      </c>
      <c r="F1262" s="2" t="n">
        <v>340173</v>
      </c>
      <c r="G1262" t="n">
        <v>3.2</v>
      </c>
      <c r="H1262" t="n">
        <v>-6.1</v>
      </c>
      <c r="I1262" s="2" t="n">
        <v>35237</v>
      </c>
      <c r="J1262" t="n">
        <v>78.40000000000001</v>
      </c>
      <c r="K1262" t="n">
        <v>48.5</v>
      </c>
      <c r="L1262" s="2" t="n">
        <v>3378</v>
      </c>
      <c r="M1262" t="inlineStr"/>
      <c r="N1262" t="inlineStr">
        <is>
          <t>20260211801289</t>
        </is>
      </c>
      <c r="O1262">
        <f>HYPERLINK("https://dart.fss.or.kr/dsaf001/main.do?rcpNo=20260211801289", "공시열람")</f>
        <v/>
      </c>
    </row>
    <row r="1263">
      <c r="A1263" t="inlineStr">
        <is>
          <t>2026-02-11</t>
        </is>
      </c>
      <c r="B1263" t="inlineStr">
        <is>
          <t>LS</t>
        </is>
      </c>
      <c r="C1263" t="inlineStr">
        <is>
          <t>006260</t>
        </is>
      </c>
      <c r="D1263" t="inlineStr">
        <is>
          <t>연결</t>
        </is>
      </c>
      <c r="E1263" t="inlineStr">
        <is>
          <t>2025Q4</t>
        </is>
      </c>
      <c r="F1263" s="2" t="n">
        <v>8984229</v>
      </c>
      <c r="G1263" t="n">
        <v>11.29</v>
      </c>
      <c r="H1263" t="n">
        <v>26.54</v>
      </c>
      <c r="I1263" s="2" t="n">
        <v>259096</v>
      </c>
      <c r="J1263" t="n">
        <v>0.77</v>
      </c>
      <c r="K1263" t="n">
        <v>-12.99</v>
      </c>
      <c r="L1263" s="2" t="n">
        <v>75654</v>
      </c>
      <c r="M1263" t="inlineStr"/>
      <c r="N1263" t="inlineStr">
        <is>
          <t>20260211801389</t>
        </is>
      </c>
      <c r="O1263">
        <f>HYPERLINK("https://dart.fss.or.kr/dsaf001/main.do?rcpNo=20260211801389", "공시열람")</f>
        <v/>
      </c>
    </row>
    <row r="1264">
      <c r="A1264" t="inlineStr">
        <is>
          <t>2026-02-11</t>
        </is>
      </c>
      <c r="B1264" t="inlineStr">
        <is>
          <t>NHN KCP</t>
        </is>
      </c>
      <c r="C1264" t="inlineStr">
        <is>
          <t>060250</t>
        </is>
      </c>
      <c r="D1264" t="inlineStr">
        <is>
          <t>연결</t>
        </is>
      </c>
      <c r="E1264" t="inlineStr">
        <is>
          <t>2025Q4</t>
        </is>
      </c>
      <c r="F1264" s="2" t="n">
        <v>335638</v>
      </c>
      <c r="G1264" t="n">
        <v>5.7</v>
      </c>
      <c r="H1264" t="n">
        <v>16.2</v>
      </c>
      <c r="I1264" s="2" t="n">
        <v>15647</v>
      </c>
      <c r="J1264" t="n">
        <v>-0.7</v>
      </c>
      <c r="K1264" t="n">
        <v>28.5</v>
      </c>
      <c r="L1264" s="2" t="n">
        <v>12533</v>
      </c>
      <c r="M1264" t="n">
        <v>-4.6</v>
      </c>
      <c r="N1264" t="inlineStr">
        <is>
          <t>20260211901378</t>
        </is>
      </c>
      <c r="O1264">
        <f>HYPERLINK("https://dart.fss.or.kr/dsaf001/main.do?rcpNo=20260211901378", "공시열람")</f>
        <v/>
      </c>
    </row>
    <row r="1265">
      <c r="A1265" t="inlineStr">
        <is>
          <t>2026-02-11</t>
        </is>
      </c>
      <c r="B1265" t="inlineStr">
        <is>
          <t>시프트업</t>
        </is>
      </c>
      <c r="C1265" t="inlineStr">
        <is>
          <t>462870</t>
        </is>
      </c>
      <c r="D1265" t="inlineStr">
        <is>
          <t>연결</t>
        </is>
      </c>
      <c r="E1265" t="inlineStr">
        <is>
          <t>2025Q4</t>
        </is>
      </c>
      <c r="F1265" s="2" t="n">
        <v>64118</v>
      </c>
      <c r="G1265" t="n">
        <v>-15.1</v>
      </c>
      <c r="H1265" t="n">
        <v>1</v>
      </c>
      <c r="I1265" s="2" t="n">
        <v>37116</v>
      </c>
      <c r="J1265" t="n">
        <v>-25.1</v>
      </c>
      <c r="K1265" t="n">
        <v>-19.6</v>
      </c>
      <c r="L1265" s="2" t="n">
        <v>58347</v>
      </c>
      <c r="M1265" t="n">
        <v>-2</v>
      </c>
      <c r="N1265" t="inlineStr">
        <is>
          <t>20260211801498</t>
        </is>
      </c>
      <c r="O1265">
        <f>HYPERLINK("https://dart.fss.or.kr/dsaf001/main.do?rcpNo=20260211801498", "공시열람")</f>
        <v/>
      </c>
    </row>
    <row r="1266">
      <c r="A1266" t="inlineStr">
        <is>
          <t>2026-02-11</t>
        </is>
      </c>
      <c r="B1266" t="inlineStr">
        <is>
          <t>가비아</t>
        </is>
      </c>
      <c r="C1266" t="inlineStr">
        <is>
          <t>079940</t>
        </is>
      </c>
      <c r="D1266" t="inlineStr">
        <is>
          <t>연결</t>
        </is>
      </c>
      <c r="E1266" t="inlineStr">
        <is>
          <t>2025Q4</t>
        </is>
      </c>
      <c r="F1266" s="2" t="n">
        <v>97491</v>
      </c>
      <c r="G1266" t="n">
        <v>21</v>
      </c>
      <c r="H1266" t="n">
        <v>8.4</v>
      </c>
      <c r="I1266" s="2" t="n">
        <v>19132</v>
      </c>
      <c r="J1266" t="n">
        <v>153.6</v>
      </c>
      <c r="K1266" t="n">
        <v>33.4</v>
      </c>
      <c r="L1266" s="2" t="n">
        <v>17237</v>
      </c>
      <c r="M1266" t="n">
        <v>23.2</v>
      </c>
      <c r="N1266" t="inlineStr">
        <is>
          <t>20260211901645</t>
        </is>
      </c>
      <c r="O1266">
        <f>HYPERLINK("https://dart.fss.or.kr/dsaf001/main.do?rcpNo=20260211901645", "공시열람")</f>
        <v/>
      </c>
    </row>
    <row r="1267">
      <c r="A1267" t="inlineStr">
        <is>
          <t>2026-02-11</t>
        </is>
      </c>
      <c r="B1267" t="inlineStr">
        <is>
          <t>일동제약</t>
        </is>
      </c>
      <c r="C1267" t="inlineStr">
        <is>
          <t>249420</t>
        </is>
      </c>
      <c r="D1267" t="inlineStr">
        <is>
          <t>연결</t>
        </is>
      </c>
      <c r="E1267" t="inlineStr">
        <is>
          <t>2025Q4</t>
        </is>
      </c>
      <c r="F1267" s="2" t="n">
        <v>147021</v>
      </c>
      <c r="G1267" t="n">
        <v>1.1</v>
      </c>
      <c r="H1267" t="n">
        <v>-5.6</v>
      </c>
      <c r="I1267" s="2" t="n">
        <v>7926</v>
      </c>
      <c r="J1267" t="n">
        <v>17.2</v>
      </c>
      <c r="K1267" t="n">
        <v>-5.7</v>
      </c>
      <c r="L1267" s="2" t="n">
        <v>5632</v>
      </c>
      <c r="M1267" t="n">
        <v>97.09999999999999</v>
      </c>
      <c r="N1267" t="inlineStr">
        <is>
          <t>20260211801578</t>
        </is>
      </c>
      <c r="O1267">
        <f>HYPERLINK("https://dart.fss.or.kr/dsaf001/main.do?rcpNo=20260211801578", "공시열람")</f>
        <v/>
      </c>
    </row>
    <row r="1268">
      <c r="A1268" t="inlineStr">
        <is>
          <t>2026-02-11</t>
        </is>
      </c>
      <c r="B1268" t="inlineStr">
        <is>
          <t>일동홀딩스</t>
        </is>
      </c>
      <c r="C1268" t="inlineStr">
        <is>
          <t>000230</t>
        </is>
      </c>
      <c r="D1268" t="inlineStr">
        <is>
          <t>연결</t>
        </is>
      </c>
      <c r="E1268" t="inlineStr">
        <is>
          <t>2025Q4</t>
        </is>
      </c>
      <c r="F1268" s="2" t="n">
        <v>153826</v>
      </c>
      <c r="G1268" t="n">
        <v>2.2</v>
      </c>
      <c r="H1268" t="n">
        <v>-4.1</v>
      </c>
      <c r="I1268" s="2" t="n">
        <v>7239</v>
      </c>
      <c r="J1268" t="n">
        <v>10.8</v>
      </c>
      <c r="K1268" t="n">
        <v>85.7</v>
      </c>
      <c r="L1268" s="2" t="n">
        <v>14994</v>
      </c>
      <c r="M1268" t="n">
        <v>-82</v>
      </c>
      <c r="N1268" t="inlineStr">
        <is>
          <t>20260211801541</t>
        </is>
      </c>
      <c r="O1268">
        <f>HYPERLINK("https://dart.fss.or.kr/dsaf001/main.do?rcpNo=20260211801541", "공시열람")</f>
        <v/>
      </c>
    </row>
    <row r="1269">
      <c r="A1269" t="inlineStr">
        <is>
          <t>2026-02-11</t>
        </is>
      </c>
      <c r="B1269" t="inlineStr">
        <is>
          <t>웅진씽크빅</t>
        </is>
      </c>
      <c r="C1269" t="inlineStr">
        <is>
          <t>095720</t>
        </is>
      </c>
      <c r="D1269" t="inlineStr">
        <is>
          <t>연결</t>
        </is>
      </c>
      <c r="E1269" t="inlineStr">
        <is>
          <t>2025Q4</t>
        </is>
      </c>
      <c r="F1269" s="2" t="n">
        <v>797357</v>
      </c>
      <c r="G1269" t="n">
        <v>-8.1</v>
      </c>
      <c r="H1269" t="inlineStr"/>
      <c r="I1269" s="2" t="n">
        <v>-10456</v>
      </c>
      <c r="J1269" t="inlineStr"/>
      <c r="K1269" t="inlineStr"/>
      <c r="L1269" s="2" t="n">
        <v>-22681</v>
      </c>
      <c r="M1269" t="inlineStr"/>
      <c r="N1269" t="inlineStr">
        <is>
          <t>20260211801592</t>
        </is>
      </c>
      <c r="O1269">
        <f>HYPERLINK("https://dart.fss.or.kr/dsaf001/main.do?rcpNo=20260211801592", "공시열람")</f>
        <v/>
      </c>
    </row>
    <row r="1270">
      <c r="A1270" t="inlineStr">
        <is>
          <t>2026-02-11</t>
        </is>
      </c>
      <c r="B1270" t="inlineStr">
        <is>
          <t>경동나비엔</t>
        </is>
      </c>
      <c r="C1270" t="inlineStr">
        <is>
          <t>009450</t>
        </is>
      </c>
      <c r="D1270" t="inlineStr">
        <is>
          <t>연결</t>
        </is>
      </c>
      <c r="E1270" t="inlineStr">
        <is>
          <t>2025Q4</t>
        </is>
      </c>
      <c r="F1270" s="2" t="n">
        <v>439455</v>
      </c>
      <c r="G1270" t="n">
        <v>43.6</v>
      </c>
      <c r="H1270" t="n">
        <v>9.800000000000001</v>
      </c>
      <c r="I1270" s="2" t="n">
        <v>45464</v>
      </c>
      <c r="J1270" t="n">
        <v>468.8</v>
      </c>
      <c r="K1270" t="n">
        <v>34.8</v>
      </c>
      <c r="L1270" s="2" t="n">
        <v>19380</v>
      </c>
      <c r="M1270" t="n">
        <v>-60.2</v>
      </c>
      <c r="N1270" t="inlineStr">
        <is>
          <t>20260211801605</t>
        </is>
      </c>
      <c r="O1270">
        <f>HYPERLINK("https://dart.fss.or.kr/dsaf001/main.do?rcpNo=20260211801605", "공시열람")</f>
        <v/>
      </c>
    </row>
    <row r="1271">
      <c r="A1271" t="inlineStr">
        <is>
          <t>2026-02-11</t>
        </is>
      </c>
      <c r="B1271" t="inlineStr">
        <is>
          <t>가비아</t>
        </is>
      </c>
      <c r="C1271" t="inlineStr">
        <is>
          <t>079940</t>
        </is>
      </c>
      <c r="D1271" t="inlineStr">
        <is>
          <t>별도</t>
        </is>
      </c>
      <c r="E1271" t="inlineStr">
        <is>
          <t>2025Q4</t>
        </is>
      </c>
      <c r="F1271" s="2" t="n">
        <v>29279</v>
      </c>
      <c r="G1271" t="n">
        <v>8.9</v>
      </c>
      <c r="H1271" t="n">
        <v>16.1</v>
      </c>
      <c r="I1271" s="2" t="n">
        <v>4020</v>
      </c>
      <c r="J1271" t="n">
        <v>46.8</v>
      </c>
      <c r="K1271" t="n">
        <v>36.3</v>
      </c>
      <c r="L1271" s="2" t="n">
        <v>4754</v>
      </c>
      <c r="M1271" t="n">
        <v>87</v>
      </c>
      <c r="N1271" t="inlineStr">
        <is>
          <t>20260211901640</t>
        </is>
      </c>
      <c r="O1271">
        <f>HYPERLINK("https://dart.fss.or.kr/dsaf001/main.do?rcpNo=20260211901640", "공시열람")</f>
        <v/>
      </c>
    </row>
    <row r="1272">
      <c r="A1272" t="inlineStr">
        <is>
          <t>2026-02-11</t>
        </is>
      </c>
      <c r="B1272" t="inlineStr">
        <is>
          <t>NHN벅스</t>
        </is>
      </c>
      <c r="C1272" t="inlineStr">
        <is>
          <t>104200</t>
        </is>
      </c>
      <c r="D1272" t="inlineStr">
        <is>
          <t>별도</t>
        </is>
      </c>
      <c r="E1272" t="inlineStr">
        <is>
          <t>2025Q4</t>
        </is>
      </c>
      <c r="F1272" s="2" t="n">
        <v>11335</v>
      </c>
      <c r="G1272" t="n">
        <v>3.9</v>
      </c>
      <c r="H1272" t="n">
        <v>-9.4</v>
      </c>
      <c r="I1272" s="2" t="n">
        <v>84</v>
      </c>
      <c r="J1272" t="inlineStr"/>
      <c r="K1272" t="n">
        <v>-89.59999999999999</v>
      </c>
      <c r="L1272" s="2" t="n">
        <v>-4807</v>
      </c>
      <c r="M1272" t="n">
        <v>55.6</v>
      </c>
      <c r="N1272" t="inlineStr">
        <is>
          <t>20260211901178</t>
        </is>
      </c>
      <c r="O1272">
        <f>HYPERLINK("https://dart.fss.or.kr/dsaf001/main.do?rcpNo=20260211901178", "공시열람")</f>
        <v/>
      </c>
    </row>
    <row r="1273">
      <c r="A1273" t="inlineStr">
        <is>
          <t>2026-02-11</t>
        </is>
      </c>
      <c r="B1273" t="inlineStr">
        <is>
          <t>NHN</t>
        </is>
      </c>
      <c r="C1273" t="inlineStr">
        <is>
          <t>181710</t>
        </is>
      </c>
      <c r="D1273" t="inlineStr">
        <is>
          <t>별도</t>
        </is>
      </c>
      <c r="E1273" t="inlineStr">
        <is>
          <t>2025Q4</t>
        </is>
      </c>
      <c r="F1273" s="2" t="n">
        <v>94424</v>
      </c>
      <c r="G1273" t="n">
        <v>1.3</v>
      </c>
      <c r="H1273" t="n">
        <v>-0.2</v>
      </c>
      <c r="I1273" s="2" t="n">
        <v>19065</v>
      </c>
      <c r="J1273" t="n">
        <v>10.4</v>
      </c>
      <c r="K1273" t="n">
        <v>-26.9</v>
      </c>
      <c r="L1273" s="2" t="n">
        <v>-38031</v>
      </c>
      <c r="M1273" t="n">
        <v>55.8</v>
      </c>
      <c r="N1273" t="inlineStr">
        <is>
          <t>20260211801694</t>
        </is>
      </c>
      <c r="O1273">
        <f>HYPERLINK("https://dart.fss.or.kr/dsaf001/main.do?rcpNo=20260211801694", "공시열람")</f>
        <v/>
      </c>
    </row>
    <row r="1274">
      <c r="A1274" t="inlineStr">
        <is>
          <t>2026-02-11</t>
        </is>
      </c>
      <c r="B1274" t="inlineStr">
        <is>
          <t>NHN</t>
        </is>
      </c>
      <c r="C1274" t="inlineStr">
        <is>
          <t>181710</t>
        </is>
      </c>
      <c r="D1274" t="inlineStr">
        <is>
          <t>연결</t>
        </is>
      </c>
      <c r="E1274" t="inlineStr">
        <is>
          <t>2025Q4</t>
        </is>
      </c>
      <c r="F1274" s="2" t="n">
        <v>685722</v>
      </c>
      <c r="G1274" t="n">
        <v>9.6</v>
      </c>
      <c r="H1274" t="n">
        <v>6.5</v>
      </c>
      <c r="I1274" s="2" t="n">
        <v>55146</v>
      </c>
      <c r="J1274" t="n">
        <v>99.5</v>
      </c>
      <c r="K1274" t="n">
        <v>120.5</v>
      </c>
      <c r="L1274" s="2" t="n">
        <v>28652</v>
      </c>
      <c r="M1274" t="inlineStr"/>
      <c r="N1274" t="inlineStr">
        <is>
          <t>20260211801702</t>
        </is>
      </c>
      <c r="O1274">
        <f>HYPERLINK("https://dart.fss.or.kr/dsaf001/main.do?rcpNo=20260211801702", "공시열람")</f>
        <v/>
      </c>
    </row>
    <row r="1275">
      <c r="A1275" t="inlineStr">
        <is>
          <t>2026-02-11</t>
        </is>
      </c>
      <c r="B1275" t="inlineStr">
        <is>
          <t>케이티알파</t>
        </is>
      </c>
      <c r="C1275" t="inlineStr">
        <is>
          <t>036030</t>
        </is>
      </c>
      <c r="D1275" t="inlineStr">
        <is>
          <t>별도</t>
        </is>
      </c>
      <c r="E1275" t="inlineStr">
        <is>
          <t>2025Q4</t>
        </is>
      </c>
      <c r="F1275" s="2" t="n">
        <v>102974</v>
      </c>
      <c r="G1275" t="n">
        <v>6.9</v>
      </c>
      <c r="H1275" t="n">
        <v>2.7</v>
      </c>
      <c r="I1275" s="2" t="n">
        <v>6658</v>
      </c>
      <c r="J1275" t="n">
        <v>-41.3</v>
      </c>
      <c r="K1275" t="n">
        <v>18.4</v>
      </c>
      <c r="L1275" s="2" t="n">
        <v>6764</v>
      </c>
      <c r="M1275" t="n">
        <v>57.8</v>
      </c>
      <c r="N1275" t="inlineStr">
        <is>
          <t>20260211901730</t>
        </is>
      </c>
      <c r="O1275">
        <f>HYPERLINK("https://dart.fss.or.kr/dsaf001/main.do?rcpNo=20260211901730", "공시열람")</f>
        <v/>
      </c>
    </row>
    <row r="1276">
      <c r="A1276" t="inlineStr">
        <is>
          <t>2026-02-11</t>
        </is>
      </c>
      <c r="B1276" t="inlineStr">
        <is>
          <t>티케이지휴켐스</t>
        </is>
      </c>
      <c r="C1276" t="inlineStr">
        <is>
          <t>069260</t>
        </is>
      </c>
      <c r="D1276" t="inlineStr">
        <is>
          <t>연결</t>
        </is>
      </c>
      <c r="E1276" t="inlineStr">
        <is>
          <t>2025Q4</t>
        </is>
      </c>
      <c r="F1276" s="2" t="n">
        <v>276481</v>
      </c>
      <c r="G1276" t="n">
        <v>-5.2</v>
      </c>
      <c r="H1276" t="n">
        <v>-11.4</v>
      </c>
      <c r="I1276" s="2" t="n">
        <v>4608</v>
      </c>
      <c r="J1276" t="n">
        <v>-82.5</v>
      </c>
      <c r="K1276" t="n">
        <v>-43.9</v>
      </c>
      <c r="L1276" s="2" t="n">
        <v>-1121</v>
      </c>
      <c r="M1276" t="inlineStr"/>
      <c r="N1276" t="inlineStr">
        <is>
          <t>20260211801181</t>
        </is>
      </c>
      <c r="O1276">
        <f>HYPERLINK("https://dart.fss.or.kr/dsaf001/main.do?rcpNo=20260211801181", "공시열람")</f>
        <v/>
      </c>
    </row>
    <row r="1277">
      <c r="A1277" t="inlineStr">
        <is>
          <t>2026-02-11</t>
        </is>
      </c>
      <c r="B1277" t="inlineStr">
        <is>
          <t>NHN KCP</t>
        </is>
      </c>
      <c r="C1277" t="inlineStr">
        <is>
          <t>060250</t>
        </is>
      </c>
      <c r="D1277" t="inlineStr">
        <is>
          <t>별도</t>
        </is>
      </c>
      <c r="E1277" t="inlineStr">
        <is>
          <t>2025Q4</t>
        </is>
      </c>
      <c r="F1277" s="2" t="n">
        <v>318504</v>
      </c>
      <c r="G1277" t="n">
        <v>6</v>
      </c>
      <c r="H1277" t="n">
        <v>15</v>
      </c>
      <c r="I1277" s="2" t="n">
        <v>15462</v>
      </c>
      <c r="J1277" t="n">
        <v>-0.7</v>
      </c>
      <c r="K1277" t="n">
        <v>26.1</v>
      </c>
      <c r="L1277" s="2" t="n">
        <v>12482</v>
      </c>
      <c r="M1277" t="n">
        <v>-9.300000000000001</v>
      </c>
      <c r="N1277" t="inlineStr">
        <is>
          <t>20260211901388</t>
        </is>
      </c>
      <c r="O1277">
        <f>HYPERLINK("https://dart.fss.or.kr/dsaf001/main.do?rcpNo=20260211901388", "공시열람")</f>
        <v/>
      </c>
    </row>
    <row r="1278">
      <c r="A1278" t="inlineStr">
        <is>
          <t>2026-02-11</t>
        </is>
      </c>
      <c r="B1278" t="inlineStr">
        <is>
          <t>KT지니뮤직</t>
        </is>
      </c>
      <c r="C1278" t="inlineStr">
        <is>
          <t>043610</t>
        </is>
      </c>
      <c r="D1278" t="inlineStr">
        <is>
          <t>연결</t>
        </is>
      </c>
      <c r="E1278" t="inlineStr">
        <is>
          <t>2025Q4</t>
        </is>
      </c>
      <c r="F1278" s="2" t="n">
        <v>77021</v>
      </c>
      <c r="G1278" t="n">
        <v>-7.26</v>
      </c>
      <c r="H1278" t="n">
        <v>4.24</v>
      </c>
      <c r="I1278" s="2" t="n">
        <v>1411</v>
      </c>
      <c r="J1278" t="n">
        <v>-75.25</v>
      </c>
      <c r="K1278" t="n">
        <v>28.04</v>
      </c>
      <c r="L1278" s="2" t="n">
        <v>-29114</v>
      </c>
      <c r="M1278" t="n">
        <v>-51.17</v>
      </c>
      <c r="N1278" t="inlineStr">
        <is>
          <t>20260211901049</t>
        </is>
      </c>
      <c r="O1278">
        <f>HYPERLINK("https://dart.fss.or.kr/dsaf001/main.do?rcpNo=20260211901049", "공시열람")</f>
        <v/>
      </c>
    </row>
    <row r="1279">
      <c r="A1279" t="inlineStr">
        <is>
          <t>2026-02-11</t>
        </is>
      </c>
      <c r="B1279" t="inlineStr">
        <is>
          <t>플레이디</t>
        </is>
      </c>
      <c r="C1279" t="inlineStr">
        <is>
          <t>237820</t>
        </is>
      </c>
      <c r="D1279" t="inlineStr">
        <is>
          <t>연결</t>
        </is>
      </c>
      <c r="E1279" t="inlineStr">
        <is>
          <t>2025Q4</t>
        </is>
      </c>
      <c r="F1279" s="2" t="n">
        <v>13322</v>
      </c>
      <c r="G1279" t="n">
        <v>40.9</v>
      </c>
      <c r="H1279" t="n">
        <v>35.3</v>
      </c>
      <c r="I1279" s="2" t="n">
        <v>3047</v>
      </c>
      <c r="J1279" t="n">
        <v>112.5</v>
      </c>
      <c r="K1279" t="n">
        <v>211.9</v>
      </c>
      <c r="L1279" s="2" t="n">
        <v>2514</v>
      </c>
      <c r="M1279" t="n">
        <v>138.5</v>
      </c>
      <c r="N1279" t="inlineStr">
        <is>
          <t>20260211900596</t>
        </is>
      </c>
      <c r="O1279">
        <f>HYPERLINK("https://dart.fss.or.kr/dsaf001/main.do?rcpNo=20260211900596", "공시열람")</f>
        <v/>
      </c>
    </row>
    <row r="1280">
      <c r="A1280" t="inlineStr">
        <is>
          <t>2026-02-11</t>
        </is>
      </c>
      <c r="B1280" t="inlineStr">
        <is>
          <t>메리츠금융지주</t>
        </is>
      </c>
      <c r="C1280" t="inlineStr">
        <is>
          <t>138040</t>
        </is>
      </c>
      <c r="D1280" t="inlineStr">
        <is>
          <t>연결</t>
        </is>
      </c>
      <c r="E1280" t="inlineStr">
        <is>
          <t>2025Q4</t>
        </is>
      </c>
      <c r="F1280" s="2" t="n">
        <v>10305178</v>
      </c>
      <c r="G1280" t="n">
        <v>39.8</v>
      </c>
      <c r="H1280" t="n">
        <v>-13.3</v>
      </c>
      <c r="I1280" s="2" t="n">
        <v>338945</v>
      </c>
      <c r="J1280" t="n">
        <v>-60.7</v>
      </c>
      <c r="K1280" t="n">
        <v>-33.7</v>
      </c>
      <c r="L1280" s="2" t="n">
        <v>323343</v>
      </c>
      <c r="M1280" t="n">
        <v>-7.6</v>
      </c>
      <c r="N1280" t="inlineStr">
        <is>
          <t>20260211800917</t>
        </is>
      </c>
      <c r="O1280">
        <f>HYPERLINK("https://dart.fss.or.kr/dsaf001/main.do?rcpNo=20260211800917", "공시열람")</f>
        <v/>
      </c>
    </row>
    <row r="1281">
      <c r="A1281" t="inlineStr">
        <is>
          <t>2026-02-11</t>
        </is>
      </c>
      <c r="B1281" t="inlineStr">
        <is>
          <t>현대지에프홀딩스</t>
        </is>
      </c>
      <c r="C1281" t="inlineStr">
        <is>
          <t>005440</t>
        </is>
      </c>
      <c r="D1281" t="inlineStr">
        <is>
          <t>연결</t>
        </is>
      </c>
      <c r="E1281" t="inlineStr">
        <is>
          <t>2025Q4</t>
        </is>
      </c>
      <c r="F1281" s="2" t="n">
        <v>2095500</v>
      </c>
      <c r="G1281" t="n">
        <v>8.800000000000001</v>
      </c>
      <c r="H1281" t="n">
        <v>-2.4</v>
      </c>
      <c r="I1281" s="2" t="n">
        <v>29300</v>
      </c>
      <c r="J1281" t="n">
        <v>-60.7</v>
      </c>
      <c r="K1281" t="n">
        <v>44.3</v>
      </c>
      <c r="L1281" s="2" t="n">
        <v>46300</v>
      </c>
      <c r="M1281" t="n">
        <v>-71.40000000000001</v>
      </c>
      <c r="N1281" t="inlineStr">
        <is>
          <t>20260211800483</t>
        </is>
      </c>
      <c r="O1281">
        <f>HYPERLINK("https://dart.fss.or.kr/dsaf001/main.do?rcpNo=20260211800483", "공시열람")</f>
        <v/>
      </c>
    </row>
    <row r="1282">
      <c r="A1282" t="inlineStr">
        <is>
          <t>2026-02-11</t>
        </is>
      </c>
      <c r="B1282" t="inlineStr">
        <is>
          <t>현대이지웰</t>
        </is>
      </c>
      <c r="C1282" t="inlineStr">
        <is>
          <t>090850</t>
        </is>
      </c>
      <c r="D1282" t="inlineStr">
        <is>
          <t>연결</t>
        </is>
      </c>
      <c r="E1282" t="inlineStr">
        <is>
          <t>2025Q4</t>
        </is>
      </c>
      <c r="F1282" s="2" t="n">
        <v>36442</v>
      </c>
      <c r="G1282" t="n">
        <v>8.300000000000001</v>
      </c>
      <c r="H1282" t="n">
        <v>17.9</v>
      </c>
      <c r="I1282" s="2" t="n">
        <v>4257</v>
      </c>
      <c r="J1282" t="n">
        <v>-11.5</v>
      </c>
      <c r="K1282" t="n">
        <v>84.40000000000001</v>
      </c>
      <c r="L1282" s="2" t="n">
        <v>3902</v>
      </c>
      <c r="M1282" t="inlineStr"/>
      <c r="N1282" t="inlineStr">
        <is>
          <t>20260211900388</t>
        </is>
      </c>
      <c r="O1282">
        <f>HYPERLINK("https://dart.fss.or.kr/dsaf001/main.do?rcpNo=20260211900388", "공시열람")</f>
        <v/>
      </c>
    </row>
    <row r="1283">
      <c r="A1283" t="inlineStr">
        <is>
          <t>2026-02-11</t>
        </is>
      </c>
      <c r="B1283" t="inlineStr">
        <is>
          <t>현대백화점</t>
        </is>
      </c>
      <c r="C1283" t="inlineStr">
        <is>
          <t>069960</t>
        </is>
      </c>
      <c r="D1283" t="inlineStr">
        <is>
          <t>연결</t>
        </is>
      </c>
      <c r="E1283" t="inlineStr">
        <is>
          <t>2025Q4</t>
        </is>
      </c>
      <c r="F1283" s="2" t="n">
        <v>1041700</v>
      </c>
      <c r="G1283" t="n">
        <v>3.1</v>
      </c>
      <c r="H1283" t="n">
        <v>-11.4</v>
      </c>
      <c r="I1283" s="2" t="n">
        <v>106200</v>
      </c>
      <c r="J1283" t="n">
        <v>46.1</v>
      </c>
      <c r="K1283" t="n">
        <v>-1.4</v>
      </c>
      <c r="L1283" s="2" t="n">
        <v>-48600</v>
      </c>
      <c r="M1283" t="inlineStr"/>
      <c r="N1283" t="inlineStr">
        <is>
          <t>20260211800394</t>
        </is>
      </c>
      <c r="O1283">
        <f>HYPERLINK("https://dart.fss.or.kr/dsaf001/main.do?rcpNo=20260211800394", "공시열람")</f>
        <v/>
      </c>
    </row>
    <row r="1284">
      <c r="A1284" t="inlineStr">
        <is>
          <t>2026-02-11</t>
        </is>
      </c>
      <c r="B1284" t="inlineStr">
        <is>
          <t>이마트</t>
        </is>
      </c>
      <c r="C1284" t="inlineStr">
        <is>
          <t>139480</t>
        </is>
      </c>
      <c r="D1284" t="inlineStr">
        <is>
          <t>연결</t>
        </is>
      </c>
      <c r="E1284" t="inlineStr">
        <is>
          <t>2025Q4</t>
        </is>
      </c>
      <c r="F1284" s="2" t="n">
        <v>7311700</v>
      </c>
      <c r="G1284" t="n">
        <v>-1.2</v>
      </c>
      <c r="H1284" t="n">
        <v>0.9</v>
      </c>
      <c r="I1284" s="2" t="n">
        <v>-9900</v>
      </c>
      <c r="J1284" t="inlineStr"/>
      <c r="K1284" t="n">
        <v>87.2</v>
      </c>
      <c r="L1284" s="2" t="n">
        <v>-116300</v>
      </c>
      <c r="M1284" t="n">
        <v>80.5</v>
      </c>
      <c r="N1284" t="inlineStr">
        <is>
          <t>20260211800376</t>
        </is>
      </c>
      <c r="O1284">
        <f>HYPERLINK("https://dart.fss.or.kr/dsaf001/main.do?rcpNo=20260211800376", "공시열람")</f>
        <v/>
      </c>
    </row>
    <row r="1285">
      <c r="A1285" t="inlineStr">
        <is>
          <t>2026-02-11</t>
        </is>
      </c>
      <c r="B1285" t="inlineStr">
        <is>
          <t>SM C&amp;C</t>
        </is>
      </c>
      <c r="C1285" t="inlineStr">
        <is>
          <t>048550</t>
        </is>
      </c>
      <c r="D1285" t="inlineStr">
        <is>
          <t>연결</t>
        </is>
      </c>
      <c r="E1285" t="inlineStr">
        <is>
          <t>2025Q4</t>
        </is>
      </c>
      <c r="F1285" s="2" t="n">
        <v>36285</v>
      </c>
      <c r="G1285" t="n">
        <v>42.9</v>
      </c>
      <c r="H1285" t="n">
        <v>8.699999999999999</v>
      </c>
      <c r="I1285" s="2" t="n">
        <v>3092</v>
      </c>
      <c r="J1285" t="inlineStr"/>
      <c r="K1285" t="n">
        <v>46.4</v>
      </c>
      <c r="L1285" s="2" t="n">
        <v>543</v>
      </c>
      <c r="M1285" t="inlineStr"/>
      <c r="N1285" t="inlineStr">
        <is>
          <t>20260211900339</t>
        </is>
      </c>
      <c r="O1285">
        <f>HYPERLINK("https://dart.fss.or.kr/dsaf001/main.do?rcpNo=20260211900339", "공시열람")</f>
        <v/>
      </c>
    </row>
    <row r="1286">
      <c r="A1286" t="inlineStr">
        <is>
          <t>2026-02-11</t>
        </is>
      </c>
      <c r="B1286" t="inlineStr">
        <is>
          <t>키다리스튜디오</t>
        </is>
      </c>
      <c r="C1286" t="inlineStr">
        <is>
          <t>020120</t>
        </is>
      </c>
      <c r="D1286" t="inlineStr">
        <is>
          <t>연결</t>
        </is>
      </c>
      <c r="E1286" t="inlineStr">
        <is>
          <t>2025Q4</t>
        </is>
      </c>
      <c r="F1286" s="2" t="n">
        <v>64712</v>
      </c>
      <c r="G1286" t="n">
        <v>22.67</v>
      </c>
      <c r="H1286" t="n">
        <v>15.95</v>
      </c>
      <c r="I1286" s="2" t="n">
        <v>6432</v>
      </c>
      <c r="J1286" t="n">
        <v>80.7</v>
      </c>
      <c r="K1286" t="n">
        <v>1482.73</v>
      </c>
      <c r="L1286" s="2" t="n">
        <v>815</v>
      </c>
      <c r="M1286" t="inlineStr"/>
      <c r="N1286" t="inlineStr">
        <is>
          <t>20260211800326</t>
        </is>
      </c>
      <c r="O1286">
        <f>HYPERLINK("https://dart.fss.or.kr/dsaf001/main.do?rcpNo=20260211800326", "공시열람")</f>
        <v/>
      </c>
    </row>
    <row r="1287">
      <c r="A1287" t="inlineStr">
        <is>
          <t>2026-02-11</t>
        </is>
      </c>
      <c r="B1287" t="inlineStr">
        <is>
          <t>팬오션</t>
        </is>
      </c>
      <c r="C1287" t="inlineStr">
        <is>
          <t>028670</t>
        </is>
      </c>
      <c r="D1287" t="inlineStr">
        <is>
          <t>연결</t>
        </is>
      </c>
      <c r="E1287" t="inlineStr">
        <is>
          <t>2025Q4</t>
        </is>
      </c>
      <c r="F1287" s="2" t="n">
        <v>1476300</v>
      </c>
      <c r="G1287" t="n">
        <v>16.3</v>
      </c>
      <c r="H1287" t="n">
        <v>-11.9</v>
      </c>
      <c r="I1287" s="2" t="n">
        <v>130400</v>
      </c>
      <c r="J1287" t="n">
        <v>4.2</v>
      </c>
      <c r="K1287" t="n">
        <v>18.8</v>
      </c>
      <c r="L1287" s="2" t="n">
        <v>48700</v>
      </c>
      <c r="M1287" t="inlineStr"/>
      <c r="N1287" t="inlineStr">
        <is>
          <t>20260211800273</t>
        </is>
      </c>
      <c r="O1287">
        <f>HYPERLINK("https://dart.fss.or.kr/dsaf001/main.do?rcpNo=20260211800273", "공시열람")</f>
        <v/>
      </c>
    </row>
    <row r="1288">
      <c r="A1288" t="inlineStr">
        <is>
          <t>2026-02-11</t>
        </is>
      </c>
      <c r="B1288" t="inlineStr">
        <is>
          <t>현대퓨처넷</t>
        </is>
      </c>
      <c r="C1288" t="inlineStr">
        <is>
          <t>126560</t>
        </is>
      </c>
      <c r="D1288" t="inlineStr">
        <is>
          <t>연결</t>
        </is>
      </c>
      <c r="E1288" t="inlineStr">
        <is>
          <t>2025Q4</t>
        </is>
      </c>
      <c r="F1288" s="2" t="n">
        <v>65524</v>
      </c>
      <c r="G1288" t="n">
        <v>-5.5</v>
      </c>
      <c r="H1288" t="n">
        <v>7.3</v>
      </c>
      <c r="I1288" s="2" t="n">
        <v>-5562</v>
      </c>
      <c r="J1288" t="inlineStr"/>
      <c r="K1288" t="n">
        <v>-25.6</v>
      </c>
      <c r="L1288" s="2" t="n">
        <v>-3827</v>
      </c>
      <c r="M1288" t="n">
        <v>-0.2</v>
      </c>
      <c r="N1288" t="inlineStr">
        <is>
          <t>20260211800184</t>
        </is>
      </c>
      <c r="O1288">
        <f>HYPERLINK("https://dart.fss.or.kr/dsaf001/main.do?rcpNo=20260211800184", "공시열람")</f>
        <v/>
      </c>
    </row>
    <row r="1289">
      <c r="A1289" t="inlineStr">
        <is>
          <t>2026-02-11</t>
        </is>
      </c>
      <c r="B1289" t="inlineStr">
        <is>
          <t>케이아이엔엑스</t>
        </is>
      </c>
      <c r="C1289" t="inlineStr">
        <is>
          <t>093320</t>
        </is>
      </c>
      <c r="D1289" t="inlineStr">
        <is>
          <t>연결</t>
        </is>
      </c>
      <c r="E1289" t="inlineStr">
        <is>
          <t>2025Q4</t>
        </is>
      </c>
      <c r="F1289" s="2" t="n">
        <v>41214</v>
      </c>
      <c r="G1289" t="n">
        <v>4.42</v>
      </c>
      <c r="H1289" t="n">
        <v>-1.82</v>
      </c>
      <c r="I1289" s="2" t="n">
        <v>6907</v>
      </c>
      <c r="J1289" t="n">
        <v>11.34</v>
      </c>
      <c r="K1289" t="n">
        <v>17.11</v>
      </c>
      <c r="L1289" s="2" t="n">
        <v>7197</v>
      </c>
      <c r="M1289" t="n">
        <v>1.78</v>
      </c>
      <c r="N1289" t="inlineStr">
        <is>
          <t>20260211900584</t>
        </is>
      </c>
      <c r="O1289">
        <f>HYPERLINK("https://dart.fss.or.kr/dsaf001/main.do?rcpNo=20260211900584", "공시열람")</f>
        <v/>
      </c>
    </row>
    <row r="1290">
      <c r="A1290" t="inlineStr">
        <is>
          <t>2026-02-11</t>
        </is>
      </c>
      <c r="B1290" t="inlineStr">
        <is>
          <t>케이아이엔엑스</t>
        </is>
      </c>
      <c r="C1290" t="inlineStr">
        <is>
          <t>093320</t>
        </is>
      </c>
      <c r="D1290" t="inlineStr">
        <is>
          <t>별도</t>
        </is>
      </c>
      <c r="E1290" t="inlineStr">
        <is>
          <t>2025Q4</t>
        </is>
      </c>
      <c r="F1290" s="2" t="n">
        <v>27254</v>
      </c>
      <c r="G1290" t="n">
        <v>2.82</v>
      </c>
      <c r="H1290" t="n">
        <v>6.69</v>
      </c>
      <c r="I1290" s="2" t="n">
        <v>6004</v>
      </c>
      <c r="J1290" t="n">
        <v>19.23</v>
      </c>
      <c r="K1290" t="n">
        <v>35.88</v>
      </c>
      <c r="L1290" s="2" t="n">
        <v>4867</v>
      </c>
      <c r="M1290" t="n">
        <v>16.36</v>
      </c>
      <c r="N1290" t="inlineStr">
        <is>
          <t>20260211900588</t>
        </is>
      </c>
      <c r="O1290">
        <f>HYPERLINK("https://dart.fss.or.kr/dsaf001/main.do?rcpNo=20260211900588", "공시열람")</f>
        <v/>
      </c>
    </row>
    <row r="1291">
      <c r="A1291" t="inlineStr">
        <is>
          <t>2026-02-11</t>
        </is>
      </c>
      <c r="B1291" t="inlineStr">
        <is>
          <t>메리츠금융지주</t>
        </is>
      </c>
      <c r="C1291" t="inlineStr">
        <is>
          <t>138040</t>
        </is>
      </c>
      <c r="D1291" t="inlineStr">
        <is>
          <t>별도</t>
        </is>
      </c>
      <c r="E1291" t="inlineStr">
        <is>
          <t>2025Q4</t>
        </is>
      </c>
      <c r="F1291" s="2" t="n">
        <v>3009954</v>
      </c>
      <c r="G1291" t="n">
        <v>-0.9</v>
      </c>
      <c r="H1291" t="n">
        <v>0.2</v>
      </c>
      <c r="I1291" s="2" t="n">
        <v>333764</v>
      </c>
      <c r="J1291" t="n">
        <v>-46.6</v>
      </c>
      <c r="K1291" t="n">
        <v>14.6</v>
      </c>
      <c r="L1291" s="2" t="n">
        <v>229948</v>
      </c>
      <c r="M1291" t="n">
        <v>5.6</v>
      </c>
      <c r="N1291" t="inlineStr">
        <is>
          <t>20260211800910</t>
        </is>
      </c>
      <c r="O1291">
        <f>HYPERLINK("https://dart.fss.or.kr/dsaf001/main.do?rcpNo=20260211800910", "공시열람")</f>
        <v/>
      </c>
    </row>
    <row r="1292">
      <c r="A1292" t="inlineStr">
        <is>
          <t>2026-02-11</t>
        </is>
      </c>
      <c r="B1292" t="inlineStr">
        <is>
          <t>플레이디</t>
        </is>
      </c>
      <c r="C1292" t="inlineStr">
        <is>
          <t>237820</t>
        </is>
      </c>
      <c r="D1292" t="inlineStr">
        <is>
          <t>별도</t>
        </is>
      </c>
      <c r="E1292" t="inlineStr">
        <is>
          <t>2025Q4</t>
        </is>
      </c>
      <c r="F1292" s="2" t="n">
        <v>11651</v>
      </c>
      <c r="G1292" t="n">
        <v>23.2</v>
      </c>
      <c r="H1292" t="n">
        <v>18.3</v>
      </c>
      <c r="I1292" s="2" t="n">
        <v>3242</v>
      </c>
      <c r="J1292" t="n">
        <v>125.6</v>
      </c>
      <c r="K1292" t="n">
        <v>231.8</v>
      </c>
      <c r="L1292" s="2" t="n">
        <v>2742</v>
      </c>
      <c r="M1292" t="n">
        <v>160.2</v>
      </c>
      <c r="N1292" t="inlineStr">
        <is>
          <t>20260211900599</t>
        </is>
      </c>
      <c r="O1292">
        <f>HYPERLINK("https://dart.fss.or.kr/dsaf001/main.do?rcpNo=20260211900599", "공시열람")</f>
        <v/>
      </c>
    </row>
    <row r="1293">
      <c r="A1293" t="inlineStr">
        <is>
          <t>2026-02-11</t>
        </is>
      </c>
      <c r="B1293" t="inlineStr">
        <is>
          <t>위메이드</t>
        </is>
      </c>
      <c r="C1293" t="inlineStr">
        <is>
          <t>112040</t>
        </is>
      </c>
      <c r="D1293" t="inlineStr">
        <is>
          <t>연결</t>
        </is>
      </c>
      <c r="E1293" t="inlineStr">
        <is>
          <t>2025Q4</t>
        </is>
      </c>
      <c r="F1293" s="2" t="n">
        <v>191737</v>
      </c>
      <c r="G1293" t="n">
        <v>17.2</v>
      </c>
      <c r="H1293" t="n">
        <v>16.3</v>
      </c>
      <c r="I1293" s="2" t="n">
        <v>24253</v>
      </c>
      <c r="J1293" t="n">
        <v>-7.8</v>
      </c>
      <c r="K1293" t="n">
        <v>42.3</v>
      </c>
      <c r="L1293" s="2" t="n">
        <v>-36473</v>
      </c>
      <c r="M1293" t="inlineStr"/>
      <c r="N1293" t="inlineStr">
        <is>
          <t>20260211900862</t>
        </is>
      </c>
      <c r="O1293">
        <f>HYPERLINK("https://dart.fss.or.kr/dsaf001/main.do?rcpNo=20260211900862", "공시열람")</f>
        <v/>
      </c>
    </row>
    <row r="1294">
      <c r="A1294" t="inlineStr">
        <is>
          <t>2026-02-11</t>
        </is>
      </c>
      <c r="B1294" t="inlineStr">
        <is>
          <t>휴젤</t>
        </is>
      </c>
      <c r="C1294" t="inlineStr">
        <is>
          <t>145020</t>
        </is>
      </c>
      <c r="D1294" t="inlineStr">
        <is>
          <t>연결</t>
        </is>
      </c>
      <c r="E1294" t="inlineStr">
        <is>
          <t>2025Q4</t>
        </is>
      </c>
      <c r="F1294" s="2" t="n">
        <v>119131</v>
      </c>
      <c r="G1294" t="n">
        <v>12.5</v>
      </c>
      <c r="H1294" t="n">
        <v>21.3</v>
      </c>
      <c r="I1294" s="2" t="n">
        <v>58618</v>
      </c>
      <c r="J1294" t="n">
        <v>23.7</v>
      </c>
      <c r="K1294" t="n">
        <v>26.2</v>
      </c>
      <c r="L1294" s="2" t="n">
        <v>36845</v>
      </c>
      <c r="M1294" t="n">
        <v>-11</v>
      </c>
      <c r="N1294" t="inlineStr">
        <is>
          <t>20260211900652</t>
        </is>
      </c>
      <c r="O1294">
        <f>HYPERLINK("https://dart.fss.or.kr/dsaf001/main.do?rcpNo=20260211900652", "공시열람")</f>
        <v/>
      </c>
    </row>
    <row r="1295">
      <c r="A1295" t="inlineStr">
        <is>
          <t>2026-02-11</t>
        </is>
      </c>
      <c r="B1295" t="inlineStr">
        <is>
          <t>SFA반도체</t>
        </is>
      </c>
      <c r="C1295" t="inlineStr">
        <is>
          <t>036540</t>
        </is>
      </c>
      <c r="D1295" t="inlineStr">
        <is>
          <t>연결</t>
        </is>
      </c>
      <c r="E1295" t="inlineStr">
        <is>
          <t>2025Q4</t>
        </is>
      </c>
      <c r="F1295" s="2" t="n">
        <v>119554</v>
      </c>
      <c r="G1295" t="n">
        <v>23.9</v>
      </c>
      <c r="H1295" t="n">
        <v>46.9</v>
      </c>
      <c r="I1295" s="2" t="n">
        <v>-590</v>
      </c>
      <c r="J1295" t="n">
        <v>90.59999999999999</v>
      </c>
      <c r="K1295" t="n">
        <v>89.5</v>
      </c>
      <c r="L1295" s="2" t="n">
        <v>-1151</v>
      </c>
      <c r="M1295" t="n">
        <v>88</v>
      </c>
      <c r="N1295" t="inlineStr">
        <is>
          <t>20260211900889</t>
        </is>
      </c>
      <c r="O1295">
        <f>HYPERLINK("https://dart.fss.or.kr/dsaf001/main.do?rcpNo=20260211900889", "공시열람")</f>
        <v/>
      </c>
    </row>
    <row r="1296">
      <c r="A1296" t="inlineStr">
        <is>
          <t>2026-02-11</t>
        </is>
      </c>
      <c r="B1296" t="inlineStr">
        <is>
          <t>SFA반도체</t>
        </is>
      </c>
      <c r="C1296" t="inlineStr">
        <is>
          <t>036540</t>
        </is>
      </c>
      <c r="D1296" t="inlineStr">
        <is>
          <t>별도</t>
        </is>
      </c>
      <c r="E1296" t="inlineStr">
        <is>
          <t>2025Q4</t>
        </is>
      </c>
      <c r="F1296" s="2" t="n">
        <v>115741</v>
      </c>
      <c r="G1296" t="n">
        <v>24.2</v>
      </c>
      <c r="H1296" t="n">
        <v>39</v>
      </c>
      <c r="I1296" s="2" t="n">
        <v>2074</v>
      </c>
      <c r="J1296" t="inlineStr"/>
      <c r="K1296" t="inlineStr"/>
      <c r="L1296" s="2" t="n">
        <v>1689</v>
      </c>
      <c r="M1296" t="inlineStr"/>
      <c r="N1296" t="inlineStr">
        <is>
          <t>20260211900878</t>
        </is>
      </c>
      <c r="O1296">
        <f>HYPERLINK("https://dart.fss.or.kr/dsaf001/main.do?rcpNo=20260211900878", "공시열람")</f>
        <v/>
      </c>
    </row>
    <row r="1297">
      <c r="A1297" t="inlineStr">
        <is>
          <t>2026-02-11</t>
        </is>
      </c>
      <c r="B1297" t="inlineStr">
        <is>
          <t>KT나스미디어</t>
        </is>
      </c>
      <c r="C1297" t="inlineStr">
        <is>
          <t>089600</t>
        </is>
      </c>
      <c r="D1297" t="inlineStr">
        <is>
          <t>별도</t>
        </is>
      </c>
      <c r="E1297" t="inlineStr">
        <is>
          <t>2025Q4</t>
        </is>
      </c>
      <c r="F1297" s="2" t="n">
        <v>36939</v>
      </c>
      <c r="G1297" t="n">
        <v>18.5</v>
      </c>
      <c r="H1297" t="n">
        <v>26.5</v>
      </c>
      <c r="I1297" s="2" t="n">
        <v>3530</v>
      </c>
      <c r="J1297" t="n">
        <v>-6</v>
      </c>
      <c r="K1297" t="n">
        <v>-14</v>
      </c>
      <c r="L1297" s="2" t="n">
        <v>-589</v>
      </c>
      <c r="M1297" t="n">
        <v>97.2</v>
      </c>
      <c r="N1297" t="inlineStr">
        <is>
          <t>20260211900924</t>
        </is>
      </c>
      <c r="O1297">
        <f>HYPERLINK("https://dart.fss.or.kr/dsaf001/main.do?rcpNo=20260211900924", "공시열람")</f>
        <v/>
      </c>
    </row>
    <row r="1298">
      <c r="A1298" t="inlineStr">
        <is>
          <t>2026-02-11</t>
        </is>
      </c>
      <c r="B1298" t="inlineStr">
        <is>
          <t>메리츠금융지주</t>
        </is>
      </c>
      <c r="C1298" t="inlineStr">
        <is>
          <t>138040</t>
        </is>
      </c>
      <c r="D1298" t="inlineStr">
        <is>
          <t>연결</t>
        </is>
      </c>
      <c r="E1298" t="inlineStr">
        <is>
          <t>2025Q4</t>
        </is>
      </c>
      <c r="F1298" s="2" t="n">
        <v>7969526</v>
      </c>
      <c r="G1298" t="n">
        <v>59.5</v>
      </c>
      <c r="H1298" t="n">
        <v>-14.1</v>
      </c>
      <c r="I1298" s="2" t="n">
        <v>86702</v>
      </c>
      <c r="J1298" t="n">
        <v>-65.7</v>
      </c>
      <c r="K1298" t="n">
        <v>-72</v>
      </c>
      <c r="L1298" s="2" t="n">
        <v>122789</v>
      </c>
      <c r="M1298" t="n">
        <v>-18.6</v>
      </c>
      <c r="N1298" t="inlineStr">
        <is>
          <t>20260211800907</t>
        </is>
      </c>
      <c r="O1298">
        <f>HYPERLINK("https://dart.fss.or.kr/dsaf001/main.do?rcpNo=20260211800907", "공시열람")</f>
        <v/>
      </c>
    </row>
    <row r="1299">
      <c r="A1299" t="inlineStr">
        <is>
          <t>2026-02-11</t>
        </is>
      </c>
      <c r="B1299" t="inlineStr">
        <is>
          <t>서울바이오시스</t>
        </is>
      </c>
      <c r="C1299" t="inlineStr">
        <is>
          <t>092190</t>
        </is>
      </c>
      <c r="D1299" t="inlineStr">
        <is>
          <t>연결</t>
        </is>
      </c>
      <c r="E1299" t="inlineStr">
        <is>
          <t>2025Q4</t>
        </is>
      </c>
      <c r="F1299" s="2" t="n">
        <v>220339</v>
      </c>
      <c r="G1299" t="n">
        <v>17.5</v>
      </c>
      <c r="H1299" t="n">
        <v>23.2</v>
      </c>
      <c r="I1299" s="2" t="n">
        <v>18613</v>
      </c>
      <c r="J1299" t="inlineStr"/>
      <c r="K1299" t="inlineStr"/>
      <c r="L1299" s="2" t="n">
        <v>13345</v>
      </c>
      <c r="M1299" t="inlineStr"/>
      <c r="N1299" t="inlineStr">
        <is>
          <t>20260211900805</t>
        </is>
      </c>
      <c r="O1299">
        <f>HYPERLINK("https://dart.fss.or.kr/dsaf001/main.do?rcpNo=20260211900805", "공시열람")</f>
        <v/>
      </c>
    </row>
    <row r="1300">
      <c r="A1300" t="inlineStr">
        <is>
          <t>2026-02-11</t>
        </is>
      </c>
      <c r="B1300" t="inlineStr">
        <is>
          <t>카카오게임즈</t>
        </is>
      </c>
      <c r="C1300" t="inlineStr">
        <is>
          <t>293490</t>
        </is>
      </c>
      <c r="D1300" t="inlineStr">
        <is>
          <t>연결</t>
        </is>
      </c>
      <c r="E1300" t="inlineStr">
        <is>
          <t>2025Q4</t>
        </is>
      </c>
      <c r="F1300" s="2" t="n">
        <v>98889</v>
      </c>
      <c r="G1300" t="n">
        <v>-22.42</v>
      </c>
      <c r="H1300" t="n">
        <v>-25.77</v>
      </c>
      <c r="I1300" s="2" t="n">
        <v>-13089</v>
      </c>
      <c r="J1300" t="n">
        <v>-140.32</v>
      </c>
      <c r="K1300" t="n">
        <v>-234.71</v>
      </c>
      <c r="L1300" s="2" t="n">
        <v>-110554</v>
      </c>
      <c r="M1300" t="n">
        <v>-0.98</v>
      </c>
      <c r="N1300" t="inlineStr">
        <is>
          <t>20260211900074</t>
        </is>
      </c>
      <c r="O1300">
        <f>HYPERLINK("https://dart.fss.or.kr/dsaf001/main.do?rcpNo=20260211900074", "공시열람")</f>
        <v/>
      </c>
    </row>
    <row r="1301">
      <c r="A1301" t="inlineStr">
        <is>
          <t>2026-02-11</t>
        </is>
      </c>
      <c r="B1301" t="inlineStr">
        <is>
          <t>OCI홀딩스</t>
        </is>
      </c>
      <c r="C1301" t="inlineStr">
        <is>
          <t>010060</t>
        </is>
      </c>
      <c r="D1301" t="inlineStr">
        <is>
          <t>연결</t>
        </is>
      </c>
      <c r="E1301" t="inlineStr">
        <is>
          <t>2025Q4</t>
        </is>
      </c>
      <c r="F1301" s="2" t="n">
        <v>810585</v>
      </c>
      <c r="G1301" t="n">
        <v>-4.1</v>
      </c>
      <c r="H1301" t="n">
        <v>-5.1</v>
      </c>
      <c r="I1301" s="2" t="n">
        <v>27345</v>
      </c>
      <c r="J1301" t="inlineStr"/>
      <c r="K1301" t="inlineStr"/>
      <c r="L1301" s="2" t="n">
        <v>26627</v>
      </c>
      <c r="M1301" t="inlineStr"/>
      <c r="N1301" t="inlineStr">
        <is>
          <t>20260211800688</t>
        </is>
      </c>
      <c r="O1301">
        <f>HYPERLINK("https://dart.fss.or.kr/dsaf001/main.do?rcpNo=20260211800688", "공시열람")</f>
        <v/>
      </c>
    </row>
    <row r="1302">
      <c r="A1302" t="inlineStr">
        <is>
          <t>2026-02-11</t>
        </is>
      </c>
      <c r="B1302" t="inlineStr">
        <is>
          <t>에스엠</t>
        </is>
      </c>
      <c r="C1302" t="inlineStr">
        <is>
          <t>041510</t>
        </is>
      </c>
      <c r="D1302" t="inlineStr">
        <is>
          <t>연결</t>
        </is>
      </c>
      <c r="E1302" t="inlineStr">
        <is>
          <t>2025Q4</t>
        </is>
      </c>
      <c r="F1302" s="2" t="n">
        <v>319002</v>
      </c>
      <c r="G1302" t="n">
        <v>-0.8</v>
      </c>
      <c r="H1302" t="n">
        <v>16.6</v>
      </c>
      <c r="I1302" s="2" t="n">
        <v>54624</v>
      </c>
      <c r="J1302" t="n">
        <v>13.3</v>
      </c>
      <c r="K1302" t="n">
        <v>62.2</v>
      </c>
      <c r="L1302" s="2" t="n">
        <v>27375</v>
      </c>
      <c r="M1302" t="inlineStr"/>
      <c r="N1302" t="inlineStr">
        <is>
          <t>20260211900721</t>
        </is>
      </c>
      <c r="O1302">
        <f>HYPERLINK("https://dart.fss.or.kr/dsaf001/main.do?rcpNo=20260211900721", "공시열람")</f>
        <v/>
      </c>
    </row>
    <row r="1303">
      <c r="A1303" t="inlineStr">
        <is>
          <t>2026-02-11</t>
        </is>
      </c>
      <c r="B1303" t="inlineStr">
        <is>
          <t>에스엠</t>
        </is>
      </c>
      <c r="C1303" t="inlineStr">
        <is>
          <t>041510</t>
        </is>
      </c>
      <c r="D1303" t="inlineStr">
        <is>
          <t>별도</t>
        </is>
      </c>
      <c r="E1303" t="inlineStr">
        <is>
          <t>2025Q4</t>
        </is>
      </c>
      <c r="F1303" s="2" t="n">
        <v>202162</v>
      </c>
      <c r="G1303" t="n">
        <v>-10</v>
      </c>
      <c r="H1303" t="n">
        <v>12.1</v>
      </c>
      <c r="I1303" s="2" t="n">
        <v>39535</v>
      </c>
      <c r="J1303" t="n">
        <v>-1.7</v>
      </c>
      <c r="K1303" t="n">
        <v>10.2</v>
      </c>
      <c r="L1303" s="2" t="n">
        <v>29307</v>
      </c>
      <c r="M1303" t="n">
        <v>106.5</v>
      </c>
      <c r="N1303" t="inlineStr">
        <is>
          <t>20260211900717</t>
        </is>
      </c>
      <c r="O1303">
        <f>HYPERLINK("https://dart.fss.or.kr/dsaf001/main.do?rcpNo=20260211900717", "공시열람")</f>
        <v/>
      </c>
    </row>
    <row r="1304">
      <c r="A1304" t="inlineStr">
        <is>
          <t>2026-02-10</t>
        </is>
      </c>
      <c r="B1304" t="inlineStr">
        <is>
          <t>BGF리테일</t>
        </is>
      </c>
      <c r="C1304" t="inlineStr">
        <is>
          <t>282330</t>
        </is>
      </c>
      <c r="D1304" t="inlineStr">
        <is>
          <t>연결</t>
        </is>
      </c>
      <c r="E1304" t="inlineStr">
        <is>
          <t>2025Q4</t>
        </is>
      </c>
      <c r="F1304" s="2" t="n">
        <v>2292300</v>
      </c>
      <c r="G1304" t="n">
        <v>-6.9</v>
      </c>
      <c r="H1304" t="n">
        <v>3.4</v>
      </c>
      <c r="I1304" s="2" t="n">
        <v>64200</v>
      </c>
      <c r="J1304" t="n">
        <v>-34.3</v>
      </c>
      <c r="K1304" t="n">
        <v>24.4</v>
      </c>
      <c r="L1304" s="2" t="n">
        <v>49800</v>
      </c>
      <c r="M1304" t="n">
        <v>14.7</v>
      </c>
      <c r="N1304" t="inlineStr">
        <is>
          <t>20260210800527</t>
        </is>
      </c>
      <c r="O1304">
        <f>HYPERLINK("https://dart.fss.or.kr/dsaf001/main.do?rcpNo=20260210800527", "공시열람")</f>
        <v/>
      </c>
    </row>
    <row r="1305">
      <c r="A1305" t="inlineStr">
        <is>
          <t>2026-02-10</t>
        </is>
      </c>
      <c r="B1305" t="inlineStr">
        <is>
          <t>케이티</t>
        </is>
      </c>
      <c r="C1305" t="inlineStr">
        <is>
          <t>030200</t>
        </is>
      </c>
      <c r="D1305" t="inlineStr">
        <is>
          <t>별도</t>
        </is>
      </c>
      <c r="E1305" t="inlineStr">
        <is>
          <t>2025Q4</t>
        </is>
      </c>
      <c r="F1305" s="2" t="n">
        <v>4760200</v>
      </c>
      <c r="G1305" t="n">
        <v>-6.8</v>
      </c>
      <c r="H1305" t="n">
        <v>4.1</v>
      </c>
      <c r="I1305" s="2" t="n">
        <v>95300</v>
      </c>
      <c r="J1305" t="n">
        <v>-72</v>
      </c>
      <c r="K1305" t="inlineStr"/>
      <c r="L1305" s="2" t="n">
        <v>48700</v>
      </c>
      <c r="M1305" t="inlineStr"/>
      <c r="N1305" t="inlineStr">
        <is>
          <t>20260210800438</t>
        </is>
      </c>
      <c r="O1305">
        <f>HYPERLINK("https://dart.fss.or.kr/dsaf001/main.do?rcpNo=20260210800438", "공시열람")</f>
        <v/>
      </c>
    </row>
    <row r="1306">
      <c r="A1306" t="inlineStr">
        <is>
          <t>2026-02-10</t>
        </is>
      </c>
      <c r="B1306" t="inlineStr">
        <is>
          <t>HK이노엔</t>
        </is>
      </c>
      <c r="C1306" t="inlineStr">
        <is>
          <t>195940</t>
        </is>
      </c>
      <c r="D1306" t="inlineStr">
        <is>
          <t>별도</t>
        </is>
      </c>
      <c r="E1306" t="inlineStr">
        <is>
          <t>2025Q4</t>
        </is>
      </c>
      <c r="F1306" s="2" t="n">
        <v>291879</v>
      </c>
      <c r="G1306" t="n">
        <v>11.9</v>
      </c>
      <c r="H1306" t="n">
        <v>23.8</v>
      </c>
      <c r="I1306" s="2" t="n">
        <v>40101</v>
      </c>
      <c r="J1306" t="n">
        <v>55</v>
      </c>
      <c r="K1306" t="n">
        <v>64.5</v>
      </c>
      <c r="L1306" s="2" t="n">
        <v>27674</v>
      </c>
      <c r="M1306" t="n">
        <v>44.3</v>
      </c>
      <c r="N1306" t="inlineStr">
        <is>
          <t>20260210900522</t>
        </is>
      </c>
      <c r="O1306">
        <f>HYPERLINK("https://dart.fss.or.kr/dsaf001/main.do?rcpNo=20260210900522", "공시열람")</f>
        <v/>
      </c>
    </row>
    <row r="1307">
      <c r="A1307" t="inlineStr">
        <is>
          <t>2026-02-10</t>
        </is>
      </c>
      <c r="B1307" t="inlineStr">
        <is>
          <t>케이엔더블유</t>
        </is>
      </c>
      <c r="C1307" t="inlineStr">
        <is>
          <t>105330</t>
        </is>
      </c>
      <c r="D1307" t="inlineStr">
        <is>
          <t>연결</t>
        </is>
      </c>
      <c r="E1307" t="inlineStr">
        <is>
          <t>2025Q4</t>
        </is>
      </c>
      <c r="F1307" s="2" t="n">
        <v>21388</v>
      </c>
      <c r="G1307" t="n">
        <v>7.49</v>
      </c>
      <c r="H1307" t="n">
        <v>6.26</v>
      </c>
      <c r="I1307" s="2" t="n">
        <v>-890</v>
      </c>
      <c r="J1307" t="n">
        <v>-91.81</v>
      </c>
      <c r="K1307" t="n">
        <v>62.93</v>
      </c>
      <c r="L1307" s="2" t="n">
        <v>-1457</v>
      </c>
      <c r="M1307" t="inlineStr"/>
      <c r="N1307" t="inlineStr">
        <is>
          <t>20260210900548</t>
        </is>
      </c>
      <c r="O1307">
        <f>HYPERLINK("https://dart.fss.or.kr/dsaf001/main.do?rcpNo=20260210900548", "공시열람")</f>
        <v/>
      </c>
    </row>
    <row r="1308">
      <c r="A1308" t="inlineStr">
        <is>
          <t>2026-02-10</t>
        </is>
      </c>
      <c r="B1308" t="inlineStr">
        <is>
          <t>GS</t>
        </is>
      </c>
      <c r="C1308" t="inlineStr">
        <is>
          <t>078930</t>
        </is>
      </c>
      <c r="D1308" t="inlineStr">
        <is>
          <t>연결</t>
        </is>
      </c>
      <c r="E1308" t="inlineStr">
        <is>
          <t>2025Q4</t>
        </is>
      </c>
      <c r="F1308" s="2" t="n">
        <v>6487300</v>
      </c>
      <c r="G1308" t="n">
        <v>-0.74</v>
      </c>
      <c r="H1308" t="n">
        <v>1.43</v>
      </c>
      <c r="I1308" s="2" t="n">
        <v>767200</v>
      </c>
      <c r="J1308" t="n">
        <v>-11.88</v>
      </c>
      <c r="K1308" t="n">
        <v>23.34</v>
      </c>
      <c r="L1308" s="2" t="n">
        <v>224500</v>
      </c>
      <c r="M1308" t="n">
        <v>205.86</v>
      </c>
      <c r="N1308" t="inlineStr">
        <is>
          <t>20260210800512</t>
        </is>
      </c>
      <c r="O1308">
        <f>HYPERLINK("https://dart.fss.or.kr/dsaf001/main.do?rcpNo=20260210800512", "공시열람")</f>
        <v/>
      </c>
    </row>
    <row r="1309">
      <c r="A1309" t="inlineStr">
        <is>
          <t>2026-02-10</t>
        </is>
      </c>
      <c r="B1309" t="inlineStr">
        <is>
          <t>BGF</t>
        </is>
      </c>
      <c r="C1309" t="inlineStr">
        <is>
          <t>027410</t>
        </is>
      </c>
      <c r="D1309" t="inlineStr">
        <is>
          <t>연결</t>
        </is>
      </c>
      <c r="E1309" t="inlineStr">
        <is>
          <t>2025Q4</t>
        </is>
      </c>
      <c r="F1309" s="2" t="n">
        <v>112100</v>
      </c>
      <c r="G1309" t="n">
        <v>-12.7</v>
      </c>
      <c r="H1309" t="n">
        <v>-0.5</v>
      </c>
      <c r="I1309" s="2" t="n">
        <v>11900</v>
      </c>
      <c r="J1309" t="n">
        <v>-55.6</v>
      </c>
      <c r="K1309" t="n">
        <v>36.8</v>
      </c>
      <c r="L1309" s="2" t="n">
        <v>11600</v>
      </c>
      <c r="M1309" t="n">
        <v>-12.8</v>
      </c>
      <c r="N1309" t="inlineStr">
        <is>
          <t>20260210800671</t>
        </is>
      </c>
      <c r="O1309">
        <f>HYPERLINK("https://dart.fss.or.kr/dsaf001/main.do?rcpNo=20260210800671", "공시열람")</f>
        <v/>
      </c>
    </row>
    <row r="1310">
      <c r="A1310" t="inlineStr">
        <is>
          <t>2026-02-10</t>
        </is>
      </c>
      <c r="B1310" t="inlineStr">
        <is>
          <t>BGF에코머티리얼즈</t>
        </is>
      </c>
      <c r="C1310" t="inlineStr">
        <is>
          <t>126600</t>
        </is>
      </c>
      <c r="D1310" t="inlineStr">
        <is>
          <t>연결</t>
        </is>
      </c>
      <c r="E1310" t="inlineStr">
        <is>
          <t>2025Q4</t>
        </is>
      </c>
      <c r="F1310" s="2" t="n">
        <v>94266</v>
      </c>
      <c r="G1310" t="n">
        <v>-6.5</v>
      </c>
      <c r="H1310" t="n">
        <v>-3.8</v>
      </c>
      <c r="I1310" s="2" t="n">
        <v>615</v>
      </c>
      <c r="J1310" t="n">
        <v>-89.40000000000001</v>
      </c>
      <c r="K1310" t="n">
        <v>-58.3</v>
      </c>
      <c r="L1310" s="2" t="n">
        <v>1027</v>
      </c>
      <c r="M1310" t="n">
        <v>-80.90000000000001</v>
      </c>
      <c r="N1310" t="inlineStr">
        <is>
          <t>20260210900529</t>
        </is>
      </c>
      <c r="O1310">
        <f>HYPERLINK("https://dart.fss.or.kr/dsaf001/main.do?rcpNo=20260210900529", "공시열람")</f>
        <v/>
      </c>
    </row>
    <row r="1311">
      <c r="A1311" t="inlineStr">
        <is>
          <t>2026-02-10</t>
        </is>
      </c>
      <c r="B1311" t="inlineStr">
        <is>
          <t>NC</t>
        </is>
      </c>
      <c r="C1311" t="inlineStr">
        <is>
          <t>036570</t>
        </is>
      </c>
      <c r="D1311" t="inlineStr">
        <is>
          <t>연결</t>
        </is>
      </c>
      <c r="E1311" t="inlineStr">
        <is>
          <t>2025Q4</t>
        </is>
      </c>
      <c r="F1311" s="2" t="n">
        <v>404218</v>
      </c>
      <c r="G1311" t="n">
        <v>12.3</v>
      </c>
      <c r="H1311" t="n">
        <v>-1.3</v>
      </c>
      <c r="I1311" s="2" t="n">
        <v>3247</v>
      </c>
      <c r="J1311" t="inlineStr"/>
      <c r="K1311" t="inlineStr"/>
      <c r="L1311" s="2" t="n">
        <v>-1493</v>
      </c>
      <c r="M1311" t="n">
        <v>80.3</v>
      </c>
      <c r="N1311" t="inlineStr">
        <is>
          <t>20260210800604</t>
        </is>
      </c>
      <c r="O1311">
        <f>HYPERLINK("https://dart.fss.or.kr/dsaf001/main.do?rcpNo=20260210800604", "공시열람")</f>
        <v/>
      </c>
    </row>
    <row r="1312">
      <c r="A1312" t="inlineStr">
        <is>
          <t>2026-02-10</t>
        </is>
      </c>
      <c r="B1312" t="inlineStr">
        <is>
          <t>롯데렌탈</t>
        </is>
      </c>
      <c r="C1312" t="inlineStr">
        <is>
          <t>089860</t>
        </is>
      </c>
      <c r="D1312" t="inlineStr">
        <is>
          <t>연결</t>
        </is>
      </c>
      <c r="E1312" t="inlineStr">
        <is>
          <t>2025Q4</t>
        </is>
      </c>
      <c r="F1312" s="2" t="n">
        <v>726387</v>
      </c>
      <c r="G1312" t="n">
        <v>-4.2</v>
      </c>
      <c r="H1312" t="n">
        <v>0.8</v>
      </c>
      <c r="I1312" s="2" t="n">
        <v>79299</v>
      </c>
      <c r="J1312" t="n">
        <v>-10.9</v>
      </c>
      <c r="K1312" t="n">
        <v>10.7</v>
      </c>
      <c r="L1312" s="2" t="n">
        <v>25254</v>
      </c>
      <c r="M1312" t="n">
        <v>10.7</v>
      </c>
      <c r="N1312" t="inlineStr">
        <is>
          <t>20260210800635</t>
        </is>
      </c>
      <c r="O1312">
        <f>HYPERLINK("https://dart.fss.or.kr/dsaf001/main.do?rcpNo=20260210800635", "공시열람")</f>
        <v/>
      </c>
    </row>
    <row r="1313">
      <c r="A1313" t="inlineStr">
        <is>
          <t>2026-02-10</t>
        </is>
      </c>
      <c r="B1313" t="inlineStr">
        <is>
          <t>F&amp;F</t>
        </is>
      </c>
      <c r="C1313" t="inlineStr">
        <is>
          <t>383220</t>
        </is>
      </c>
      <c r="D1313" t="inlineStr">
        <is>
          <t>연결</t>
        </is>
      </c>
      <c r="E1313" t="inlineStr">
        <is>
          <t>2025Q4</t>
        </is>
      </c>
      <c r="F1313" s="2" t="n">
        <v>575252</v>
      </c>
      <c r="G1313" t="n">
        <v>21.3</v>
      </c>
      <c r="H1313" t="n">
        <v>5.3</v>
      </c>
      <c r="I1313" s="2" t="n">
        <v>132877</v>
      </c>
      <c r="J1313" t="n">
        <v>3.8</v>
      </c>
      <c r="K1313" t="n">
        <v>10.3</v>
      </c>
      <c r="L1313" s="2" t="n">
        <v>156808</v>
      </c>
      <c r="M1313" t="n">
        <v>48.1</v>
      </c>
      <c r="N1313" t="inlineStr">
        <is>
          <t>20260210800693</t>
        </is>
      </c>
      <c r="O1313">
        <f>HYPERLINK("https://dart.fss.or.kr/dsaf001/main.do?rcpNo=20260210800693", "공시열람")</f>
        <v/>
      </c>
    </row>
    <row r="1314">
      <c r="A1314" t="inlineStr">
        <is>
          <t>2026-02-10</t>
        </is>
      </c>
      <c r="B1314" t="inlineStr">
        <is>
          <t>KG이니시스</t>
        </is>
      </c>
      <c r="C1314" t="inlineStr">
        <is>
          <t>035600</t>
        </is>
      </c>
      <c r="D1314" t="inlineStr">
        <is>
          <t>연결</t>
        </is>
      </c>
      <c r="E1314" t="inlineStr">
        <is>
          <t>2025Q4</t>
        </is>
      </c>
      <c r="F1314" s="2" t="n">
        <v>351084</v>
      </c>
      <c r="G1314" t="n">
        <v>-1.4</v>
      </c>
      <c r="H1314" t="n">
        <v>16.8</v>
      </c>
      <c r="I1314" s="2" t="n">
        <v>24732</v>
      </c>
      <c r="J1314" t="n">
        <v>-12.6</v>
      </c>
      <c r="K1314" t="n">
        <v>167</v>
      </c>
      <c r="L1314" s="2" t="n">
        <v>8613</v>
      </c>
      <c r="M1314" t="n">
        <v>5.8</v>
      </c>
      <c r="N1314" t="inlineStr">
        <is>
          <t>20260210900419</t>
        </is>
      </c>
      <c r="O1314">
        <f>HYPERLINK("https://dart.fss.or.kr/dsaf001/main.do?rcpNo=20260210900419", "공시열람")</f>
        <v/>
      </c>
    </row>
    <row r="1315">
      <c r="A1315" t="inlineStr">
        <is>
          <t>2026-02-10</t>
        </is>
      </c>
      <c r="B1315" t="inlineStr">
        <is>
          <t>한전KPS</t>
        </is>
      </c>
      <c r="C1315" t="inlineStr">
        <is>
          <t>051600</t>
        </is>
      </c>
      <c r="D1315" t="inlineStr">
        <is>
          <t>연결</t>
        </is>
      </c>
      <c r="E1315" t="inlineStr">
        <is>
          <t>2025Q4</t>
        </is>
      </c>
      <c r="F1315" s="2" t="n">
        <v>440839</v>
      </c>
      <c r="G1315" t="n">
        <v>11.98</v>
      </c>
      <c r="H1315" t="n">
        <v>2.23</v>
      </c>
      <c r="I1315" s="2" t="n">
        <v>19252</v>
      </c>
      <c r="J1315" t="n">
        <v>-59.41</v>
      </c>
      <c r="K1315" t="n">
        <v>-52.9</v>
      </c>
      <c r="L1315" s="2" t="n">
        <v>19755</v>
      </c>
      <c r="M1315" t="n">
        <v>-44.29</v>
      </c>
      <c r="N1315" t="inlineStr">
        <is>
          <t>20260210800677</t>
        </is>
      </c>
      <c r="O1315">
        <f>HYPERLINK("https://dart.fss.or.kr/dsaf001/main.do?rcpNo=20260210800677", "공시열람")</f>
        <v/>
      </c>
    </row>
    <row r="1316">
      <c r="A1316" t="inlineStr">
        <is>
          <t>2026-02-10</t>
        </is>
      </c>
      <c r="B1316" t="inlineStr">
        <is>
          <t>케이티</t>
        </is>
      </c>
      <c r="C1316" t="inlineStr">
        <is>
          <t>030200</t>
        </is>
      </c>
      <c r="D1316" t="inlineStr">
        <is>
          <t>연결</t>
        </is>
      </c>
      <c r="E1316" t="inlineStr">
        <is>
          <t>2025Q4</t>
        </is>
      </c>
      <c r="F1316" s="2" t="n">
        <v>6845000</v>
      </c>
      <c r="G1316" t="n">
        <v>-4</v>
      </c>
      <c r="H1316" t="n">
        <v>4.1</v>
      </c>
      <c r="I1316" s="2" t="n">
        <v>227300</v>
      </c>
      <c r="J1316" t="n">
        <v>-57.8</v>
      </c>
      <c r="K1316" t="inlineStr"/>
      <c r="L1316" s="2" t="n">
        <v>91500</v>
      </c>
      <c r="M1316" t="inlineStr"/>
      <c r="N1316" t="inlineStr">
        <is>
          <t>20260210800436</t>
        </is>
      </c>
      <c r="O1316">
        <f>HYPERLINK("https://dart.fss.or.kr/dsaf001/main.do?rcpNo=20260210800436", "공시열람")</f>
        <v/>
      </c>
    </row>
    <row r="1317">
      <c r="A1317" t="inlineStr">
        <is>
          <t>2026-02-10</t>
        </is>
      </c>
      <c r="B1317" t="inlineStr">
        <is>
          <t>지역난방공사</t>
        </is>
      </c>
      <c r="C1317" t="inlineStr">
        <is>
          <t>071320</t>
        </is>
      </c>
      <c r="D1317" t="inlineStr">
        <is>
          <t>연결</t>
        </is>
      </c>
      <c r="E1317" t="inlineStr">
        <is>
          <t>2025Q4</t>
        </is>
      </c>
      <c r="F1317" s="2" t="n">
        <v>1040072</v>
      </c>
      <c r="G1317" t="n">
        <v>37.2</v>
      </c>
      <c r="H1317" t="n">
        <v>-3.5</v>
      </c>
      <c r="I1317" s="2" t="n">
        <v>126029</v>
      </c>
      <c r="J1317" t="n">
        <v>41</v>
      </c>
      <c r="K1317" t="n">
        <v>10.7</v>
      </c>
      <c r="L1317" s="2" t="n">
        <v>77947</v>
      </c>
      <c r="M1317" t="n">
        <v>17.4</v>
      </c>
      <c r="N1317" t="inlineStr">
        <is>
          <t>20260210800223</t>
        </is>
      </c>
      <c r="O1317">
        <f>HYPERLINK("https://dart.fss.or.kr/dsaf001/main.do?rcpNo=20260210800223", "공시열람")</f>
        <v/>
      </c>
    </row>
    <row r="1318">
      <c r="A1318" t="inlineStr">
        <is>
          <t>2026-02-10</t>
        </is>
      </c>
      <c r="B1318" t="inlineStr">
        <is>
          <t>KG스틸</t>
        </is>
      </c>
      <c r="C1318" t="inlineStr">
        <is>
          <t>016380</t>
        </is>
      </c>
      <c r="D1318" t="inlineStr">
        <is>
          <t>연결</t>
        </is>
      </c>
      <c r="E1318" t="inlineStr">
        <is>
          <t>2025Q4</t>
        </is>
      </c>
      <c r="F1318" s="2" t="n">
        <v>3193400</v>
      </c>
      <c r="G1318" t="n">
        <v>-3.3</v>
      </c>
      <c r="H1318" t="inlineStr"/>
      <c r="I1318" s="2" t="n">
        <v>151700</v>
      </c>
      <c r="J1318" t="n">
        <v>-26.4</v>
      </c>
      <c r="K1318" t="inlineStr"/>
      <c r="L1318" s="2" t="n">
        <v>134900</v>
      </c>
      <c r="M1318" t="inlineStr"/>
      <c r="N1318" t="inlineStr">
        <is>
          <t>20260210800348</t>
        </is>
      </c>
      <c r="O1318">
        <f>HYPERLINK("https://dart.fss.or.kr/dsaf001/main.do?rcpNo=20260210800348", "공시열람")</f>
        <v/>
      </c>
    </row>
    <row r="1319">
      <c r="A1319" t="inlineStr">
        <is>
          <t>2026-02-10</t>
        </is>
      </c>
      <c r="B1319" t="inlineStr">
        <is>
          <t>KG스틸</t>
        </is>
      </c>
      <c r="C1319" t="inlineStr">
        <is>
          <t>016380</t>
        </is>
      </c>
      <c r="D1319" t="inlineStr">
        <is>
          <t>별도</t>
        </is>
      </c>
      <c r="E1319" t="inlineStr">
        <is>
          <t>2025Q4</t>
        </is>
      </c>
      <c r="F1319" s="2" t="n">
        <v>2926400</v>
      </c>
      <c r="G1319" t="n">
        <v>-9</v>
      </c>
      <c r="H1319" t="inlineStr"/>
      <c r="I1319" s="2" t="n">
        <v>133500</v>
      </c>
      <c r="J1319" t="n">
        <v>-42.9</v>
      </c>
      <c r="K1319" t="inlineStr"/>
      <c r="L1319" s="2" t="n">
        <v>119400</v>
      </c>
      <c r="M1319" t="inlineStr"/>
      <c r="N1319" t="inlineStr">
        <is>
          <t>20260210800346</t>
        </is>
      </c>
      <c r="O1319">
        <f>HYPERLINK("https://dart.fss.or.kr/dsaf001/main.do?rcpNo=20260210800346", "공시열람")</f>
        <v/>
      </c>
    </row>
    <row r="1320">
      <c r="A1320" t="inlineStr">
        <is>
          <t>2026-02-10</t>
        </is>
      </c>
      <c r="B1320" t="inlineStr">
        <is>
          <t>한화손해보험</t>
        </is>
      </c>
      <c r="C1320" t="inlineStr">
        <is>
          <t>000370</t>
        </is>
      </c>
      <c r="D1320" t="inlineStr">
        <is>
          <t>연결</t>
        </is>
      </c>
      <c r="E1320" t="inlineStr">
        <is>
          <t>2025Q4</t>
        </is>
      </c>
      <c r="F1320" s="2" t="n">
        <v>2058296</v>
      </c>
      <c r="G1320" t="n">
        <v>17.8</v>
      </c>
      <c r="H1320" t="n">
        <v>15.8</v>
      </c>
      <c r="I1320" s="2" t="n">
        <v>86889</v>
      </c>
      <c r="J1320" t="n">
        <v>36.1</v>
      </c>
      <c r="K1320" t="n">
        <v>678.1</v>
      </c>
      <c r="L1320" s="2" t="n">
        <v>59247</v>
      </c>
      <c r="M1320" t="n">
        <v>820.8</v>
      </c>
      <c r="N1320" t="inlineStr">
        <is>
          <t>20260210800287</t>
        </is>
      </c>
      <c r="O1320">
        <f>HYPERLINK("https://dart.fss.or.kr/dsaf001/main.do?rcpNo=20260210800287", "공시열람")</f>
        <v/>
      </c>
    </row>
    <row r="1321">
      <c r="A1321" t="inlineStr">
        <is>
          <t>2026-02-10</t>
        </is>
      </c>
      <c r="B1321" t="inlineStr">
        <is>
          <t>비엠티</t>
        </is>
      </c>
      <c r="C1321" t="inlineStr">
        <is>
          <t>086670</t>
        </is>
      </c>
      <c r="D1321" t="inlineStr">
        <is>
          <t>연결</t>
        </is>
      </c>
      <c r="E1321" t="inlineStr">
        <is>
          <t>2025Q4</t>
        </is>
      </c>
      <c r="F1321" s="2" t="n">
        <v>33661</v>
      </c>
      <c r="G1321" t="n">
        <v>-10.2</v>
      </c>
      <c r="H1321" t="n">
        <v>-7.3</v>
      </c>
      <c r="I1321" s="2" t="n">
        <v>3251</v>
      </c>
      <c r="J1321" t="n">
        <v>-44.1</v>
      </c>
      <c r="K1321" t="n">
        <v>39.8</v>
      </c>
      <c r="L1321" s="2" t="n">
        <v>2051</v>
      </c>
      <c r="M1321" t="n">
        <v>-52</v>
      </c>
      <c r="N1321" t="inlineStr">
        <is>
          <t>20260210900235</t>
        </is>
      </c>
      <c r="O1321">
        <f>HYPERLINK("https://dart.fss.or.kr/dsaf001/main.do?rcpNo=20260210900235", "공시열람")</f>
        <v/>
      </c>
    </row>
    <row r="1322">
      <c r="A1322" t="inlineStr">
        <is>
          <t>2026-02-10</t>
        </is>
      </c>
      <c r="B1322" t="inlineStr">
        <is>
          <t>비엠티</t>
        </is>
      </c>
      <c r="C1322" t="inlineStr">
        <is>
          <t>086670</t>
        </is>
      </c>
      <c r="D1322" t="inlineStr">
        <is>
          <t>별도</t>
        </is>
      </c>
      <c r="E1322" t="inlineStr">
        <is>
          <t>2025Q4</t>
        </is>
      </c>
      <c r="F1322" s="2" t="n">
        <v>33649</v>
      </c>
      <c r="G1322" t="n">
        <v>-8.6</v>
      </c>
      <c r="H1322" t="n">
        <v>-7.3</v>
      </c>
      <c r="I1322" s="2" t="n">
        <v>4066</v>
      </c>
      <c r="J1322" t="n">
        <v>-31.5</v>
      </c>
      <c r="K1322" t="n">
        <v>64</v>
      </c>
      <c r="L1322" s="2" t="n">
        <v>908</v>
      </c>
      <c r="M1322" t="n">
        <v>-77.59999999999999</v>
      </c>
      <c r="N1322" t="inlineStr">
        <is>
          <t>20260210900232</t>
        </is>
      </c>
      <c r="O1322">
        <f>HYPERLINK("https://dart.fss.or.kr/dsaf001/main.do?rcpNo=20260210900232", "공시열람")</f>
        <v/>
      </c>
    </row>
    <row r="1323">
      <c r="A1323" t="inlineStr">
        <is>
          <t>2026-02-10</t>
        </is>
      </c>
      <c r="B1323" t="inlineStr">
        <is>
          <t>코렌텍</t>
        </is>
      </c>
      <c r="C1323" t="inlineStr">
        <is>
          <t>104540</t>
        </is>
      </c>
      <c r="D1323" t="inlineStr">
        <is>
          <t>연결</t>
        </is>
      </c>
      <c r="E1323" t="inlineStr">
        <is>
          <t>2025Q4</t>
        </is>
      </c>
      <c r="F1323" s="2" t="n">
        <v>28591</v>
      </c>
      <c r="G1323" t="n">
        <v>10.9</v>
      </c>
      <c r="H1323" t="n">
        <v>8.9</v>
      </c>
      <c r="I1323" s="2" t="n">
        <v>2990</v>
      </c>
      <c r="J1323" t="n">
        <v>-17.3</v>
      </c>
      <c r="K1323" t="n">
        <v>39.7</v>
      </c>
      <c r="L1323" s="2" t="n">
        <v>2449</v>
      </c>
      <c r="M1323" t="n">
        <v>137.3</v>
      </c>
      <c r="N1323" t="inlineStr">
        <is>
          <t>20260210900135</t>
        </is>
      </c>
      <c r="O1323">
        <f>HYPERLINK("https://dart.fss.or.kr/dsaf001/main.do?rcpNo=20260210900135", "공시열람")</f>
        <v/>
      </c>
    </row>
    <row r="1324">
      <c r="A1324" t="inlineStr">
        <is>
          <t>2026-02-10</t>
        </is>
      </c>
      <c r="B1324" t="inlineStr">
        <is>
          <t>케이카</t>
        </is>
      </c>
      <c r="C1324" t="inlineStr">
        <is>
          <t>381970</t>
        </is>
      </c>
      <c r="D1324" t="inlineStr">
        <is>
          <t>별도</t>
        </is>
      </c>
      <c r="E1324" t="inlineStr">
        <is>
          <t>2025Q4</t>
        </is>
      </c>
      <c r="F1324" s="2" t="n">
        <v>559780</v>
      </c>
      <c r="G1324" t="n">
        <v>-15.9</v>
      </c>
      <c r="H1324" t="n">
        <v>5.9</v>
      </c>
      <c r="I1324" s="2" t="n">
        <v>12389</v>
      </c>
      <c r="J1324" t="n">
        <v>-48.4</v>
      </c>
      <c r="K1324" t="n">
        <v>-18.9</v>
      </c>
      <c r="L1324" s="2" t="n">
        <v>7265</v>
      </c>
      <c r="M1324" t="n">
        <v>-22.2</v>
      </c>
      <c r="N1324" t="inlineStr">
        <is>
          <t>20260210800072</t>
        </is>
      </c>
      <c r="O1324">
        <f>HYPERLINK("https://dart.fss.or.kr/dsaf001/main.do?rcpNo=20260210800072", "공시열람")</f>
        <v/>
      </c>
    </row>
    <row r="1325">
      <c r="A1325" t="inlineStr">
        <is>
          <t>2026-02-10</t>
        </is>
      </c>
      <c r="B1325" t="inlineStr">
        <is>
          <t>CJ대한통운</t>
        </is>
      </c>
      <c r="C1325" t="inlineStr">
        <is>
          <t>000120</t>
        </is>
      </c>
      <c r="D1325" t="inlineStr">
        <is>
          <t>연결</t>
        </is>
      </c>
      <c r="E1325" t="inlineStr">
        <is>
          <t>2025Q4</t>
        </is>
      </c>
      <c r="F1325" s="2" t="n">
        <v>3177051</v>
      </c>
      <c r="G1325" t="n">
        <v>3.6</v>
      </c>
      <c r="H1325" t="n">
        <v>0.5</v>
      </c>
      <c r="I1325" s="2" t="n">
        <v>159563</v>
      </c>
      <c r="J1325" t="n">
        <v>7.9</v>
      </c>
      <c r="K1325" t="n">
        <v>3.4</v>
      </c>
      <c r="L1325" s="2" t="n">
        <v>86154</v>
      </c>
      <c r="M1325" t="n">
        <v>-6</v>
      </c>
      <c r="N1325" t="inlineStr">
        <is>
          <t>20260210800067</t>
        </is>
      </c>
      <c r="O1325">
        <f>HYPERLINK("https://dart.fss.or.kr/dsaf001/main.do?rcpNo=20260210800067", "공시열람")</f>
        <v/>
      </c>
    </row>
    <row r="1326">
      <c r="A1326" t="inlineStr">
        <is>
          <t>2026-02-10</t>
        </is>
      </c>
      <c r="B1326" t="inlineStr">
        <is>
          <t>네오위즈</t>
        </is>
      </c>
      <c r="C1326" t="inlineStr">
        <is>
          <t>095660</t>
        </is>
      </c>
      <c r="D1326" t="inlineStr">
        <is>
          <t>연결</t>
        </is>
      </c>
      <c r="E1326" t="inlineStr">
        <is>
          <t>2025Q4</t>
        </is>
      </c>
      <c r="F1326" s="2" t="n">
        <v>106267</v>
      </c>
      <c r="G1326" t="n">
        <v>-16.6</v>
      </c>
      <c r="H1326" t="n">
        <v>18.6</v>
      </c>
      <c r="I1326" s="2" t="n">
        <v>4694</v>
      </c>
      <c r="J1326" t="n">
        <v>-82.3</v>
      </c>
      <c r="K1326" t="n">
        <v>-31.7</v>
      </c>
      <c r="L1326" s="2" t="n">
        <v>1852</v>
      </c>
      <c r="M1326" t="inlineStr"/>
      <c r="N1326" t="inlineStr">
        <is>
          <t>20260210900045</t>
        </is>
      </c>
      <c r="O1326">
        <f>HYPERLINK("https://dart.fss.or.kr/dsaf001/main.do?rcpNo=20260210900045", "공시열람")</f>
        <v/>
      </c>
    </row>
    <row r="1327">
      <c r="A1327" t="inlineStr">
        <is>
          <t>2026-02-10</t>
        </is>
      </c>
      <c r="B1327" t="inlineStr">
        <is>
          <t>동원시스템즈</t>
        </is>
      </c>
      <c r="C1327" t="inlineStr">
        <is>
          <t>014820</t>
        </is>
      </c>
      <c r="D1327" t="inlineStr">
        <is>
          <t>연결</t>
        </is>
      </c>
      <c r="E1327" t="inlineStr">
        <is>
          <t>2025Q4</t>
        </is>
      </c>
      <c r="F1327" s="2" t="n">
        <v>313352</v>
      </c>
      <c r="G1327" t="n">
        <v>-12.08</v>
      </c>
      <c r="H1327" t="n">
        <v>-5.69</v>
      </c>
      <c r="I1327" s="2" t="n">
        <v>7503</v>
      </c>
      <c r="J1327" t="n">
        <v>-62.85</v>
      </c>
      <c r="K1327" t="n">
        <v>-56.76</v>
      </c>
      <c r="L1327" s="2" t="n">
        <v>11974</v>
      </c>
      <c r="M1327" t="n">
        <v>-29.18</v>
      </c>
      <c r="N1327" t="inlineStr">
        <is>
          <t>20260210800707</t>
        </is>
      </c>
      <c r="O1327">
        <f>HYPERLINK("https://dart.fss.or.kr/dsaf001/main.do?rcpNo=20260210800707", "공시열람")</f>
        <v/>
      </c>
    </row>
    <row r="1328">
      <c r="A1328" t="inlineStr">
        <is>
          <t>2026-02-10</t>
        </is>
      </c>
      <c r="B1328" t="inlineStr">
        <is>
          <t>동원시스템즈</t>
        </is>
      </c>
      <c r="C1328" t="inlineStr">
        <is>
          <t>014820</t>
        </is>
      </c>
      <c r="D1328" t="inlineStr">
        <is>
          <t>별도</t>
        </is>
      </c>
      <c r="E1328" t="inlineStr">
        <is>
          <t>2025Q4</t>
        </is>
      </c>
      <c r="F1328" s="2" t="n">
        <v>282327</v>
      </c>
      <c r="G1328" t="n">
        <v>-14.82</v>
      </c>
      <c r="H1328" t="n">
        <v>-6.91</v>
      </c>
      <c r="I1328" s="2" t="n">
        <v>5366</v>
      </c>
      <c r="J1328" t="n">
        <v>-70.02</v>
      </c>
      <c r="K1328" t="n">
        <v>-64.22</v>
      </c>
      <c r="L1328" s="2" t="n">
        <v>7757</v>
      </c>
      <c r="M1328" t="n">
        <v>-32.8</v>
      </c>
      <c r="N1328" t="inlineStr">
        <is>
          <t>20260210800712</t>
        </is>
      </c>
      <c r="O1328">
        <f>HYPERLINK("https://dart.fss.or.kr/dsaf001/main.do?rcpNo=20260210800712", "공시열람")</f>
        <v/>
      </c>
    </row>
    <row r="1329">
      <c r="A1329" t="inlineStr">
        <is>
          <t>2026-02-10</t>
        </is>
      </c>
      <c r="B1329" t="inlineStr">
        <is>
          <t>파라다이스</t>
        </is>
      </c>
      <c r="C1329" t="inlineStr">
        <is>
          <t>034230</t>
        </is>
      </c>
      <c r="D1329" t="inlineStr">
        <is>
          <t>연결</t>
        </is>
      </c>
      <c r="E1329" t="inlineStr">
        <is>
          <t>2025Q4</t>
        </is>
      </c>
      <c r="F1329" s="2" t="n">
        <v>293854</v>
      </c>
      <c r="G1329" t="n">
        <v>1.9</v>
      </c>
      <c r="H1329" t="n">
        <v>10.5</v>
      </c>
      <c r="I1329" s="2" t="n">
        <v>16721</v>
      </c>
      <c r="J1329" t="n">
        <v>-57.7</v>
      </c>
      <c r="K1329" t="n">
        <v>-14</v>
      </c>
      <c r="L1329" s="2" t="n">
        <v>35175</v>
      </c>
      <c r="M1329" t="n">
        <v>-3.6</v>
      </c>
      <c r="N1329" t="inlineStr">
        <is>
          <t>20260210801203</t>
        </is>
      </c>
      <c r="O1329">
        <f>HYPERLINK("https://dart.fss.or.kr/dsaf001/main.do?rcpNo=20260210801203", "공시열람")</f>
        <v/>
      </c>
    </row>
    <row r="1330">
      <c r="A1330" t="inlineStr">
        <is>
          <t>2026-02-10</t>
        </is>
      </c>
      <c r="B1330" t="inlineStr">
        <is>
          <t>한독</t>
        </is>
      </c>
      <c r="C1330" t="inlineStr">
        <is>
          <t>002390</t>
        </is>
      </c>
      <c r="D1330" t="inlineStr">
        <is>
          <t>별도</t>
        </is>
      </c>
      <c r="E1330" t="inlineStr">
        <is>
          <t>2025Q4</t>
        </is>
      </c>
      <c r="F1330" s="2" t="n">
        <v>135714</v>
      </c>
      <c r="G1330" t="n">
        <v>-3.63</v>
      </c>
      <c r="H1330" t="n">
        <v>13.64</v>
      </c>
      <c r="I1330" s="2" t="n">
        <v>4208</v>
      </c>
      <c r="J1330" t="n">
        <v>1364.7</v>
      </c>
      <c r="K1330" t="inlineStr"/>
      <c r="L1330" s="2" t="n">
        <v>9785</v>
      </c>
      <c r="M1330" t="inlineStr"/>
      <c r="N1330" t="inlineStr">
        <is>
          <t>20260210801411</t>
        </is>
      </c>
      <c r="O1330">
        <f>HYPERLINK("https://dart.fss.or.kr/dsaf001/main.do?rcpNo=20260210801411", "공시열람")</f>
        <v/>
      </c>
    </row>
    <row r="1331">
      <c r="A1331" t="inlineStr">
        <is>
          <t>2026-02-10</t>
        </is>
      </c>
      <c r="B1331" t="inlineStr">
        <is>
          <t>SKC</t>
        </is>
      </c>
      <c r="C1331" t="inlineStr">
        <is>
          <t>011790</t>
        </is>
      </c>
      <c r="D1331" t="inlineStr">
        <is>
          <t>연결</t>
        </is>
      </c>
      <c r="E1331" t="inlineStr">
        <is>
          <t>2025Q4</t>
        </is>
      </c>
      <c r="F1331" s="2" t="n">
        <v>428300</v>
      </c>
      <c r="G1331" t="n">
        <v>-15.4</v>
      </c>
      <c r="H1331" t="n">
        <v>1.5</v>
      </c>
      <c r="I1331" s="2" t="n">
        <v>-107600</v>
      </c>
      <c r="J1331" t="n">
        <v>-103.9</v>
      </c>
      <c r="K1331" t="n">
        <v>-30.9</v>
      </c>
      <c r="L1331" s="2" t="n">
        <v>-498600</v>
      </c>
      <c r="M1331" t="n">
        <v>-90.2</v>
      </c>
      <c r="N1331" t="inlineStr">
        <is>
          <t>20260210800797</t>
        </is>
      </c>
      <c r="O1331">
        <f>HYPERLINK("https://dart.fss.or.kr/dsaf001/main.do?rcpNo=20260210800797", "공시열람")</f>
        <v/>
      </c>
    </row>
    <row r="1332">
      <c r="A1332" t="inlineStr">
        <is>
          <t>2026-02-09</t>
        </is>
      </c>
      <c r="B1332" t="inlineStr">
        <is>
          <t>HD한국조선해양</t>
        </is>
      </c>
      <c r="C1332" t="inlineStr">
        <is>
          <t>009540</t>
        </is>
      </c>
      <c r="D1332" t="inlineStr">
        <is>
          <t>별도</t>
        </is>
      </c>
      <c r="E1332" t="inlineStr">
        <is>
          <t>2025Q4</t>
        </is>
      </c>
      <c r="F1332" s="2" t="n">
        <v>2019800</v>
      </c>
      <c r="G1332" t="n">
        <v>2.7</v>
      </c>
      <c r="H1332" t="n">
        <v>9.6</v>
      </c>
      <c r="I1332" s="2" t="n">
        <v>318800</v>
      </c>
      <c r="J1332" t="n">
        <v>4</v>
      </c>
      <c r="K1332" t="n">
        <v>73.2</v>
      </c>
      <c r="L1332" s="2" t="n">
        <v>278500</v>
      </c>
      <c r="M1332" t="n">
        <v>15.4</v>
      </c>
      <c r="N1332" t="inlineStr">
        <is>
          <t>20260209800555</t>
        </is>
      </c>
      <c r="O1332">
        <f>HYPERLINK("https://dart.fss.or.kr/dsaf001/main.do?rcpNo=20260209800555", "공시열람")</f>
        <v/>
      </c>
    </row>
    <row r="1333">
      <c r="A1333" t="inlineStr">
        <is>
          <t>2026-02-09</t>
        </is>
      </c>
      <c r="B1333" t="inlineStr">
        <is>
          <t>한진</t>
        </is>
      </c>
      <c r="C1333" t="inlineStr">
        <is>
          <t>002320</t>
        </is>
      </c>
      <c r="D1333" t="inlineStr">
        <is>
          <t>연결</t>
        </is>
      </c>
      <c r="E1333" t="inlineStr">
        <is>
          <t>2025Q4</t>
        </is>
      </c>
      <c r="F1333" s="2" t="n">
        <v>795700</v>
      </c>
      <c r="G1333" t="n">
        <v>-0.5</v>
      </c>
      <c r="H1333" t="n">
        <v>-2.1</v>
      </c>
      <c r="I1333" s="2" t="n">
        <v>17100</v>
      </c>
      <c r="J1333" t="n">
        <v>-44.5</v>
      </c>
      <c r="K1333" t="inlineStr"/>
      <c r="L1333" s="2" t="n">
        <v>-6500</v>
      </c>
      <c r="M1333" t="n">
        <v>-64.7</v>
      </c>
      <c r="N1333" t="inlineStr">
        <is>
          <t>20260209801588</t>
        </is>
      </c>
      <c r="O1333">
        <f>HYPERLINK("https://dart.fss.or.kr/dsaf001/main.do?rcpNo=20260209801588", "공시열람")</f>
        <v/>
      </c>
    </row>
    <row r="1334">
      <c r="A1334" t="inlineStr">
        <is>
          <t>2026-02-09</t>
        </is>
      </c>
      <c r="B1334" t="inlineStr">
        <is>
          <t>아이크래프트</t>
        </is>
      </c>
      <c r="C1334" t="inlineStr">
        <is>
          <t>052460</t>
        </is>
      </c>
      <c r="D1334" t="inlineStr">
        <is>
          <t>별도</t>
        </is>
      </c>
      <c r="E1334" t="inlineStr">
        <is>
          <t>2025Q4</t>
        </is>
      </c>
      <c r="F1334" s="2" t="n">
        <v>91500</v>
      </c>
      <c r="G1334" t="n">
        <v>297.3</v>
      </c>
      <c r="H1334" t="n">
        <v>333.63</v>
      </c>
      <c r="I1334" s="2" t="n">
        <v>9337</v>
      </c>
      <c r="J1334" t="inlineStr"/>
      <c r="K1334" t="n">
        <v>2471.53</v>
      </c>
      <c r="L1334" s="2" t="n">
        <v>6653</v>
      </c>
      <c r="M1334" t="inlineStr"/>
      <c r="N1334" t="inlineStr">
        <is>
          <t>20260209900891</t>
        </is>
      </c>
      <c r="O1334">
        <f>HYPERLINK("https://dart.fss.or.kr/dsaf001/main.do?rcpNo=20260209900891", "공시열람")</f>
        <v/>
      </c>
    </row>
    <row r="1335">
      <c r="A1335" t="inlineStr">
        <is>
          <t>2026-02-09</t>
        </is>
      </c>
      <c r="B1335" t="inlineStr">
        <is>
          <t>크래프톤</t>
        </is>
      </c>
      <c r="C1335" t="inlineStr">
        <is>
          <t>259960</t>
        </is>
      </c>
      <c r="D1335" t="inlineStr">
        <is>
          <t>연결</t>
        </is>
      </c>
      <c r="E1335" t="inlineStr">
        <is>
          <t>2025Q4</t>
        </is>
      </c>
      <c r="F1335" s="2" t="n">
        <v>919700</v>
      </c>
      <c r="G1335" t="n">
        <v>5.6</v>
      </c>
      <c r="H1335" t="n">
        <v>48.9</v>
      </c>
      <c r="I1335" s="2" t="n">
        <v>2400</v>
      </c>
      <c r="J1335" t="n">
        <v>-99.3</v>
      </c>
      <c r="K1335" t="n">
        <v>-98.90000000000001</v>
      </c>
      <c r="L1335" s="2" t="n">
        <v>-22700</v>
      </c>
      <c r="M1335" t="inlineStr"/>
      <c r="N1335" t="inlineStr">
        <is>
          <t>20260209800873</t>
        </is>
      </c>
      <c r="O1335">
        <f>HYPERLINK("https://dart.fss.or.kr/dsaf001/main.do?rcpNo=20260209800873", "공시열람")</f>
        <v/>
      </c>
    </row>
    <row r="1336">
      <c r="A1336" t="inlineStr">
        <is>
          <t>2026-02-09</t>
        </is>
      </c>
      <c r="B1336" t="inlineStr">
        <is>
          <t>OCI</t>
        </is>
      </c>
      <c r="C1336" t="inlineStr">
        <is>
          <t>456040</t>
        </is>
      </c>
      <c r="D1336" t="inlineStr">
        <is>
          <t>연결</t>
        </is>
      </c>
      <c r="E1336" t="inlineStr">
        <is>
          <t>2025Q4</t>
        </is>
      </c>
      <c r="F1336" s="2" t="n">
        <v>467288</v>
      </c>
      <c r="G1336" t="n">
        <v>-1.9</v>
      </c>
      <c r="H1336" t="n">
        <v>-10.1</v>
      </c>
      <c r="I1336" s="2" t="n">
        <v>2813</v>
      </c>
      <c r="J1336" t="inlineStr"/>
      <c r="K1336" t="n">
        <v>-86.2</v>
      </c>
      <c r="L1336" s="2" t="n">
        <v>3486</v>
      </c>
      <c r="M1336" t="n">
        <v>-72</v>
      </c>
      <c r="N1336" t="inlineStr">
        <is>
          <t>20260209800856</t>
        </is>
      </c>
      <c r="O1336">
        <f>HYPERLINK("https://dart.fss.or.kr/dsaf001/main.do?rcpNo=20260209800856", "공시열람")</f>
        <v/>
      </c>
    </row>
    <row r="1337">
      <c r="A1337" t="inlineStr">
        <is>
          <t>2026-02-09</t>
        </is>
      </c>
      <c r="B1337" t="inlineStr">
        <is>
          <t>현대그린푸드</t>
        </is>
      </c>
      <c r="C1337" t="inlineStr">
        <is>
          <t>453340</t>
        </is>
      </c>
      <c r="D1337" t="inlineStr">
        <is>
          <t>연결</t>
        </is>
      </c>
      <c r="E1337" t="inlineStr">
        <is>
          <t>2025Q4</t>
        </is>
      </c>
      <c r="F1337" s="2" t="n">
        <v>589800</v>
      </c>
      <c r="G1337" t="n">
        <v>-4.42</v>
      </c>
      <c r="H1337" t="n">
        <v>4.04</v>
      </c>
      <c r="I1337" s="2" t="n">
        <v>-800</v>
      </c>
      <c r="J1337" t="inlineStr"/>
      <c r="K1337" t="n">
        <v>84.44</v>
      </c>
      <c r="L1337" s="2" t="n">
        <v>400</v>
      </c>
      <c r="M1337" t="inlineStr"/>
      <c r="N1337" t="inlineStr">
        <is>
          <t>20260209800758</t>
        </is>
      </c>
      <c r="O1337">
        <f>HYPERLINK("https://dart.fss.or.kr/dsaf001/main.do?rcpNo=20260209800758", "공시열람")</f>
        <v/>
      </c>
    </row>
    <row r="1338">
      <c r="A1338" t="inlineStr">
        <is>
          <t>2026-02-09</t>
        </is>
      </c>
      <c r="B1338" t="inlineStr">
        <is>
          <t>대웅제약</t>
        </is>
      </c>
      <c r="C1338" t="inlineStr">
        <is>
          <t>069620</t>
        </is>
      </c>
      <c r="D1338" t="inlineStr">
        <is>
          <t>별도</t>
        </is>
      </c>
      <c r="E1338" t="inlineStr">
        <is>
          <t>2025Q4</t>
        </is>
      </c>
      <c r="F1338" s="2" t="n">
        <v>355820</v>
      </c>
      <c r="G1338" t="n">
        <v>0.21</v>
      </c>
      <c r="H1338" t="n">
        <v>8.699999999999999</v>
      </c>
      <c r="I1338" s="2" t="n">
        <v>45525</v>
      </c>
      <c r="J1338" t="n">
        <v>-14.95</v>
      </c>
      <c r="K1338" t="n">
        <v>8.970000000000001</v>
      </c>
      <c r="L1338" s="2" t="n">
        <v>44408</v>
      </c>
      <c r="M1338" t="inlineStr"/>
      <c r="N1338" t="inlineStr">
        <is>
          <t>20260209800757</t>
        </is>
      </c>
      <c r="O1338">
        <f>HYPERLINK("https://dart.fss.or.kr/dsaf001/main.do?rcpNo=20260209800757", "공시열람")</f>
        <v/>
      </c>
    </row>
    <row r="1339">
      <c r="A1339" t="inlineStr">
        <is>
          <t>2026-02-09</t>
        </is>
      </c>
      <c r="B1339" t="inlineStr">
        <is>
          <t>신세계인터내셔날</t>
        </is>
      </c>
      <c r="C1339" t="inlineStr">
        <is>
          <t>031430</t>
        </is>
      </c>
      <c r="D1339" t="inlineStr">
        <is>
          <t>연결</t>
        </is>
      </c>
      <c r="E1339" t="inlineStr">
        <is>
          <t>2025Q4</t>
        </is>
      </c>
      <c r="F1339" s="2" t="n">
        <v>344339</v>
      </c>
      <c r="G1339" t="n">
        <v>34.1</v>
      </c>
      <c r="H1339" t="n">
        <v>5.6</v>
      </c>
      <c r="I1339" s="2" t="n">
        <v>-2831</v>
      </c>
      <c r="J1339" t="n">
        <v>36</v>
      </c>
      <c r="K1339" t="n">
        <v>8.1</v>
      </c>
      <c r="L1339" s="2" t="n">
        <v>1583</v>
      </c>
      <c r="M1339" t="inlineStr"/>
      <c r="N1339" t="inlineStr">
        <is>
          <t>20260209800718</t>
        </is>
      </c>
      <c r="O1339">
        <f>HYPERLINK("https://dart.fss.or.kr/dsaf001/main.do?rcpNo=20260209800718", "공시열람")</f>
        <v/>
      </c>
    </row>
    <row r="1340">
      <c r="A1340" t="inlineStr">
        <is>
          <t>2026-02-09</t>
        </is>
      </c>
      <c r="B1340" t="inlineStr">
        <is>
          <t>한섬</t>
        </is>
      </c>
      <c r="C1340" t="inlineStr">
        <is>
          <t>020000</t>
        </is>
      </c>
      <c r="D1340" t="inlineStr">
        <is>
          <t>연결</t>
        </is>
      </c>
      <c r="E1340" t="inlineStr">
        <is>
          <t>2025Q4</t>
        </is>
      </c>
      <c r="F1340" s="2" t="n">
        <v>463719</v>
      </c>
      <c r="G1340" t="n">
        <v>49.8</v>
      </c>
      <c r="H1340" t="n">
        <v>6.4</v>
      </c>
      <c r="I1340" s="2" t="n">
        <v>27186</v>
      </c>
      <c r="J1340" t="n">
        <v>998.4</v>
      </c>
      <c r="K1340" t="n">
        <v>30.1</v>
      </c>
      <c r="L1340" s="2" t="n">
        <v>23614</v>
      </c>
      <c r="M1340" t="n">
        <v>81.5</v>
      </c>
      <c r="N1340" t="inlineStr">
        <is>
          <t>20260209800665</t>
        </is>
      </c>
      <c r="O1340">
        <f>HYPERLINK("https://dart.fss.or.kr/dsaf001/main.do?rcpNo=20260209800665", "공시열람")</f>
        <v/>
      </c>
    </row>
    <row r="1341">
      <c r="A1341" t="inlineStr">
        <is>
          <t>2026-02-09</t>
        </is>
      </c>
      <c r="B1341" t="inlineStr">
        <is>
          <t>신세계</t>
        </is>
      </c>
      <c r="C1341" t="inlineStr">
        <is>
          <t>004170</t>
        </is>
      </c>
      <c r="D1341" t="inlineStr">
        <is>
          <t>별도</t>
        </is>
      </c>
      <c r="E1341" t="inlineStr">
        <is>
          <t>2025Q4</t>
        </is>
      </c>
      <c r="F1341" s="2" t="n">
        <v>185762</v>
      </c>
      <c r="G1341" t="n">
        <v>-7.08</v>
      </c>
      <c r="H1341" t="n">
        <v>1.15</v>
      </c>
      <c r="I1341" s="2" t="inlineStr"/>
      <c r="J1341" t="inlineStr"/>
      <c r="K1341" t="inlineStr"/>
      <c r="L1341" s="2" t="inlineStr"/>
      <c r="M1341" t="inlineStr"/>
      <c r="N1341" t="inlineStr">
        <is>
          <t>20260209800602</t>
        </is>
      </c>
      <c r="O1341">
        <f>HYPERLINK("https://dart.fss.or.kr/dsaf001/main.do?rcpNo=20260209800602", "공시열람")</f>
        <v/>
      </c>
    </row>
    <row r="1342">
      <c r="A1342" t="inlineStr">
        <is>
          <t>2026-02-09</t>
        </is>
      </c>
      <c r="B1342" t="inlineStr">
        <is>
          <t>신세계</t>
        </is>
      </c>
      <c r="C1342" t="inlineStr">
        <is>
          <t>004170</t>
        </is>
      </c>
      <c r="D1342" t="inlineStr">
        <is>
          <t>연결</t>
        </is>
      </c>
      <c r="E1342" t="inlineStr">
        <is>
          <t>2025Q4</t>
        </is>
      </c>
      <c r="F1342" s="2" t="n">
        <v>1933707</v>
      </c>
      <c r="G1342" t="n">
        <v>18.19</v>
      </c>
      <c r="H1342" t="n">
        <v>6.18</v>
      </c>
      <c r="I1342" s="2" t="n">
        <v>172535</v>
      </c>
      <c r="J1342" t="n">
        <v>72.95999999999999</v>
      </c>
      <c r="K1342" t="n">
        <v>66.53</v>
      </c>
      <c r="L1342" s="2" t="n">
        <v>-70182</v>
      </c>
      <c r="M1342" t="n">
        <v>-86.25</v>
      </c>
      <c r="N1342" t="inlineStr">
        <is>
          <t>20260209800594</t>
        </is>
      </c>
      <c r="O1342">
        <f>HYPERLINK("https://dart.fss.or.kr/dsaf001/main.do?rcpNo=20260209800594", "공시열람")</f>
        <v/>
      </c>
    </row>
    <row r="1343">
      <c r="A1343" t="inlineStr">
        <is>
          <t>2026-02-09</t>
        </is>
      </c>
      <c r="B1343" t="inlineStr">
        <is>
          <t>현대리바트</t>
        </is>
      </c>
      <c r="C1343" t="inlineStr">
        <is>
          <t>079430</t>
        </is>
      </c>
      <c r="D1343" t="inlineStr">
        <is>
          <t>연결</t>
        </is>
      </c>
      <c r="E1343" t="inlineStr">
        <is>
          <t>2025Q4</t>
        </is>
      </c>
      <c r="F1343" s="2" t="n">
        <v>357920</v>
      </c>
      <c r="G1343" t="n">
        <v>5.1</v>
      </c>
      <c r="H1343" t="n">
        <v>-13.7</v>
      </c>
      <c r="I1343" s="2" t="n">
        <v>-2611</v>
      </c>
      <c r="J1343" t="inlineStr"/>
      <c r="K1343" t="inlineStr"/>
      <c r="L1343" s="2" t="n">
        <v>-2770</v>
      </c>
      <c r="M1343" t="inlineStr"/>
      <c r="N1343" t="inlineStr">
        <is>
          <t>20260209800573</t>
        </is>
      </c>
      <c r="O1343">
        <f>HYPERLINK("https://dart.fss.or.kr/dsaf001/main.do?rcpNo=20260209800573", "공시열람")</f>
        <v/>
      </c>
    </row>
    <row r="1344">
      <c r="A1344" t="inlineStr">
        <is>
          <t>2026-02-09</t>
        </is>
      </c>
      <c r="B1344" t="inlineStr">
        <is>
          <t>에스티팜</t>
        </is>
      </c>
      <c r="C1344" t="inlineStr">
        <is>
          <t>237690</t>
        </is>
      </c>
      <c r="D1344" t="inlineStr">
        <is>
          <t>연결</t>
        </is>
      </c>
      <c r="E1344" t="inlineStr">
        <is>
          <t>2025Q4</t>
        </is>
      </c>
      <c r="F1344" s="2" t="n">
        <v>128971</v>
      </c>
      <c r="G1344" t="n">
        <v>57.5</v>
      </c>
      <c r="H1344" t="n">
        <v>11.4</v>
      </c>
      <c r="I1344" s="2" t="n">
        <v>26406</v>
      </c>
      <c r="J1344" t="n">
        <v>79.3</v>
      </c>
      <c r="K1344" t="n">
        <v>15.9</v>
      </c>
      <c r="L1344" s="2" t="n">
        <v>30964</v>
      </c>
      <c r="M1344" t="n">
        <v>148.9</v>
      </c>
      <c r="N1344" t="inlineStr">
        <is>
          <t>20260209900586</t>
        </is>
      </c>
      <c r="O1344">
        <f>HYPERLINK("https://dart.fss.or.kr/dsaf001/main.do?rcpNo=20260209900586", "공시열람")</f>
        <v/>
      </c>
    </row>
    <row r="1345">
      <c r="A1345" t="inlineStr">
        <is>
          <t>2026-02-09</t>
        </is>
      </c>
      <c r="B1345" t="inlineStr">
        <is>
          <t>HD한국조선해양</t>
        </is>
      </c>
      <c r="C1345" t="inlineStr">
        <is>
          <t>009540</t>
        </is>
      </c>
      <c r="D1345" t="inlineStr">
        <is>
          <t>연결</t>
        </is>
      </c>
      <c r="E1345" t="inlineStr">
        <is>
          <t>2025Q4</t>
        </is>
      </c>
      <c r="F1345" s="2" t="n">
        <v>8151600</v>
      </c>
      <c r="G1345" t="n">
        <v>7.5</v>
      </c>
      <c r="H1345" t="n">
        <v>13.8</v>
      </c>
      <c r="I1345" s="2" t="n">
        <v>1037900</v>
      </c>
      <c r="J1345" t="n">
        <v>-1.5</v>
      </c>
      <c r="K1345" t="n">
        <v>108</v>
      </c>
      <c r="L1345" s="2" t="n">
        <v>993000</v>
      </c>
      <c r="M1345" t="n">
        <v>36.6</v>
      </c>
      <c r="N1345" t="inlineStr">
        <is>
          <t>20260209800560</t>
        </is>
      </c>
      <c r="O1345">
        <f>HYPERLINK("https://dart.fss.or.kr/dsaf001/main.do?rcpNo=20260209800560", "공시열람")</f>
        <v/>
      </c>
    </row>
    <row r="1346">
      <c r="A1346" t="inlineStr">
        <is>
          <t>2026-02-09</t>
        </is>
      </c>
      <c r="B1346" t="inlineStr">
        <is>
          <t>HD현대마린엔진</t>
        </is>
      </c>
      <c r="C1346" t="inlineStr">
        <is>
          <t>071970</t>
        </is>
      </c>
      <c r="D1346" t="inlineStr">
        <is>
          <t>연결</t>
        </is>
      </c>
      <c r="E1346" t="inlineStr">
        <is>
          <t>2025Q4</t>
        </is>
      </c>
      <c r="F1346" s="2" t="n">
        <v>110976</v>
      </c>
      <c r="G1346" t="n">
        <v>1.7</v>
      </c>
      <c r="H1346" t="n">
        <v>25.3</v>
      </c>
      <c r="I1346" s="2" t="n">
        <v>27889</v>
      </c>
      <c r="J1346" t="n">
        <v>37.5</v>
      </c>
      <c r="K1346" t="n">
        <v>205.3</v>
      </c>
      <c r="L1346" s="2" t="n">
        <v>112091</v>
      </c>
      <c r="M1346" t="n">
        <v>123.4</v>
      </c>
      <c r="N1346" t="inlineStr">
        <is>
          <t>20260209800572</t>
        </is>
      </c>
      <c r="O1346">
        <f>HYPERLINK("https://dart.fss.or.kr/dsaf001/main.do?rcpNo=20260209800572", "공시열람")</f>
        <v/>
      </c>
    </row>
    <row r="1347">
      <c r="A1347" t="inlineStr">
        <is>
          <t>2026-02-09</t>
        </is>
      </c>
      <c r="B1347" t="inlineStr">
        <is>
          <t>동아쏘시오홀딩스</t>
        </is>
      </c>
      <c r="C1347" t="inlineStr">
        <is>
          <t>000640</t>
        </is>
      </c>
      <c r="D1347" t="inlineStr">
        <is>
          <t>연결</t>
        </is>
      </c>
      <c r="E1347" t="inlineStr">
        <is>
          <t>2025Q4</t>
        </is>
      </c>
      <c r="F1347" s="2" t="n">
        <v>371865</v>
      </c>
      <c r="G1347" t="n">
        <v>-2.81</v>
      </c>
      <c r="H1347" t="n">
        <v>7.19</v>
      </c>
      <c r="I1347" s="2" t="n">
        <v>15957</v>
      </c>
      <c r="J1347" t="n">
        <v>-52.09</v>
      </c>
      <c r="K1347" t="n">
        <v>-26.44</v>
      </c>
      <c r="L1347" s="2" t="inlineStr"/>
      <c r="M1347" t="inlineStr"/>
      <c r="N1347" t="inlineStr">
        <is>
          <t>20260209800570</t>
        </is>
      </c>
      <c r="O1347">
        <f>HYPERLINK("https://dart.fss.or.kr/dsaf001/main.do?rcpNo=20260209800570", "공시열람")</f>
        <v/>
      </c>
    </row>
    <row r="1348">
      <c r="A1348" t="inlineStr">
        <is>
          <t>2026-02-09</t>
        </is>
      </c>
      <c r="B1348" t="inlineStr">
        <is>
          <t>HD한국조선해양</t>
        </is>
      </c>
      <c r="C1348" t="inlineStr">
        <is>
          <t>009540</t>
        </is>
      </c>
      <c r="D1348" t="inlineStr">
        <is>
          <t>별도</t>
        </is>
      </c>
      <c r="E1348" t="inlineStr">
        <is>
          <t>2025Q4</t>
        </is>
      </c>
      <c r="F1348" s="2" t="n">
        <v>321600</v>
      </c>
      <c r="G1348" t="n">
        <v>-33</v>
      </c>
      <c r="H1348" t="n">
        <v>65.90000000000001</v>
      </c>
      <c r="I1348" s="2" t="n">
        <v>4200</v>
      </c>
      <c r="J1348" t="n">
        <v>-98.5</v>
      </c>
      <c r="K1348" t="n">
        <v>-85.3</v>
      </c>
      <c r="L1348" s="2" t="n">
        <v>-107800</v>
      </c>
      <c r="M1348" t="n">
        <v>-431.7</v>
      </c>
      <c r="N1348" t="inlineStr">
        <is>
          <t>20260209800559</t>
        </is>
      </c>
      <c r="O1348">
        <f>HYPERLINK("https://dart.fss.or.kr/dsaf001/main.do?rcpNo=20260209800559", "공시열람")</f>
        <v/>
      </c>
    </row>
    <row r="1349">
      <c r="A1349" t="inlineStr">
        <is>
          <t>2026-02-09</t>
        </is>
      </c>
      <c r="B1349" t="inlineStr">
        <is>
          <t>HD현대중공업</t>
        </is>
      </c>
      <c r="C1349" t="inlineStr">
        <is>
          <t>329180</t>
        </is>
      </c>
      <c r="D1349" t="inlineStr">
        <is>
          <t>별도</t>
        </is>
      </c>
      <c r="E1349" t="inlineStr">
        <is>
          <t>2025Q4</t>
        </is>
      </c>
      <c r="F1349" s="2" t="n">
        <v>5186600</v>
      </c>
      <c r="G1349" t="n">
        <v>17.4</v>
      </c>
      <c r="H1349" t="n">
        <v>29.6</v>
      </c>
      <c r="I1349" s="2" t="n">
        <v>577900</v>
      </c>
      <c r="J1349" t="n">
        <v>3.2</v>
      </c>
      <c r="K1349" t="n">
        <v>104.8</v>
      </c>
      <c r="L1349" s="2" t="n">
        <v>496200</v>
      </c>
      <c r="M1349" t="n">
        <v>35.6</v>
      </c>
      <c r="N1349" t="inlineStr">
        <is>
          <t>20260209800553</t>
        </is>
      </c>
      <c r="O1349">
        <f>HYPERLINK("https://dart.fss.or.kr/dsaf001/main.do?rcpNo=20260209800553", "공시열람")</f>
        <v/>
      </c>
    </row>
    <row r="1350">
      <c r="A1350" t="inlineStr">
        <is>
          <t>2026-02-09</t>
        </is>
      </c>
      <c r="B1350" t="inlineStr">
        <is>
          <t>HD현대중공업</t>
        </is>
      </c>
      <c r="C1350" t="inlineStr">
        <is>
          <t>329180</t>
        </is>
      </c>
      <c r="D1350" t="inlineStr">
        <is>
          <t>연결</t>
        </is>
      </c>
      <c r="E1350" t="inlineStr">
        <is>
          <t>2025Q4</t>
        </is>
      </c>
      <c r="F1350" s="2" t="n">
        <v>5193100</v>
      </c>
      <c r="G1350" t="n">
        <v>17.5</v>
      </c>
      <c r="H1350" t="n">
        <v>29.6</v>
      </c>
      <c r="I1350" s="2" t="n">
        <v>575000</v>
      </c>
      <c r="J1350" t="n">
        <v>3.2</v>
      </c>
      <c r="K1350" t="n">
        <v>103.8</v>
      </c>
      <c r="L1350" s="2" t="n">
        <v>489600</v>
      </c>
      <c r="M1350" t="n">
        <v>33.6</v>
      </c>
      <c r="N1350" t="inlineStr">
        <is>
          <t>20260209800550</t>
        </is>
      </c>
      <c r="O1350">
        <f>HYPERLINK("https://dart.fss.or.kr/dsaf001/main.do?rcpNo=20260209800550", "공시열람")</f>
        <v/>
      </c>
    </row>
    <row r="1351">
      <c r="A1351" t="inlineStr">
        <is>
          <t>2026-02-09</t>
        </is>
      </c>
      <c r="B1351" t="inlineStr">
        <is>
          <t>동아에스티</t>
        </is>
      </c>
      <c r="C1351" t="inlineStr">
        <is>
          <t>170900</t>
        </is>
      </c>
      <c r="D1351" t="inlineStr">
        <is>
          <t>별도</t>
        </is>
      </c>
      <c r="E1351" t="inlineStr">
        <is>
          <t>2025Q4</t>
        </is>
      </c>
      <c r="F1351" s="2" t="n">
        <v>200406</v>
      </c>
      <c r="G1351" t="n">
        <v>1</v>
      </c>
      <c r="H1351" t="n">
        <v>22.6</v>
      </c>
      <c r="I1351" s="2" t="n">
        <v>-554</v>
      </c>
      <c r="J1351" t="inlineStr"/>
      <c r="K1351" t="inlineStr"/>
      <c r="L1351" s="2" t="inlineStr"/>
      <c r="M1351" t="inlineStr"/>
      <c r="N1351" t="inlineStr">
        <is>
          <t>20260209800535</t>
        </is>
      </c>
      <c r="O1351">
        <f>HYPERLINK("https://dart.fss.or.kr/dsaf001/main.do?rcpNo=20260209800535", "공시열람")</f>
        <v/>
      </c>
    </row>
    <row r="1352">
      <c r="A1352" t="inlineStr">
        <is>
          <t>2026-02-09</t>
        </is>
      </c>
      <c r="B1352" t="inlineStr">
        <is>
          <t>비에이치</t>
        </is>
      </c>
      <c r="C1352" t="inlineStr">
        <is>
          <t>090460</t>
        </is>
      </c>
      <c r="D1352" t="inlineStr">
        <is>
          <t>연결</t>
        </is>
      </c>
      <c r="E1352" t="inlineStr">
        <is>
          <t>2025Q4</t>
        </is>
      </c>
      <c r="F1352" s="2" t="n">
        <v>508037</v>
      </c>
      <c r="G1352" t="n">
        <v>-9.699999999999999</v>
      </c>
      <c r="H1352" t="n">
        <v>4.1</v>
      </c>
      <c r="I1352" s="2" t="n">
        <v>28822</v>
      </c>
      <c r="J1352" t="n">
        <v>-16.4</v>
      </c>
      <c r="K1352" t="inlineStr"/>
      <c r="L1352" s="2" t="n">
        <v>27347</v>
      </c>
      <c r="M1352" t="inlineStr"/>
      <c r="N1352" t="inlineStr">
        <is>
          <t>20260209800295</t>
        </is>
      </c>
      <c r="O1352">
        <f>HYPERLINK("https://dart.fss.or.kr/dsaf001/main.do?rcpNo=20260209800295", "공시열람")</f>
        <v/>
      </c>
    </row>
    <row r="1353">
      <c r="A1353" t="inlineStr">
        <is>
          <t>2026-02-09</t>
        </is>
      </c>
      <c r="B1353" t="inlineStr">
        <is>
          <t>대우건설</t>
        </is>
      </c>
      <c r="C1353" t="inlineStr">
        <is>
          <t>047040</t>
        </is>
      </c>
      <c r="D1353" t="inlineStr">
        <is>
          <t>연결</t>
        </is>
      </c>
      <c r="E1353" t="inlineStr">
        <is>
          <t>2025Q4</t>
        </is>
      </c>
      <c r="F1353" s="2" t="n">
        <v>1714000</v>
      </c>
      <c r="G1353" t="n">
        <v>-13.9</v>
      </c>
      <c r="H1353" t="n">
        <v>-35.2</v>
      </c>
      <c r="I1353" s="2" t="n">
        <v>-1105500</v>
      </c>
      <c r="J1353" t="inlineStr"/>
      <c r="K1353" t="inlineStr"/>
      <c r="L1353" s="2" t="n">
        <v>-878100</v>
      </c>
      <c r="M1353" t="inlineStr"/>
      <c r="N1353" t="inlineStr">
        <is>
          <t>20260209800125</t>
        </is>
      </c>
      <c r="O1353">
        <f>HYPERLINK("https://dart.fss.or.kr/dsaf001/main.do?rcpNo=20260209800125", "공시열람")</f>
        <v/>
      </c>
    </row>
    <row r="1354">
      <c r="A1354" t="inlineStr">
        <is>
          <t>2026-02-09</t>
        </is>
      </c>
      <c r="B1354" t="inlineStr">
        <is>
          <t>대우건설</t>
        </is>
      </c>
      <c r="C1354" t="inlineStr">
        <is>
          <t>047040</t>
        </is>
      </c>
      <c r="D1354" t="inlineStr">
        <is>
          <t>연결</t>
        </is>
      </c>
      <c r="E1354" t="inlineStr">
        <is>
          <t>2025Q4</t>
        </is>
      </c>
      <c r="F1354" s="2" t="n">
        <v>1714000</v>
      </c>
      <c r="G1354" t="n">
        <v>-13.9</v>
      </c>
      <c r="H1354" t="n">
        <v>-35.2</v>
      </c>
      <c r="I1354" s="2" t="n">
        <v>-1105500</v>
      </c>
      <c r="J1354" t="inlineStr"/>
      <c r="K1354" t="inlineStr"/>
      <c r="L1354" s="2" t="n">
        <v>-878100</v>
      </c>
      <c r="M1354" t="inlineStr"/>
      <c r="N1354" t="inlineStr">
        <is>
          <t>20260209800080</t>
        </is>
      </c>
      <c r="O1354">
        <f>HYPERLINK("https://dart.fss.or.kr/dsaf001/main.do?rcpNo=20260209800080", "공시열람")</f>
        <v/>
      </c>
    </row>
    <row r="1355">
      <c r="A1355" t="inlineStr">
        <is>
          <t>2026-02-09</t>
        </is>
      </c>
      <c r="B1355" t="inlineStr">
        <is>
          <t>케이티스카이라이프</t>
        </is>
      </c>
      <c r="C1355" t="inlineStr">
        <is>
          <t>053210</t>
        </is>
      </c>
      <c r="D1355" t="inlineStr">
        <is>
          <t>연결</t>
        </is>
      </c>
      <c r="E1355" t="inlineStr">
        <is>
          <t>2025Q4</t>
        </is>
      </c>
      <c r="F1355" s="2" t="n">
        <v>247178</v>
      </c>
      <c r="G1355" t="n">
        <v>0.1</v>
      </c>
      <c r="H1355" t="n">
        <v>-3.8</v>
      </c>
      <c r="I1355" s="2" t="n">
        <v>-11580</v>
      </c>
      <c r="J1355" t="inlineStr"/>
      <c r="K1355" t="n">
        <v>-105.6</v>
      </c>
      <c r="L1355" s="2" t="n">
        <v>-23338</v>
      </c>
      <c r="M1355" t="n">
        <v>85.2</v>
      </c>
      <c r="N1355" t="inlineStr">
        <is>
          <t>20260209800066</t>
        </is>
      </c>
      <c r="O1355">
        <f>HYPERLINK("https://dart.fss.or.kr/dsaf001/main.do?rcpNo=20260209800066", "공시열람")</f>
        <v/>
      </c>
    </row>
    <row r="1356">
      <c r="A1356" t="inlineStr">
        <is>
          <t>2026-02-09</t>
        </is>
      </c>
      <c r="B1356" t="inlineStr">
        <is>
          <t>한화에어로스페이스</t>
        </is>
      </c>
      <c r="C1356" t="inlineStr">
        <is>
          <t>012450</t>
        </is>
      </c>
      <c r="D1356" t="inlineStr">
        <is>
          <t>연결</t>
        </is>
      </c>
      <c r="E1356" t="inlineStr">
        <is>
          <t>2025Q4</t>
        </is>
      </c>
      <c r="F1356" s="2" t="n">
        <v>8326100</v>
      </c>
      <c r="G1356" t="n">
        <v>28.36</v>
      </c>
      <c r="H1356" t="n">
        <v>72.56</v>
      </c>
      <c r="I1356" s="2" t="n">
        <v>752800</v>
      </c>
      <c r="J1356" t="n">
        <v>-12.1</v>
      </c>
      <c r="K1356" t="n">
        <v>-16.33</v>
      </c>
      <c r="L1356" s="2" t="n">
        <v>933700</v>
      </c>
      <c r="M1356" t="n">
        <v>-54.65</v>
      </c>
      <c r="N1356" t="inlineStr">
        <is>
          <t>20260209800902</t>
        </is>
      </c>
      <c r="O1356">
        <f>HYPERLINK("https://dart.fss.or.kr/dsaf001/main.do?rcpNo=20260209800902", "공시열람")</f>
        <v/>
      </c>
    </row>
    <row r="1357">
      <c r="A1357" t="inlineStr">
        <is>
          <t>2026-02-09</t>
        </is>
      </c>
      <c r="B1357" t="inlineStr">
        <is>
          <t>SK네트웍스</t>
        </is>
      </c>
      <c r="C1357" t="inlineStr">
        <is>
          <t>001740</t>
        </is>
      </c>
      <c r="D1357" t="inlineStr">
        <is>
          <t>연결</t>
        </is>
      </c>
      <c r="E1357" t="inlineStr">
        <is>
          <t>2025Q4</t>
        </is>
      </c>
      <c r="F1357" s="2" t="n">
        <v>1619504</v>
      </c>
      <c r="G1357" t="n">
        <v>-17.9</v>
      </c>
      <c r="H1357" t="n">
        <v>-12.4</v>
      </c>
      <c r="I1357" s="2" t="n">
        <v>4437</v>
      </c>
      <c r="J1357" t="n">
        <v>-80.09999999999999</v>
      </c>
      <c r="K1357" t="n">
        <v>-87.90000000000001</v>
      </c>
      <c r="L1357" s="2" t="n">
        <v>10130</v>
      </c>
      <c r="M1357" t="inlineStr"/>
      <c r="N1357" t="inlineStr">
        <is>
          <t>20260209800822</t>
        </is>
      </c>
      <c r="O1357">
        <f>HYPERLINK("https://dart.fss.or.kr/dsaf001/main.do?rcpNo=20260209800822", "공시열람")</f>
        <v/>
      </c>
    </row>
    <row r="1358">
      <c r="A1358" t="inlineStr">
        <is>
          <t>2026-02-09</t>
        </is>
      </c>
      <c r="B1358" t="inlineStr">
        <is>
          <t>광주신세계</t>
        </is>
      </c>
      <c r="C1358" t="inlineStr">
        <is>
          <t>037710</t>
        </is>
      </c>
      <c r="D1358" t="inlineStr">
        <is>
          <t>별도</t>
        </is>
      </c>
      <c r="E1358" t="inlineStr">
        <is>
          <t>2025Q4</t>
        </is>
      </c>
      <c r="F1358" s="2" t="n">
        <v>52836</v>
      </c>
      <c r="G1358" t="n">
        <v>27.7</v>
      </c>
      <c r="H1358" t="n">
        <v>-0.6</v>
      </c>
      <c r="I1358" s="2" t="n">
        <v>17721</v>
      </c>
      <c r="J1358" t="n">
        <v>75.8</v>
      </c>
      <c r="K1358" t="n">
        <v>8</v>
      </c>
      <c r="L1358" s="2" t="n">
        <v>14683</v>
      </c>
      <c r="M1358" t="n">
        <v>23.8</v>
      </c>
      <c r="N1358" t="inlineStr">
        <is>
          <t>20260209800886</t>
        </is>
      </c>
      <c r="O1358">
        <f>HYPERLINK("https://dart.fss.or.kr/dsaf001/main.do?rcpNo=20260209800886", "공시열람")</f>
        <v/>
      </c>
    </row>
    <row r="1359">
      <c r="A1359" t="inlineStr">
        <is>
          <t>2026-02-09</t>
        </is>
      </c>
      <c r="B1359" t="inlineStr">
        <is>
          <t>GKL</t>
        </is>
      </c>
      <c r="C1359" t="inlineStr">
        <is>
          <t>114090</t>
        </is>
      </c>
      <c r="D1359" t="inlineStr">
        <is>
          <t>연결</t>
        </is>
      </c>
      <c r="E1359" t="inlineStr">
        <is>
          <t>2025Q4</t>
        </is>
      </c>
      <c r="F1359" s="2" t="n">
        <v>102759</v>
      </c>
      <c r="G1359" t="n">
        <v>-6.1</v>
      </c>
      <c r="H1359" t="n">
        <v>-2.9</v>
      </c>
      <c r="I1359" s="2" t="n">
        <v>-801</v>
      </c>
      <c r="J1359" t="inlineStr"/>
      <c r="K1359" t="inlineStr"/>
      <c r="L1359" s="2" t="n">
        <v>-660</v>
      </c>
      <c r="M1359" t="inlineStr"/>
      <c r="N1359" t="inlineStr">
        <is>
          <t>20260209801186</t>
        </is>
      </c>
      <c r="O1359">
        <f>HYPERLINK("https://dart.fss.or.kr/dsaf001/main.do?rcpNo=20260209801186", "공시열람")</f>
        <v/>
      </c>
    </row>
    <row r="1360">
      <c r="A1360" t="inlineStr">
        <is>
          <t>2026-02-09</t>
        </is>
      </c>
      <c r="B1360" t="inlineStr">
        <is>
          <t>한화엔진</t>
        </is>
      </c>
      <c r="C1360" t="inlineStr">
        <is>
          <t>082740</t>
        </is>
      </c>
      <c r="D1360" t="inlineStr">
        <is>
          <t>별도</t>
        </is>
      </c>
      <c r="E1360" t="inlineStr">
        <is>
          <t>2025Q4</t>
        </is>
      </c>
      <c r="F1360" s="2" t="n">
        <v>367830</v>
      </c>
      <c r="G1360" t="n">
        <v>23.7</v>
      </c>
      <c r="H1360" t="n">
        <v>12.7</v>
      </c>
      <c r="I1360" s="2" t="n">
        <v>47348</v>
      </c>
      <c r="J1360" t="n">
        <v>77.8</v>
      </c>
      <c r="K1360" t="n">
        <v>160.2</v>
      </c>
      <c r="L1360" s="2" t="n">
        <v>102488</v>
      </c>
      <c r="M1360" t="n">
        <v>160.1</v>
      </c>
      <c r="N1360" t="inlineStr">
        <is>
          <t>20260209801531</t>
        </is>
      </c>
      <c r="O1360">
        <f>HYPERLINK("https://dart.fss.or.kr/dsaf001/main.do?rcpNo=20260209801531", "공시열람")</f>
        <v/>
      </c>
    </row>
    <row r="1361">
      <c r="A1361" t="inlineStr">
        <is>
          <t>2026-02-09</t>
        </is>
      </c>
      <c r="B1361" t="inlineStr">
        <is>
          <t>아이에스동서</t>
        </is>
      </c>
      <c r="C1361" t="inlineStr">
        <is>
          <t>010780</t>
        </is>
      </c>
      <c r="D1361" t="inlineStr">
        <is>
          <t>연결</t>
        </is>
      </c>
      <c r="E1361" t="inlineStr">
        <is>
          <t>2025Q4</t>
        </is>
      </c>
      <c r="F1361" s="2" t="n">
        <v>329018</v>
      </c>
      <c r="G1361" t="n">
        <v>21.4</v>
      </c>
      <c r="H1361" t="n">
        <v>9.9</v>
      </c>
      <c r="I1361" s="2" t="n">
        <v>-29402</v>
      </c>
      <c r="J1361" t="inlineStr"/>
      <c r="K1361" t="inlineStr"/>
      <c r="L1361" s="2" t="n">
        <v>-58909</v>
      </c>
      <c r="M1361" t="n">
        <v>72.59999999999999</v>
      </c>
      <c r="N1361" t="inlineStr">
        <is>
          <t>20260209801642</t>
        </is>
      </c>
      <c r="O1361">
        <f>HYPERLINK("https://dart.fss.or.kr/dsaf001/main.do?rcpNo=20260209801642", "공시열람")</f>
        <v/>
      </c>
    </row>
    <row r="1362">
      <c r="A1362" t="inlineStr">
        <is>
          <t>2026-02-09</t>
        </is>
      </c>
      <c r="B1362" t="inlineStr">
        <is>
          <t>제주항공</t>
        </is>
      </c>
      <c r="C1362" t="inlineStr">
        <is>
          <t>089590</t>
        </is>
      </c>
      <c r="D1362" t="inlineStr">
        <is>
          <t>연결</t>
        </is>
      </c>
      <c r="E1362" t="inlineStr">
        <is>
          <t>2025Q4</t>
        </is>
      </c>
      <c r="F1362" s="2" t="n">
        <v>474600</v>
      </c>
      <c r="G1362" t="n">
        <v>22.2</v>
      </c>
      <c r="H1362" t="n">
        <v>5.4</v>
      </c>
      <c r="I1362" s="2" t="n">
        <v>18600</v>
      </c>
      <c r="J1362" t="inlineStr"/>
      <c r="K1362" t="inlineStr"/>
      <c r="L1362" s="2" t="n">
        <v>-40800</v>
      </c>
      <c r="M1362" t="n">
        <v>29.9</v>
      </c>
      <c r="N1362" t="inlineStr">
        <is>
          <t>20260209801493</t>
        </is>
      </c>
      <c r="O1362">
        <f>HYPERLINK("https://dart.fss.or.kr/dsaf001/main.do?rcpNo=20260209801493", "공시열람")</f>
        <v/>
      </c>
    </row>
    <row r="1363">
      <c r="A1363" t="inlineStr">
        <is>
          <t>2026-02-09</t>
        </is>
      </c>
      <c r="B1363" t="inlineStr">
        <is>
          <t>고려아연</t>
        </is>
      </c>
      <c r="C1363" t="inlineStr">
        <is>
          <t>010130</t>
        </is>
      </c>
      <c r="D1363" t="inlineStr">
        <is>
          <t>연결</t>
        </is>
      </c>
      <c r="E1363" t="inlineStr">
        <is>
          <t>2025Q4</t>
        </is>
      </c>
      <c r="F1363" s="2" t="n">
        <v>4763284</v>
      </c>
      <c r="G1363" t="n">
        <v>14.5</v>
      </c>
      <c r="H1363" t="n">
        <v>39.6</v>
      </c>
      <c r="I1363" s="2" t="n">
        <v>428958</v>
      </c>
      <c r="J1363" t="n">
        <v>56.9</v>
      </c>
      <c r="K1363" t="n">
        <v>256.7</v>
      </c>
      <c r="L1363" s="2" t="n">
        <v>212342</v>
      </c>
      <c r="M1363" t="inlineStr"/>
      <c r="N1363" t="inlineStr">
        <is>
          <t>20260209801374</t>
        </is>
      </c>
      <c r="O1363">
        <f>HYPERLINK("https://dart.fss.or.kr/dsaf001/main.do?rcpNo=20260209801374", "공시열람")</f>
        <v/>
      </c>
    </row>
    <row r="1364">
      <c r="A1364" t="inlineStr">
        <is>
          <t>2026-02-09</t>
        </is>
      </c>
      <c r="B1364" t="inlineStr">
        <is>
          <t>CJ제일제당</t>
        </is>
      </c>
      <c r="C1364" t="inlineStr">
        <is>
          <t>097950</t>
        </is>
      </c>
      <c r="D1364" t="inlineStr">
        <is>
          <t>연결</t>
        </is>
      </c>
      <c r="E1364" t="inlineStr">
        <is>
          <t>2025Q4</t>
        </is>
      </c>
      <c r="F1364" s="2" t="n">
        <v>7005702</v>
      </c>
      <c r="G1364" t="n">
        <v>-5.8</v>
      </c>
      <c r="H1364" t="n">
        <v>-6.5</v>
      </c>
      <c r="I1364" s="2" t="n">
        <v>295865</v>
      </c>
      <c r="J1364" t="n">
        <v>-14.6</v>
      </c>
      <c r="K1364" t="n">
        <v>-21.6</v>
      </c>
      <c r="L1364" s="2" t="n">
        <v>-798731</v>
      </c>
      <c r="M1364" t="n">
        <v>-442.6</v>
      </c>
      <c r="N1364" t="inlineStr">
        <is>
          <t>20260209801328</t>
        </is>
      </c>
      <c r="O1364">
        <f>HYPERLINK("https://dart.fss.or.kr/dsaf001/main.do?rcpNo=20260209801328", "공시열람")</f>
        <v/>
      </c>
    </row>
    <row r="1365">
      <c r="A1365" t="inlineStr">
        <is>
          <t>2026-02-09</t>
        </is>
      </c>
      <c r="B1365" t="inlineStr">
        <is>
          <t>고려아연</t>
        </is>
      </c>
      <c r="C1365" t="inlineStr">
        <is>
          <t>010130</t>
        </is>
      </c>
      <c r="D1365" t="inlineStr">
        <is>
          <t>별도</t>
        </is>
      </c>
      <c r="E1365" t="inlineStr">
        <is>
          <t>2025Q4</t>
        </is>
      </c>
      <c r="F1365" s="2" t="n">
        <v>3075040</v>
      </c>
      <c r="G1365" t="n">
        <v>17.9</v>
      </c>
      <c r="H1365" t="n">
        <v>36.2</v>
      </c>
      <c r="I1365" s="2" t="n">
        <v>405192</v>
      </c>
      <c r="J1365" t="n">
        <v>72.3</v>
      </c>
      <c r="K1365" t="n">
        <v>117.1</v>
      </c>
      <c r="L1365" s="2" t="n">
        <v>163544</v>
      </c>
      <c r="M1365" t="inlineStr"/>
      <c r="N1365" t="inlineStr">
        <is>
          <t>20260209801344</t>
        </is>
      </c>
      <c r="O1365">
        <f>HYPERLINK("https://dart.fss.or.kr/dsaf001/main.do?rcpNo=20260209801344", "공시열람")</f>
        <v/>
      </c>
    </row>
    <row r="1366">
      <c r="A1366" t="inlineStr">
        <is>
          <t>2026-02-09</t>
        </is>
      </c>
      <c r="B1366" t="inlineStr">
        <is>
          <t>한국석유공업</t>
        </is>
      </c>
      <c r="C1366" t="inlineStr">
        <is>
          <t>004090</t>
        </is>
      </c>
      <c r="D1366" t="inlineStr">
        <is>
          <t>연결</t>
        </is>
      </c>
      <c r="E1366" t="inlineStr">
        <is>
          <t>2025Q4</t>
        </is>
      </c>
      <c r="F1366" s="2" t="n">
        <v>173150</v>
      </c>
      <c r="G1366" t="n">
        <v>0.9</v>
      </c>
      <c r="H1366" t="n">
        <v>-9.699999999999999</v>
      </c>
      <c r="I1366" s="2" t="n">
        <v>3237</v>
      </c>
      <c r="J1366" t="n">
        <v>-2.4</v>
      </c>
      <c r="K1366" t="n">
        <v>-45.9</v>
      </c>
      <c r="L1366" s="2" t="n">
        <v>-584</v>
      </c>
      <c r="M1366" t="inlineStr"/>
      <c r="N1366" t="inlineStr">
        <is>
          <t>20260209801263</t>
        </is>
      </c>
      <c r="O1366">
        <f>HYPERLINK("https://dart.fss.or.kr/dsaf001/main.do?rcpNo=20260209801263", "공시열람")</f>
        <v/>
      </c>
    </row>
    <row r="1367">
      <c r="A1367" t="inlineStr">
        <is>
          <t>2026-02-09</t>
        </is>
      </c>
      <c r="B1367" t="inlineStr">
        <is>
          <t>아이크래프트</t>
        </is>
      </c>
      <c r="C1367" t="inlineStr">
        <is>
          <t>052460</t>
        </is>
      </c>
      <c r="D1367" t="inlineStr">
        <is>
          <t>연결</t>
        </is>
      </c>
      <c r="E1367" t="inlineStr">
        <is>
          <t>2025Q4</t>
        </is>
      </c>
      <c r="F1367" s="2" t="n">
        <v>109094</v>
      </c>
      <c r="G1367" t="n">
        <v>294.77</v>
      </c>
      <c r="H1367" t="n">
        <v>264.31</v>
      </c>
      <c r="I1367" s="2" t="n">
        <v>11419</v>
      </c>
      <c r="J1367" t="inlineStr"/>
      <c r="K1367" t="n">
        <v>1166.57</v>
      </c>
      <c r="L1367" s="2" t="n">
        <v>8189</v>
      </c>
      <c r="M1367" t="inlineStr"/>
      <c r="N1367" t="inlineStr">
        <is>
          <t>20260209900899</t>
        </is>
      </c>
      <c r="O1367">
        <f>HYPERLINK("https://dart.fss.or.kr/dsaf001/main.do?rcpNo=20260209900899", "공시열람")</f>
        <v/>
      </c>
    </row>
    <row r="1368">
      <c r="A1368" t="inlineStr">
        <is>
          <t>2026-02-09</t>
        </is>
      </c>
      <c r="B1368" t="inlineStr">
        <is>
          <t>빅텍</t>
        </is>
      </c>
      <c r="C1368" t="inlineStr">
        <is>
          <t>065450</t>
        </is>
      </c>
      <c r="D1368" t="inlineStr">
        <is>
          <t>연결</t>
        </is>
      </c>
      <c r="E1368" t="inlineStr">
        <is>
          <t>2025Q4</t>
        </is>
      </c>
      <c r="F1368" s="2" t="n">
        <v>28839</v>
      </c>
      <c r="G1368" t="n">
        <v>17.7</v>
      </c>
      <c r="H1368" t="n">
        <v>9.5</v>
      </c>
      <c r="I1368" s="2" t="n">
        <v>2009</v>
      </c>
      <c r="J1368" t="n">
        <v>40.8</v>
      </c>
      <c r="K1368" t="n">
        <v>-11.1</v>
      </c>
      <c r="L1368" s="2" t="n">
        <v>3268</v>
      </c>
      <c r="M1368" t="n">
        <v>40.1</v>
      </c>
      <c r="N1368" t="inlineStr">
        <is>
          <t>20260209901744</t>
        </is>
      </c>
      <c r="O1368">
        <f>HYPERLINK("https://dart.fss.or.kr/dsaf001/main.do?rcpNo=20260209901744", "공시열람")</f>
        <v/>
      </c>
    </row>
    <row r="1369">
      <c r="A1369" t="inlineStr">
        <is>
          <t>2026-02-09</t>
        </is>
      </c>
      <c r="B1369" t="inlineStr">
        <is>
          <t>와이엔텍</t>
        </is>
      </c>
      <c r="C1369" t="inlineStr">
        <is>
          <t>067900</t>
        </is>
      </c>
      <c r="D1369" t="inlineStr">
        <is>
          <t>연결</t>
        </is>
      </c>
      <c r="E1369" t="inlineStr">
        <is>
          <t>2025Q4</t>
        </is>
      </c>
      <c r="F1369" s="2" t="n">
        <v>116996</v>
      </c>
      <c r="G1369" t="n">
        <v>2.84</v>
      </c>
      <c r="H1369" t="inlineStr"/>
      <c r="I1369" s="2" t="n">
        <v>26073</v>
      </c>
      <c r="J1369" t="n">
        <v>-13.89</v>
      </c>
      <c r="K1369" t="inlineStr"/>
      <c r="L1369" s="2" t="n">
        <v>27144</v>
      </c>
      <c r="M1369" t="inlineStr"/>
      <c r="N1369" t="inlineStr">
        <is>
          <t>20260209901295</t>
        </is>
      </c>
      <c r="O1369">
        <f>HYPERLINK("https://dart.fss.or.kr/dsaf001/main.do?rcpNo=20260209901295", "공시열람")</f>
        <v/>
      </c>
    </row>
    <row r="1370">
      <c r="A1370" t="inlineStr">
        <is>
          <t>2026-02-09</t>
        </is>
      </c>
      <c r="B1370" t="inlineStr">
        <is>
          <t>한화</t>
        </is>
      </c>
      <c r="C1370" t="inlineStr">
        <is>
          <t>000880</t>
        </is>
      </c>
      <c r="D1370" t="inlineStr">
        <is>
          <t>연결</t>
        </is>
      </c>
      <c r="E1370" t="inlineStr">
        <is>
          <t>2025Q4</t>
        </is>
      </c>
      <c r="F1370" s="2" t="n">
        <v>21075939</v>
      </c>
      <c r="G1370" t="n">
        <v>18.49</v>
      </c>
      <c r="H1370" t="n">
        <v>17.09</v>
      </c>
      <c r="I1370" s="2" t="n">
        <v>404414</v>
      </c>
      <c r="J1370" t="n">
        <v>-69.91</v>
      </c>
      <c r="K1370" t="n">
        <v>-64.09</v>
      </c>
      <c r="L1370" s="2" t="n">
        <v>204792</v>
      </c>
      <c r="M1370" t="n">
        <v>-87.86</v>
      </c>
      <c r="N1370" t="inlineStr">
        <is>
          <t>20260209801727</t>
        </is>
      </c>
      <c r="O1370">
        <f>HYPERLINK("https://dart.fss.or.kr/dsaf001/main.do?rcpNo=20260209801727", "공시열람")</f>
        <v/>
      </c>
    </row>
    <row r="1371">
      <c r="A1371" t="inlineStr">
        <is>
          <t>2026-02-09</t>
        </is>
      </c>
      <c r="B1371" t="inlineStr">
        <is>
          <t>HDC랩스</t>
        </is>
      </c>
      <c r="C1371" t="inlineStr">
        <is>
          <t>039570</t>
        </is>
      </c>
      <c r="D1371" t="inlineStr">
        <is>
          <t>연결</t>
        </is>
      </c>
      <c r="E1371" t="inlineStr">
        <is>
          <t>2025Q4</t>
        </is>
      </c>
      <c r="F1371" s="2" t="n">
        <v>158469</v>
      </c>
      <c r="G1371" t="n">
        <v>2</v>
      </c>
      <c r="H1371" t="n">
        <v>-13.6</v>
      </c>
      <c r="I1371" s="2" t="n">
        <v>1797</v>
      </c>
      <c r="J1371" t="n">
        <v>-18.1</v>
      </c>
      <c r="K1371" t="n">
        <v>-54.2</v>
      </c>
      <c r="L1371" s="2" t="n">
        <v>3622</v>
      </c>
      <c r="M1371" t="n">
        <v>-69.5</v>
      </c>
      <c r="N1371" t="inlineStr">
        <is>
          <t>20260209801154</t>
        </is>
      </c>
      <c r="O1371">
        <f>HYPERLINK("https://dart.fss.or.kr/dsaf001/main.do?rcpNo=20260209801154", "공시열람")</f>
        <v/>
      </c>
    </row>
    <row r="1372">
      <c r="A1372" t="inlineStr">
        <is>
          <t>2026-02-09</t>
        </is>
      </c>
      <c r="B1372" t="inlineStr">
        <is>
          <t>위메이드맥스</t>
        </is>
      </c>
      <c r="C1372" t="inlineStr">
        <is>
          <t>101730</t>
        </is>
      </c>
      <c r="D1372" t="inlineStr">
        <is>
          <t>연결</t>
        </is>
      </c>
      <c r="E1372" t="inlineStr">
        <is>
          <t>2025Q4</t>
        </is>
      </c>
      <c r="F1372" s="2" t="n">
        <v>30544</v>
      </c>
      <c r="G1372" t="n">
        <v>-20</v>
      </c>
      <c r="H1372" t="n">
        <v>52.5</v>
      </c>
      <c r="I1372" s="2" t="n">
        <v>-17914</v>
      </c>
      <c r="J1372" t="n">
        <v>-52.5</v>
      </c>
      <c r="K1372" t="n">
        <v>-446.6</v>
      </c>
      <c r="L1372" s="2" t="n">
        <v>-10500</v>
      </c>
      <c r="M1372" t="n">
        <v>-10.5</v>
      </c>
      <c r="N1372" t="inlineStr">
        <is>
          <t>20260209901012</t>
        </is>
      </c>
      <c r="O1372">
        <f>HYPERLINK("https://dart.fss.or.kr/dsaf001/main.do?rcpNo=20260209901012", "공시열람")</f>
        <v/>
      </c>
    </row>
    <row r="1373">
      <c r="A1373" t="inlineStr">
        <is>
          <t>2026-02-09</t>
        </is>
      </c>
      <c r="B1373" t="inlineStr">
        <is>
          <t>세아베스틸지주</t>
        </is>
      </c>
      <c r="C1373" t="inlineStr">
        <is>
          <t>001430</t>
        </is>
      </c>
      <c r="D1373" t="inlineStr">
        <is>
          <t>연결</t>
        </is>
      </c>
      <c r="E1373" t="inlineStr">
        <is>
          <t>2025Q4</t>
        </is>
      </c>
      <c r="F1373" s="2" t="n">
        <v>861865</v>
      </c>
      <c r="G1373" t="n">
        <v>-6.9</v>
      </c>
      <c r="H1373" t="n">
        <v>3.9</v>
      </c>
      <c r="I1373" s="2" t="n">
        <v>12830</v>
      </c>
      <c r="J1373" t="n">
        <v>-52.4</v>
      </c>
      <c r="K1373" t="inlineStr"/>
      <c r="L1373" s="2" t="n">
        <v>3642</v>
      </c>
      <c r="M1373" t="inlineStr"/>
      <c r="N1373" t="inlineStr">
        <is>
          <t>20260209800957</t>
        </is>
      </c>
      <c r="O1373">
        <f>HYPERLINK("https://dart.fss.or.kr/dsaf001/main.do?rcpNo=20260209800957", "공시열람")</f>
        <v/>
      </c>
    </row>
    <row r="1374">
      <c r="A1374" t="inlineStr">
        <is>
          <t>2026-02-09</t>
        </is>
      </c>
      <c r="B1374" t="inlineStr">
        <is>
          <t>광주신세계</t>
        </is>
      </c>
      <c r="C1374" t="inlineStr">
        <is>
          <t>037710</t>
        </is>
      </c>
      <c r="D1374" t="inlineStr">
        <is>
          <t>별도</t>
        </is>
      </c>
      <c r="E1374" t="inlineStr">
        <is>
          <t>2025Q4</t>
        </is>
      </c>
      <c r="F1374" s="2" t="n">
        <v>16026</v>
      </c>
      <c r="G1374" t="n">
        <v>-8.300000000000001</v>
      </c>
      <c r="H1374" t="n">
        <v>-1.4</v>
      </c>
      <c r="I1374" s="2" t="inlineStr"/>
      <c r="J1374" t="inlineStr"/>
      <c r="K1374" t="inlineStr"/>
      <c r="L1374" s="2" t="inlineStr"/>
      <c r="M1374" t="inlineStr"/>
      <c r="N1374" t="inlineStr">
        <is>
          <t>20260209800949</t>
        </is>
      </c>
      <c r="O1374">
        <f>HYPERLINK("https://dart.fss.or.kr/dsaf001/main.do?rcpNo=20260209800949", "공시열람")</f>
        <v/>
      </c>
    </row>
    <row r="1375">
      <c r="A1375" t="inlineStr">
        <is>
          <t>2026-02-09</t>
        </is>
      </c>
      <c r="B1375" t="inlineStr">
        <is>
          <t>인크로스</t>
        </is>
      </c>
      <c r="C1375" t="inlineStr">
        <is>
          <t>216050</t>
        </is>
      </c>
      <c r="D1375" t="inlineStr">
        <is>
          <t>별도</t>
        </is>
      </c>
      <c r="E1375" t="inlineStr">
        <is>
          <t>2025Q4</t>
        </is>
      </c>
      <c r="F1375" s="2" t="n">
        <v>14363</v>
      </c>
      <c r="G1375" t="n">
        <v>30.8</v>
      </c>
      <c r="H1375" t="n">
        <v>-7.2</v>
      </c>
      <c r="I1375" s="2" t="n">
        <v>3509</v>
      </c>
      <c r="J1375" t="n">
        <v>0.8</v>
      </c>
      <c r="K1375" t="n">
        <v>8.6</v>
      </c>
      <c r="L1375" s="2" t="n">
        <v>3406</v>
      </c>
      <c r="M1375" t="n">
        <v>47.1</v>
      </c>
      <c r="N1375" t="inlineStr">
        <is>
          <t>20260209901008</t>
        </is>
      </c>
      <c r="O1375">
        <f>HYPERLINK("https://dart.fss.or.kr/dsaf001/main.do?rcpNo=20260209901008", "공시열람")</f>
        <v/>
      </c>
    </row>
    <row r="1376">
      <c r="A1376" t="inlineStr">
        <is>
          <t>2026-02-09</t>
        </is>
      </c>
      <c r="B1376" t="inlineStr">
        <is>
          <t>인크로스</t>
        </is>
      </c>
      <c r="C1376" t="inlineStr">
        <is>
          <t>216050</t>
        </is>
      </c>
      <c r="D1376" t="inlineStr">
        <is>
          <t>연결</t>
        </is>
      </c>
      <c r="E1376" t="inlineStr">
        <is>
          <t>2025Q4</t>
        </is>
      </c>
      <c r="F1376" s="2" t="n">
        <v>16955</v>
      </c>
      <c r="G1376" t="n">
        <v>30.3</v>
      </c>
      <c r="H1376" t="n">
        <v>-0.8</v>
      </c>
      <c r="I1376" s="2" t="n">
        <v>3617</v>
      </c>
      <c r="J1376" t="n">
        <v>-0.8</v>
      </c>
      <c r="K1376" t="n">
        <v>9.699999999999999</v>
      </c>
      <c r="L1376" s="2" t="n">
        <v>3566</v>
      </c>
      <c r="M1376" t="n">
        <v>43.4</v>
      </c>
      <c r="N1376" t="inlineStr">
        <is>
          <t>20260209901011</t>
        </is>
      </c>
      <c r="O1376">
        <f>HYPERLINK("https://dart.fss.or.kr/dsaf001/main.do?rcpNo=20260209901011", "공시열람")</f>
        <v/>
      </c>
    </row>
    <row r="1377">
      <c r="A1377" t="inlineStr">
        <is>
          <t>2026-02-09</t>
        </is>
      </c>
      <c r="B1377" t="inlineStr">
        <is>
          <t>위메이드플레이</t>
        </is>
      </c>
      <c r="C1377" t="inlineStr">
        <is>
          <t>123420</t>
        </is>
      </c>
      <c r="D1377" t="inlineStr">
        <is>
          <t>연결</t>
        </is>
      </c>
      <c r="E1377" t="inlineStr">
        <is>
          <t>2025Q4</t>
        </is>
      </c>
      <c r="F1377" s="2" t="n">
        <v>32159</v>
      </c>
      <c r="G1377" t="n">
        <v>3.5</v>
      </c>
      <c r="H1377" t="n">
        <v>1.1</v>
      </c>
      <c r="I1377" s="2" t="n">
        <v>3147</v>
      </c>
      <c r="J1377" t="n">
        <v>-7</v>
      </c>
      <c r="K1377" t="n">
        <v>65.40000000000001</v>
      </c>
      <c r="L1377" s="2" t="n">
        <v>-471</v>
      </c>
      <c r="M1377" t="inlineStr"/>
      <c r="N1377" t="inlineStr">
        <is>
          <t>20260209901044</t>
        </is>
      </c>
      <c r="O1377">
        <f>HYPERLINK("https://dart.fss.or.kr/dsaf001/main.do?rcpNo=20260209901044", "공시열람")</f>
        <v/>
      </c>
    </row>
    <row r="1378">
      <c r="A1378" t="inlineStr">
        <is>
          <t>2026-02-09</t>
        </is>
      </c>
      <c r="B1378" t="inlineStr">
        <is>
          <t>케이티스카이라이프</t>
        </is>
      </c>
      <c r="C1378" t="inlineStr">
        <is>
          <t>053210</t>
        </is>
      </c>
      <c r="D1378" t="inlineStr">
        <is>
          <t>별도</t>
        </is>
      </c>
      <c r="E1378" t="inlineStr">
        <is>
          <t>2025Q4</t>
        </is>
      </c>
      <c r="F1378" s="2" t="n">
        <v>171066</v>
      </c>
      <c r="G1378" t="n">
        <v>-0.7</v>
      </c>
      <c r="H1378" t="n">
        <v>-2.2</v>
      </c>
      <c r="I1378" s="2" t="n">
        <v>-6270</v>
      </c>
      <c r="J1378" t="inlineStr"/>
      <c r="K1378" t="inlineStr"/>
      <c r="L1378" s="2" t="n">
        <v>-23279</v>
      </c>
      <c r="M1378" t="n">
        <v>86</v>
      </c>
      <c r="N1378" t="inlineStr">
        <is>
          <t>20260209800051</t>
        </is>
      </c>
      <c r="O1378">
        <f>HYPERLINK("https://dart.fss.or.kr/dsaf001/main.do?rcpNo=20260209800051", "공시열람")</f>
        <v/>
      </c>
    </row>
    <row r="1379">
      <c r="A1379" t="inlineStr">
        <is>
          <t>2026-02-09</t>
        </is>
      </c>
      <c r="B1379" t="inlineStr">
        <is>
          <t>HL D&amp;I</t>
        </is>
      </c>
      <c r="C1379" t="inlineStr">
        <is>
          <t>014790</t>
        </is>
      </c>
      <c r="D1379" t="inlineStr">
        <is>
          <t>연결</t>
        </is>
      </c>
      <c r="E1379" t="inlineStr">
        <is>
          <t>2025Q4</t>
        </is>
      </c>
      <c r="F1379" s="2" t="n">
        <v>532051</v>
      </c>
      <c r="G1379" t="n">
        <v>11.6</v>
      </c>
      <c r="H1379" t="n">
        <v>22.7</v>
      </c>
      <c r="I1379" s="2" t="n">
        <v>20967</v>
      </c>
      <c r="J1379" t="n">
        <v>-17.8</v>
      </c>
      <c r="K1379" t="n">
        <v>38.4</v>
      </c>
      <c r="L1379" s="2" t="n">
        <v>613</v>
      </c>
      <c r="M1379" t="inlineStr"/>
      <c r="N1379" t="inlineStr">
        <is>
          <t>20260209801120</t>
        </is>
      </c>
      <c r="O1379">
        <f>HYPERLINK("https://dart.fss.or.kr/dsaf001/main.do?rcpNo=20260209801120", "공시열람")</f>
        <v/>
      </c>
    </row>
    <row r="1380">
      <c r="A1380" t="inlineStr">
        <is>
          <t>2026-02-06</t>
        </is>
      </c>
      <c r="B1380" t="inlineStr">
        <is>
          <t>NAVER</t>
        </is>
      </c>
      <c r="C1380" t="inlineStr">
        <is>
          <t>035420</t>
        </is>
      </c>
      <c r="D1380" t="inlineStr">
        <is>
          <t>별도</t>
        </is>
      </c>
      <c r="E1380" t="inlineStr">
        <is>
          <t>2025Q4</t>
        </is>
      </c>
      <c r="F1380" s="2" t="n">
        <v>1866200</v>
      </c>
      <c r="G1380" t="n">
        <v>2</v>
      </c>
      <c r="H1380" t="n">
        <v>10.1</v>
      </c>
      <c r="I1380" s="2" t="n">
        <v>432300</v>
      </c>
      <c r="J1380" t="n">
        <v>-19.9</v>
      </c>
      <c r="K1380" t="n">
        <v>-18.3</v>
      </c>
      <c r="L1380" s="2" t="n">
        <v>228900</v>
      </c>
      <c r="M1380" t="n">
        <v>-41</v>
      </c>
      <c r="N1380" t="inlineStr">
        <is>
          <t>20260206800015</t>
        </is>
      </c>
      <c r="O1380">
        <f>HYPERLINK("https://dart.fss.or.kr/dsaf001/main.do?rcpNo=20260206800015", "공시열람")</f>
        <v/>
      </c>
    </row>
    <row r="1381">
      <c r="A1381" t="inlineStr">
        <is>
          <t>2026-02-06</t>
        </is>
      </c>
      <c r="B1381" t="inlineStr">
        <is>
          <t>KTis</t>
        </is>
      </c>
      <c r="C1381" t="inlineStr">
        <is>
          <t>058860</t>
        </is>
      </c>
      <c r="D1381" t="inlineStr">
        <is>
          <t>별도</t>
        </is>
      </c>
      <c r="E1381" t="inlineStr">
        <is>
          <t>2025Q4</t>
        </is>
      </c>
      <c r="F1381" s="2" t="n">
        <v>152402</v>
      </c>
      <c r="G1381" t="n">
        <v>-2.3</v>
      </c>
      <c r="H1381" t="n">
        <v>14.1</v>
      </c>
      <c r="I1381" s="2" t="n">
        <v>4071</v>
      </c>
      <c r="J1381" t="n">
        <v>-38.1</v>
      </c>
      <c r="K1381" t="n">
        <v>-3.6</v>
      </c>
      <c r="L1381" s="2" t="n">
        <v>2226</v>
      </c>
      <c r="M1381" t="n">
        <v>9.199999999999999</v>
      </c>
      <c r="N1381" t="inlineStr">
        <is>
          <t>20260206802404</t>
        </is>
      </c>
      <c r="O1381">
        <f>HYPERLINK("https://dart.fss.or.kr/dsaf001/main.do?rcpNo=20260206802404", "공시열람")</f>
        <v/>
      </c>
    </row>
    <row r="1382">
      <c r="A1382" t="inlineStr">
        <is>
          <t>2026-02-06</t>
        </is>
      </c>
      <c r="B1382" t="inlineStr">
        <is>
          <t>PI첨단소재</t>
        </is>
      </c>
      <c r="C1382" t="inlineStr">
        <is>
          <t>178920</t>
        </is>
      </c>
      <c r="D1382" t="inlineStr">
        <is>
          <t>별도</t>
        </is>
      </c>
      <c r="E1382" t="inlineStr">
        <is>
          <t>2025Q4</t>
        </is>
      </c>
      <c r="F1382" s="2" t="n">
        <v>58439</v>
      </c>
      <c r="G1382" t="n">
        <v>-14.6</v>
      </c>
      <c r="H1382" t="n">
        <v>-6</v>
      </c>
      <c r="I1382" s="2" t="n">
        <v>6632</v>
      </c>
      <c r="J1382" t="n">
        <v>-42.9</v>
      </c>
      <c r="K1382" t="n">
        <v>170</v>
      </c>
      <c r="L1382" s="2" t="n">
        <v>4402</v>
      </c>
      <c r="M1382" t="n">
        <v>187.2</v>
      </c>
      <c r="N1382" t="inlineStr">
        <is>
          <t>20260206800007</t>
        </is>
      </c>
      <c r="O1382">
        <f>HYPERLINK("https://dart.fss.or.kr/dsaf001/main.do?rcpNo=20260206800007", "공시열람")</f>
        <v/>
      </c>
    </row>
    <row r="1383">
      <c r="A1383" t="inlineStr">
        <is>
          <t>2026-02-06</t>
        </is>
      </c>
      <c r="B1383" t="inlineStr">
        <is>
          <t>우리금융지주</t>
        </is>
      </c>
      <c r="C1383" t="inlineStr">
        <is>
          <t>316140</t>
        </is>
      </c>
      <c r="D1383" t="inlineStr">
        <is>
          <t>연결</t>
        </is>
      </c>
      <c r="E1383" t="inlineStr">
        <is>
          <t>2025Q4</t>
        </is>
      </c>
      <c r="F1383" s="2" t="n">
        <v>7297279</v>
      </c>
      <c r="G1383" t="n">
        <v>44.15</v>
      </c>
      <c r="H1383" t="n">
        <v>-48.63</v>
      </c>
      <c r="I1383" s="2" t="n">
        <v>666415</v>
      </c>
      <c r="J1383" t="n">
        <v>-30.11</v>
      </c>
      <c r="K1383" t="n">
        <v>-10.35</v>
      </c>
      <c r="L1383" s="2" t="n">
        <v>311074</v>
      </c>
      <c r="M1383" t="n">
        <v>-39.75</v>
      </c>
      <c r="N1383" t="inlineStr">
        <is>
          <t>20260206801567</t>
        </is>
      </c>
      <c r="O1383">
        <f>HYPERLINK("https://dart.fss.or.kr/dsaf001/main.do?rcpNo=20260206801567", "공시열람")</f>
        <v/>
      </c>
    </row>
    <row r="1384">
      <c r="A1384" t="inlineStr">
        <is>
          <t>2026-02-06</t>
        </is>
      </c>
      <c r="B1384" t="inlineStr">
        <is>
          <t>롯데쇼핑</t>
        </is>
      </c>
      <c r="C1384" t="inlineStr">
        <is>
          <t>023530</t>
        </is>
      </c>
      <c r="D1384" t="inlineStr">
        <is>
          <t>연결</t>
        </is>
      </c>
      <c r="E1384" t="inlineStr">
        <is>
          <t>2025Q4</t>
        </is>
      </c>
      <c r="F1384" s="2" t="n">
        <v>3521825</v>
      </c>
      <c r="G1384" t="n">
        <v>3.3</v>
      </c>
      <c r="H1384" t="n">
        <v>1.3</v>
      </c>
      <c r="I1384" s="2" t="n">
        <v>227652</v>
      </c>
      <c r="J1384" t="n">
        <v>74.40000000000001</v>
      </c>
      <c r="K1384" t="n">
        <v>54.7</v>
      </c>
      <c r="L1384" s="2" t="n">
        <v>114505</v>
      </c>
      <c r="M1384" t="inlineStr"/>
      <c r="N1384" t="inlineStr">
        <is>
          <t>20260206800057</t>
        </is>
      </c>
      <c r="O1384">
        <f>HYPERLINK("https://dart.fss.or.kr/dsaf001/main.do?rcpNo=20260206800057", "공시열람")</f>
        <v/>
      </c>
    </row>
    <row r="1385">
      <c r="A1385" t="inlineStr">
        <is>
          <t>2026-02-06</t>
        </is>
      </c>
      <c r="B1385" t="inlineStr">
        <is>
          <t>가온그룹</t>
        </is>
      </c>
      <c r="C1385" t="inlineStr">
        <is>
          <t>078890</t>
        </is>
      </c>
      <c r="D1385" t="inlineStr">
        <is>
          <t>별도</t>
        </is>
      </c>
      <c r="E1385" t="inlineStr">
        <is>
          <t>2025Q4</t>
        </is>
      </c>
      <c r="F1385" s="2" t="n">
        <v>94605</v>
      </c>
      <c r="G1385" t="n">
        <v>24.6</v>
      </c>
      <c r="H1385" t="n">
        <v>20.6</v>
      </c>
      <c r="I1385" s="2" t="n">
        <v>5942</v>
      </c>
      <c r="J1385" t="n">
        <v>101.5</v>
      </c>
      <c r="K1385" t="inlineStr"/>
      <c r="L1385" s="2" t="inlineStr"/>
      <c r="M1385" t="inlineStr"/>
      <c r="N1385" t="inlineStr">
        <is>
          <t>20260206900105</t>
        </is>
      </c>
      <c r="O1385">
        <f>HYPERLINK("https://dart.fss.or.kr/dsaf001/main.do?rcpNo=20260206900105", "공시열람")</f>
        <v/>
      </c>
    </row>
    <row r="1386">
      <c r="A1386" t="inlineStr">
        <is>
          <t>2026-02-06</t>
        </is>
      </c>
      <c r="B1386" t="inlineStr">
        <is>
          <t>한미반도체</t>
        </is>
      </c>
      <c r="C1386" t="inlineStr">
        <is>
          <t>042700</t>
        </is>
      </c>
      <c r="D1386" t="inlineStr">
        <is>
          <t>연결</t>
        </is>
      </c>
      <c r="E1386" t="inlineStr">
        <is>
          <t>2025Q4</t>
        </is>
      </c>
      <c r="F1386" s="2" t="n">
        <v>83014</v>
      </c>
      <c r="G1386" t="n">
        <v>-50.1</v>
      </c>
      <c r="H1386" t="n">
        <v>-44.5</v>
      </c>
      <c r="I1386" s="2" t="n">
        <v>27639</v>
      </c>
      <c r="J1386" t="n">
        <v>-59.2</v>
      </c>
      <c r="K1386" t="n">
        <v>-61.6</v>
      </c>
      <c r="L1386" s="2" t="n">
        <v>29300</v>
      </c>
      <c r="M1386" t="n">
        <v>-48.1</v>
      </c>
      <c r="N1386" t="inlineStr">
        <is>
          <t>20260206802414</t>
        </is>
      </c>
      <c r="O1386">
        <f>HYPERLINK("https://dart.fss.or.kr/dsaf001/main.do?rcpNo=20260206802414", "공시열람")</f>
        <v/>
      </c>
    </row>
    <row r="1387">
      <c r="A1387" t="inlineStr">
        <is>
          <t>2026-02-06</t>
        </is>
      </c>
      <c r="B1387" t="inlineStr">
        <is>
          <t>SK가스</t>
        </is>
      </c>
      <c r="C1387" t="inlineStr">
        <is>
          <t>018670</t>
        </is>
      </c>
      <c r="D1387" t="inlineStr">
        <is>
          <t>연결</t>
        </is>
      </c>
      <c r="E1387" t="inlineStr">
        <is>
          <t>2025Q4</t>
        </is>
      </c>
      <c r="F1387" s="2" t="n">
        <v>2017496</v>
      </c>
      <c r="G1387" t="n">
        <v>3.4</v>
      </c>
      <c r="H1387" t="n">
        <v>1.7</v>
      </c>
      <c r="I1387" s="2" t="n">
        <v>36774</v>
      </c>
      <c r="J1387" t="n">
        <v>-78.8</v>
      </c>
      <c r="K1387" t="n">
        <v>-70</v>
      </c>
      <c r="L1387" s="2" t="n">
        <v>-13862</v>
      </c>
      <c r="M1387" t="inlineStr"/>
      <c r="N1387" t="inlineStr">
        <is>
          <t>20260206802424</t>
        </is>
      </c>
      <c r="O1387">
        <f>HYPERLINK("https://dart.fss.or.kr/dsaf001/main.do?rcpNo=20260206802424", "공시열람")</f>
        <v/>
      </c>
    </row>
    <row r="1388">
      <c r="A1388" t="inlineStr">
        <is>
          <t>2026-02-06</t>
        </is>
      </c>
      <c r="B1388" t="inlineStr">
        <is>
          <t>NAVER</t>
        </is>
      </c>
      <c r="C1388" t="inlineStr">
        <is>
          <t>035420</t>
        </is>
      </c>
      <c r="D1388" t="inlineStr">
        <is>
          <t>연결</t>
        </is>
      </c>
      <c r="E1388" t="inlineStr">
        <is>
          <t>2025Q4</t>
        </is>
      </c>
      <c r="F1388" s="2" t="n">
        <v>3195100</v>
      </c>
      <c r="G1388" t="n">
        <v>1.8</v>
      </c>
      <c r="H1388" t="n">
        <v>10.7</v>
      </c>
      <c r="I1388" s="2" t="n">
        <v>610600</v>
      </c>
      <c r="J1388" t="n">
        <v>7</v>
      </c>
      <c r="K1388" t="n">
        <v>12.7</v>
      </c>
      <c r="L1388" s="2" t="n">
        <v>164600</v>
      </c>
      <c r="M1388" t="n">
        <v>-68</v>
      </c>
      <c r="N1388" t="inlineStr">
        <is>
          <t>20260206800014</t>
        </is>
      </c>
      <c r="O1388">
        <f>HYPERLINK("https://dart.fss.or.kr/dsaf001/main.do?rcpNo=20260206800014", "공시열람")</f>
        <v/>
      </c>
    </row>
    <row r="1389">
      <c r="A1389" t="inlineStr">
        <is>
          <t>2026-02-06</t>
        </is>
      </c>
      <c r="B1389" t="inlineStr">
        <is>
          <t>카카오페이</t>
        </is>
      </c>
      <c r="C1389" t="inlineStr">
        <is>
          <t>377300</t>
        </is>
      </c>
      <c r="D1389" t="inlineStr">
        <is>
          <t>연결</t>
        </is>
      </c>
      <c r="E1389" t="inlineStr">
        <is>
          <t>2025Q4</t>
        </is>
      </c>
      <c r="F1389" s="2" t="n">
        <v>269828</v>
      </c>
      <c r="G1389" t="n">
        <v>13.2</v>
      </c>
      <c r="H1389" t="n">
        <v>23.7</v>
      </c>
      <c r="I1389" s="2" t="n">
        <v>20826</v>
      </c>
      <c r="J1389" t="n">
        <v>31.8</v>
      </c>
      <c r="K1389" t="inlineStr"/>
      <c r="L1389" s="2" t="n">
        <v>8053</v>
      </c>
      <c r="M1389" t="n">
        <v>54.9</v>
      </c>
      <c r="N1389" t="inlineStr">
        <is>
          <t>20260206801580</t>
        </is>
      </c>
      <c r="O1389">
        <f>HYPERLINK("https://dart.fss.or.kr/dsaf001/main.do?rcpNo=20260206801580", "공시열람")</f>
        <v/>
      </c>
    </row>
    <row r="1390">
      <c r="A1390" t="inlineStr">
        <is>
          <t>2026-02-06</t>
        </is>
      </c>
      <c r="B1390" t="inlineStr">
        <is>
          <t>에스케이바이오팜</t>
        </is>
      </c>
      <c r="C1390" t="inlineStr">
        <is>
          <t>326030</t>
        </is>
      </c>
      <c r="D1390" t="inlineStr">
        <is>
          <t>연결</t>
        </is>
      </c>
      <c r="E1390" t="inlineStr">
        <is>
          <t>2025Q4</t>
        </is>
      </c>
      <c r="F1390" s="2" t="n">
        <v>194360</v>
      </c>
      <c r="G1390" t="n">
        <v>1.4</v>
      </c>
      <c r="H1390" t="n">
        <v>19.2</v>
      </c>
      <c r="I1390" s="2" t="n">
        <v>46278</v>
      </c>
      <c r="J1390" t="n">
        <v>-34</v>
      </c>
      <c r="K1390" t="n">
        <v>13.8</v>
      </c>
      <c r="L1390" s="2" t="n">
        <v>132740</v>
      </c>
      <c r="M1390" t="n">
        <v>-28.8</v>
      </c>
      <c r="N1390" t="inlineStr">
        <is>
          <t>20260206800127</t>
        </is>
      </c>
      <c r="O1390">
        <f>HYPERLINK("https://dart.fss.or.kr/dsaf001/main.do?rcpNo=20260206800127", "공시열람")</f>
        <v/>
      </c>
    </row>
    <row r="1391">
      <c r="A1391" t="inlineStr">
        <is>
          <t>2026-02-06</t>
        </is>
      </c>
      <c r="B1391" t="inlineStr">
        <is>
          <t>신세계I&amp;C</t>
        </is>
      </c>
      <c r="C1391" t="inlineStr">
        <is>
          <t>035510</t>
        </is>
      </c>
      <c r="D1391" t="inlineStr">
        <is>
          <t>연결</t>
        </is>
      </c>
      <c r="E1391" t="inlineStr">
        <is>
          <t>2025Q4</t>
        </is>
      </c>
      <c r="F1391" s="2" t="n">
        <v>170099</v>
      </c>
      <c r="G1391" t="n">
        <v>4</v>
      </c>
      <c r="H1391" t="n">
        <v>-5.36</v>
      </c>
      <c r="I1391" s="2" t="n">
        <v>12444</v>
      </c>
      <c r="J1391" t="n">
        <v>-0.85</v>
      </c>
      <c r="K1391" t="n">
        <v>-8.49</v>
      </c>
      <c r="L1391" s="2" t="n">
        <v>-5405</v>
      </c>
      <c r="M1391" t="n">
        <v>-143.67</v>
      </c>
      <c r="N1391" t="inlineStr">
        <is>
          <t>20260206802331</t>
        </is>
      </c>
      <c r="O1391">
        <f>HYPERLINK("https://dart.fss.or.kr/dsaf001/main.do?rcpNo=20260206802331", "공시열람")</f>
        <v/>
      </c>
    </row>
    <row r="1392">
      <c r="A1392" t="inlineStr">
        <is>
          <t>2026-02-06</t>
        </is>
      </c>
      <c r="B1392" t="inlineStr">
        <is>
          <t>현대에버다임</t>
        </is>
      </c>
      <c r="C1392" t="inlineStr">
        <is>
          <t>041440</t>
        </is>
      </c>
      <c r="D1392" t="inlineStr">
        <is>
          <t>연결</t>
        </is>
      </c>
      <c r="E1392" t="inlineStr">
        <is>
          <t>2025Q4</t>
        </is>
      </c>
      <c r="F1392" s="2" t="n">
        <v>77464</v>
      </c>
      <c r="G1392" t="n">
        <v>19.7</v>
      </c>
      <c r="H1392" t="n">
        <v>-49.4</v>
      </c>
      <c r="I1392" s="2" t="n">
        <v>3191</v>
      </c>
      <c r="J1392" t="n">
        <v>538.2</v>
      </c>
      <c r="K1392" t="n">
        <v>-74.09999999999999</v>
      </c>
      <c r="L1392" s="2" t="n">
        <v>3620</v>
      </c>
      <c r="M1392" t="n">
        <v>-56.2</v>
      </c>
      <c r="N1392" t="inlineStr">
        <is>
          <t>20260206901239</t>
        </is>
      </c>
      <c r="O1392">
        <f>HYPERLINK("https://dart.fss.or.kr/dsaf001/main.do?rcpNo=20260206901239", "공시열람")</f>
        <v/>
      </c>
    </row>
    <row r="1393">
      <c r="A1393" t="inlineStr">
        <is>
          <t>2026-02-06</t>
        </is>
      </c>
      <c r="B1393" t="inlineStr">
        <is>
          <t>인터로조</t>
        </is>
      </c>
      <c r="C1393" t="inlineStr">
        <is>
          <t>119610</t>
        </is>
      </c>
      <c r="D1393" t="inlineStr">
        <is>
          <t>연결</t>
        </is>
      </c>
      <c r="E1393" t="inlineStr">
        <is>
          <t>2025Q4</t>
        </is>
      </c>
      <c r="F1393" s="2" t="n">
        <v>31714</v>
      </c>
      <c r="G1393" t="n">
        <v>-2</v>
      </c>
      <c r="H1393" t="n">
        <v>33.3</v>
      </c>
      <c r="I1393" s="2" t="n">
        <v>6234</v>
      </c>
      <c r="J1393" t="n">
        <v>32.1</v>
      </c>
      <c r="K1393" t="inlineStr"/>
      <c r="L1393" s="2" t="inlineStr"/>
      <c r="M1393" t="inlineStr"/>
      <c r="N1393" t="inlineStr">
        <is>
          <t>20260206900312</t>
        </is>
      </c>
      <c r="O1393">
        <f>HYPERLINK("https://dart.fss.or.kr/dsaf001/main.do?rcpNo=20260206900312", "공시열람")</f>
        <v/>
      </c>
    </row>
    <row r="1394">
      <c r="A1394" t="inlineStr">
        <is>
          <t>2026-02-06</t>
        </is>
      </c>
      <c r="B1394" t="inlineStr">
        <is>
          <t>코아스</t>
        </is>
      </c>
      <c r="C1394" t="inlineStr">
        <is>
          <t>071950</t>
        </is>
      </c>
      <c r="D1394" t="inlineStr">
        <is>
          <t>연결</t>
        </is>
      </c>
      <c r="E1394" t="inlineStr">
        <is>
          <t>2025Q4</t>
        </is>
      </c>
      <c r="F1394" s="2" t="n">
        <v>62229</v>
      </c>
      <c r="G1394" t="n">
        <v>-20.17</v>
      </c>
      <c r="H1394" t="inlineStr"/>
      <c r="I1394" s="2" t="n">
        <v>-5518</v>
      </c>
      <c r="J1394" t="n">
        <v>23.84</v>
      </c>
      <c r="K1394" t="inlineStr"/>
      <c r="L1394" s="2" t="n">
        <v>-31214</v>
      </c>
      <c r="M1394" t="inlineStr"/>
      <c r="N1394" t="inlineStr">
        <is>
          <t>20260206801399</t>
        </is>
      </c>
      <c r="O1394">
        <f>HYPERLINK("https://dart.fss.or.kr/dsaf001/main.do?rcpNo=20260206801399", "공시열람")</f>
        <v/>
      </c>
    </row>
    <row r="1395">
      <c r="A1395" t="inlineStr">
        <is>
          <t>2026-02-06</t>
        </is>
      </c>
      <c r="B1395" t="inlineStr">
        <is>
          <t>BNK금융지주</t>
        </is>
      </c>
      <c r="C1395" t="inlineStr">
        <is>
          <t>138930</t>
        </is>
      </c>
      <c r="D1395" t="inlineStr">
        <is>
          <t>연결</t>
        </is>
      </c>
      <c r="E1395" t="inlineStr">
        <is>
          <t>2025Q4</t>
        </is>
      </c>
      <c r="F1395" s="2" t="n">
        <v>2606136</v>
      </c>
      <c r="G1395" t="n">
        <v>13.41</v>
      </c>
      <c r="H1395" t="n">
        <v>-0.22</v>
      </c>
      <c r="I1395" s="2" t="n">
        <v>60585</v>
      </c>
      <c r="J1395" t="n">
        <v>-84.01000000000001</v>
      </c>
      <c r="K1395" t="n">
        <v>111.85</v>
      </c>
      <c r="L1395" s="2" t="n">
        <v>50307</v>
      </c>
      <c r="M1395" t="n">
        <v>75.3</v>
      </c>
      <c r="N1395" t="inlineStr">
        <is>
          <t>20260206801345</t>
        </is>
      </c>
      <c r="O1395">
        <f>HYPERLINK("https://dart.fss.or.kr/dsaf001/main.do?rcpNo=20260206801345", "공시열람")</f>
        <v/>
      </c>
    </row>
    <row r="1396">
      <c r="A1396" t="inlineStr">
        <is>
          <t>2026-02-06</t>
        </is>
      </c>
      <c r="B1396" t="inlineStr">
        <is>
          <t>카카오페이</t>
        </is>
      </c>
      <c r="C1396" t="inlineStr">
        <is>
          <t>377300</t>
        </is>
      </c>
      <c r="D1396" t="inlineStr">
        <is>
          <t>별도</t>
        </is>
      </c>
      <c r="E1396" t="inlineStr">
        <is>
          <t>2025Q4</t>
        </is>
      </c>
      <c r="F1396" s="2" t="n">
        <v>186068</v>
      </c>
      <c r="G1396" t="n">
        <v>8.800000000000001</v>
      </c>
      <c r="H1396" t="n">
        <v>15.7</v>
      </c>
      <c r="I1396" s="2" t="n">
        <v>19084</v>
      </c>
      <c r="J1396" t="n">
        <v>99.2</v>
      </c>
      <c r="K1396" t="inlineStr"/>
      <c r="L1396" s="2" t="n">
        <v>8542</v>
      </c>
      <c r="M1396" t="n">
        <v>-39.8</v>
      </c>
      <c r="N1396" t="inlineStr">
        <is>
          <t>20260206801411</t>
        </is>
      </c>
      <c r="O1396">
        <f>HYPERLINK("https://dart.fss.or.kr/dsaf001/main.do?rcpNo=20260206801411", "공시열람")</f>
        <v/>
      </c>
    </row>
    <row r="1397">
      <c r="A1397" t="inlineStr">
        <is>
          <t>2026-02-06</t>
        </is>
      </c>
      <c r="B1397" t="inlineStr">
        <is>
          <t>SK케미칼</t>
        </is>
      </c>
      <c r="C1397" t="inlineStr">
        <is>
          <t>285130</t>
        </is>
      </c>
      <c r="D1397" t="inlineStr">
        <is>
          <t>연결</t>
        </is>
      </c>
      <c r="E1397" t="inlineStr">
        <is>
          <t>2025Q4</t>
        </is>
      </c>
      <c r="F1397" s="2" t="n">
        <v>621759</v>
      </c>
      <c r="G1397" t="n">
        <v>1.9</v>
      </c>
      <c r="H1397" t="n">
        <v>20.6</v>
      </c>
      <c r="I1397" s="2" t="n">
        <v>-39098</v>
      </c>
      <c r="J1397" t="inlineStr"/>
      <c r="K1397" t="n">
        <v>-35.1</v>
      </c>
      <c r="L1397" s="2" t="n">
        <v>-49906</v>
      </c>
      <c r="M1397" t="inlineStr"/>
      <c r="N1397" t="inlineStr">
        <is>
          <t>20260206801523</t>
        </is>
      </c>
      <c r="O1397">
        <f>HYPERLINK("https://dart.fss.or.kr/dsaf001/main.do?rcpNo=20260206801523", "공시열람")</f>
        <v/>
      </c>
    </row>
    <row r="1398">
      <c r="A1398" t="inlineStr">
        <is>
          <t>2026-02-06</t>
        </is>
      </c>
      <c r="B1398" t="inlineStr">
        <is>
          <t>SK케미칼</t>
        </is>
      </c>
      <c r="C1398" t="inlineStr">
        <is>
          <t>285130</t>
        </is>
      </c>
      <c r="D1398" t="inlineStr">
        <is>
          <t>별도</t>
        </is>
      </c>
      <c r="E1398" t="inlineStr">
        <is>
          <t>2025Q4</t>
        </is>
      </c>
      <c r="F1398" s="2" t="n">
        <v>337828</v>
      </c>
      <c r="G1398" t="n">
        <v>-9.1</v>
      </c>
      <c r="H1398" t="n">
        <v>-2.5</v>
      </c>
      <c r="I1398" s="2" t="n">
        <v>3758</v>
      </c>
      <c r="J1398" t="n">
        <v>-87.40000000000001</v>
      </c>
      <c r="K1398" t="n">
        <v>-88.2</v>
      </c>
      <c r="L1398" s="2" t="n">
        <v>1964</v>
      </c>
      <c r="M1398" t="n">
        <v>-90.3</v>
      </c>
      <c r="N1398" t="inlineStr">
        <is>
          <t>20260206801533</t>
        </is>
      </c>
      <c r="O1398">
        <f>HYPERLINK("https://dart.fss.or.kr/dsaf001/main.do?rcpNo=20260206801533", "공시열람")</f>
        <v/>
      </c>
    </row>
    <row r="1399">
      <c r="A1399" t="inlineStr">
        <is>
          <t>2026-02-06</t>
        </is>
      </c>
      <c r="B1399" t="inlineStr">
        <is>
          <t>iM금융지주</t>
        </is>
      </c>
      <c r="C1399" t="inlineStr">
        <is>
          <t>139130</t>
        </is>
      </c>
      <c r="D1399" t="inlineStr">
        <is>
          <t>연결</t>
        </is>
      </c>
      <c r="E1399" t="inlineStr">
        <is>
          <t>2025Q4</t>
        </is>
      </c>
      <c r="F1399" s="2" t="n">
        <v>1076043</v>
      </c>
      <c r="G1399" t="n">
        <v>14.9</v>
      </c>
      <c r="H1399" t="n">
        <v>-13.6</v>
      </c>
      <c r="I1399" s="2" t="n">
        <v>27236</v>
      </c>
      <c r="J1399" t="n">
        <v>-80.2</v>
      </c>
      <c r="K1399" t="n">
        <v>3</v>
      </c>
      <c r="L1399" s="2" t="n">
        <v>22896</v>
      </c>
      <c r="M1399" t="n">
        <v>1.5</v>
      </c>
      <c r="N1399" t="inlineStr">
        <is>
          <t>20260206802192</t>
        </is>
      </c>
      <c r="O1399">
        <f>HYPERLINK("https://dart.fss.or.kr/dsaf001/main.do?rcpNo=20260206802192", "공시열람")</f>
        <v/>
      </c>
    </row>
    <row r="1400">
      <c r="A1400" t="inlineStr">
        <is>
          <t>2026-02-06</t>
        </is>
      </c>
      <c r="B1400" t="inlineStr">
        <is>
          <t>HD현대일렉트릭</t>
        </is>
      </c>
      <c r="C1400" t="inlineStr">
        <is>
          <t>267260</t>
        </is>
      </c>
      <c r="D1400" t="inlineStr">
        <is>
          <t>연결</t>
        </is>
      </c>
      <c r="E1400" t="inlineStr">
        <is>
          <t>2025Q4</t>
        </is>
      </c>
      <c r="F1400" s="2" t="n">
        <v>1163200</v>
      </c>
      <c r="G1400" t="n">
        <v>16.9</v>
      </c>
      <c r="H1400" t="n">
        <v>42.6</v>
      </c>
      <c r="I1400" s="2" t="n">
        <v>320900</v>
      </c>
      <c r="J1400" t="n">
        <v>29.9</v>
      </c>
      <c r="K1400" t="n">
        <v>93</v>
      </c>
      <c r="L1400" s="2" t="n">
        <v>245300</v>
      </c>
      <c r="M1400" t="n">
        <v>92.8</v>
      </c>
      <c r="N1400" t="inlineStr">
        <is>
          <t>20260206801137</t>
        </is>
      </c>
      <c r="O1400">
        <f>HYPERLINK("https://dart.fss.or.kr/dsaf001/main.do?rcpNo=20260206801137", "공시열람")</f>
        <v/>
      </c>
    </row>
    <row r="1401">
      <c r="A1401" t="inlineStr">
        <is>
          <t>2026-02-06</t>
        </is>
      </c>
      <c r="B1401" t="inlineStr">
        <is>
          <t>아모레퍼시픽홀딩스</t>
        </is>
      </c>
      <c r="C1401" t="inlineStr">
        <is>
          <t>002790</t>
        </is>
      </c>
      <c r="D1401" t="inlineStr">
        <is>
          <t>연결</t>
        </is>
      </c>
      <c r="E1401" t="inlineStr">
        <is>
          <t>2025Q4</t>
        </is>
      </c>
      <c r="F1401" s="2" t="n">
        <v>1255214</v>
      </c>
      <c r="G1401" t="n">
        <v>13.3</v>
      </c>
      <c r="H1401" t="n">
        <v>6.4</v>
      </c>
      <c r="I1401" s="2" t="n">
        <v>54760</v>
      </c>
      <c r="J1401" t="n">
        <v>-47.5</v>
      </c>
      <c r="K1401" t="n">
        <v>-30.7</v>
      </c>
      <c r="L1401" s="2" t="n">
        <v>18106</v>
      </c>
      <c r="M1401" t="inlineStr"/>
      <c r="N1401" t="inlineStr">
        <is>
          <t>20260206802131</t>
        </is>
      </c>
      <c r="O1401">
        <f>HYPERLINK("https://dart.fss.or.kr/dsaf001/main.do?rcpNo=20260206802131", "공시열람")</f>
        <v/>
      </c>
    </row>
    <row r="1402">
      <c r="A1402" t="inlineStr">
        <is>
          <t>2026-02-06</t>
        </is>
      </c>
      <c r="B1402" t="inlineStr">
        <is>
          <t>아모레퍼시픽</t>
        </is>
      </c>
      <c r="C1402" t="inlineStr">
        <is>
          <t>090430</t>
        </is>
      </c>
      <c r="D1402" t="inlineStr">
        <is>
          <t>연결</t>
        </is>
      </c>
      <c r="E1402" t="inlineStr">
        <is>
          <t>2025Q4</t>
        </is>
      </c>
      <c r="F1402" s="2" t="n">
        <v>1163381</v>
      </c>
      <c r="G1402" t="n">
        <v>14.4</v>
      </c>
      <c r="H1402" t="n">
        <v>6.6</v>
      </c>
      <c r="I1402" s="2" t="n">
        <v>52548</v>
      </c>
      <c r="J1402" t="n">
        <v>-42.8</v>
      </c>
      <c r="K1402" t="n">
        <v>-33</v>
      </c>
      <c r="L1402" s="2" t="n">
        <v>22494</v>
      </c>
      <c r="M1402" t="inlineStr"/>
      <c r="N1402" t="inlineStr">
        <is>
          <t>20260206801986</t>
        </is>
      </c>
      <c r="O1402">
        <f>HYPERLINK("https://dart.fss.or.kr/dsaf001/main.do?rcpNo=20260206801986", "공시열람")</f>
        <v/>
      </c>
    </row>
    <row r="1403">
      <c r="A1403" t="inlineStr">
        <is>
          <t>2026-02-06</t>
        </is>
      </c>
      <c r="B1403" t="inlineStr">
        <is>
          <t>교촌에프앤비</t>
        </is>
      </c>
      <c r="C1403" t="inlineStr">
        <is>
          <t>339770</t>
        </is>
      </c>
      <c r="D1403" t="inlineStr">
        <is>
          <t>연결</t>
        </is>
      </c>
      <c r="E1403" t="inlineStr">
        <is>
          <t>2025Q4</t>
        </is>
      </c>
      <c r="F1403" s="2" t="n">
        <v>131466</v>
      </c>
      <c r="G1403" t="n">
        <v>-2.8</v>
      </c>
      <c r="H1403" t="n">
        <v>4.3</v>
      </c>
      <c r="I1403" s="2" t="n">
        <v>3656</v>
      </c>
      <c r="J1403" t="n">
        <v>-67.5</v>
      </c>
      <c r="K1403" t="n">
        <v>-36.1</v>
      </c>
      <c r="L1403" s="2" t="n">
        <v>-1507</v>
      </c>
      <c r="M1403" t="n">
        <v>44.5</v>
      </c>
      <c r="N1403" t="inlineStr">
        <is>
          <t>20260206802009</t>
        </is>
      </c>
      <c r="O1403">
        <f>HYPERLINK("https://dart.fss.or.kr/dsaf001/main.do?rcpNo=20260206802009", "공시열람")</f>
        <v/>
      </c>
    </row>
    <row r="1404">
      <c r="A1404" t="inlineStr">
        <is>
          <t>2026-02-06</t>
        </is>
      </c>
      <c r="B1404" t="inlineStr">
        <is>
          <t>동양생명</t>
        </is>
      </c>
      <c r="C1404" t="inlineStr">
        <is>
          <t>082640</t>
        </is>
      </c>
      <c r="D1404" t="inlineStr">
        <is>
          <t>연결</t>
        </is>
      </c>
      <c r="E1404" t="inlineStr">
        <is>
          <t>2025Q4</t>
        </is>
      </c>
      <c r="F1404" s="2" t="n">
        <v>938388</v>
      </c>
      <c r="G1404" t="n">
        <v>38.16</v>
      </c>
      <c r="H1404" t="n">
        <v>-14.01</v>
      </c>
      <c r="I1404" s="2" t="n">
        <v>51015</v>
      </c>
      <c r="J1404" t="n">
        <v>6.85</v>
      </c>
      <c r="K1404" t="n">
        <v>-7.08</v>
      </c>
      <c r="L1404" s="2" t="n">
        <v>14638</v>
      </c>
      <c r="M1404" t="n">
        <v>-78.94</v>
      </c>
      <c r="N1404" t="inlineStr">
        <is>
          <t>20260206801897</t>
        </is>
      </c>
      <c r="O1404">
        <f>HYPERLINK("https://dart.fss.or.kr/dsaf001/main.do?rcpNo=20260206801897", "공시열람")</f>
        <v/>
      </c>
    </row>
    <row r="1405">
      <c r="A1405" t="inlineStr">
        <is>
          <t>2026-02-06</t>
        </is>
      </c>
      <c r="B1405" t="inlineStr">
        <is>
          <t>우리금융지주</t>
        </is>
      </c>
      <c r="C1405" t="inlineStr">
        <is>
          <t>316140</t>
        </is>
      </c>
      <c r="D1405" t="inlineStr">
        <is>
          <t>연결</t>
        </is>
      </c>
      <c r="E1405" t="inlineStr">
        <is>
          <t>2025Q4</t>
        </is>
      </c>
      <c r="F1405" s="2" t="n">
        <v>10504639</v>
      </c>
      <c r="G1405" t="n">
        <v>31.29</v>
      </c>
      <c r="H1405" t="n">
        <v>-32.24</v>
      </c>
      <c r="I1405" s="2" t="n">
        <v>724904</v>
      </c>
      <c r="J1405" t="n">
        <v>-26.63</v>
      </c>
      <c r="K1405" t="n">
        <v>7.53</v>
      </c>
      <c r="L1405" s="2" t="n">
        <v>358624</v>
      </c>
      <c r="M1405" t="n">
        <v>-21.02</v>
      </c>
      <c r="N1405" t="inlineStr">
        <is>
          <t>20260206801557</t>
        </is>
      </c>
      <c r="O1405">
        <f>HYPERLINK("https://dart.fss.or.kr/dsaf001/main.do?rcpNo=20260206801557", "공시열람")</f>
        <v/>
      </c>
    </row>
    <row r="1406">
      <c r="A1406" t="inlineStr">
        <is>
          <t>2026-02-06</t>
        </is>
      </c>
      <c r="B1406" t="inlineStr">
        <is>
          <t>금호타이어</t>
        </is>
      </c>
      <c r="C1406" t="inlineStr">
        <is>
          <t>073240</t>
        </is>
      </c>
      <c r="D1406" t="inlineStr">
        <is>
          <t>연결</t>
        </is>
      </c>
      <c r="E1406" t="inlineStr">
        <is>
          <t>2025Q4</t>
        </is>
      </c>
      <c r="F1406" s="2" t="n">
        <v>1160070</v>
      </c>
      <c r="G1406" t="n">
        <v>4.2</v>
      </c>
      <c r="H1406" t="n">
        <v>-6.5</v>
      </c>
      <c r="I1406" s="2" t="n">
        <v>145301</v>
      </c>
      <c r="J1406" t="n">
        <v>33.9</v>
      </c>
      <c r="K1406" t="n">
        <v>-3.9</v>
      </c>
      <c r="L1406" s="2" t="n">
        <v>176668</v>
      </c>
      <c r="M1406" t="n">
        <v>101.6</v>
      </c>
      <c r="N1406" t="inlineStr">
        <is>
          <t>20260206801637</t>
        </is>
      </c>
      <c r="O1406">
        <f>HYPERLINK("https://dart.fss.or.kr/dsaf001/main.do?rcpNo=20260206801637", "공시열람")</f>
        <v/>
      </c>
    </row>
    <row r="1407">
      <c r="A1407" t="inlineStr">
        <is>
          <t>2026-02-06</t>
        </is>
      </c>
      <c r="B1407" t="inlineStr">
        <is>
          <t>DL이앤씨</t>
        </is>
      </c>
      <c r="C1407" t="inlineStr">
        <is>
          <t>375500</t>
        </is>
      </c>
      <c r="D1407" t="inlineStr">
        <is>
          <t>연결</t>
        </is>
      </c>
      <c r="E1407" t="inlineStr">
        <is>
          <t>2025Q4</t>
        </is>
      </c>
      <c r="F1407" s="2" t="n">
        <v>1695819</v>
      </c>
      <c r="G1407" t="n">
        <v>-11.07</v>
      </c>
      <c r="H1407" t="n">
        <v>-30.47</v>
      </c>
      <c r="I1407" s="2" t="n">
        <v>63020</v>
      </c>
      <c r="J1407" t="n">
        <v>-46.02</v>
      </c>
      <c r="K1407" t="n">
        <v>-33.06</v>
      </c>
      <c r="L1407" s="2" t="n">
        <v>230748</v>
      </c>
      <c r="M1407" t="n">
        <v>96.69</v>
      </c>
      <c r="N1407" t="inlineStr">
        <is>
          <t>20260206801594</t>
        </is>
      </c>
      <c r="O1407">
        <f>HYPERLINK("https://dart.fss.or.kr/dsaf001/main.do?rcpNo=20260206801594", "공시열람")</f>
        <v/>
      </c>
    </row>
    <row r="1408">
      <c r="A1408" t="inlineStr">
        <is>
          <t>2026-02-06</t>
        </is>
      </c>
      <c r="B1408" t="inlineStr">
        <is>
          <t>대한전선</t>
        </is>
      </c>
      <c r="C1408" t="inlineStr">
        <is>
          <t>001440</t>
        </is>
      </c>
      <c r="D1408" t="inlineStr">
        <is>
          <t>연결</t>
        </is>
      </c>
      <c r="E1408" t="inlineStr">
        <is>
          <t>2025Q4</t>
        </is>
      </c>
      <c r="F1408" s="2" t="n">
        <v>1009232</v>
      </c>
      <c r="G1408" t="n">
        <v>18.04</v>
      </c>
      <c r="H1408" t="n">
        <v>21.01</v>
      </c>
      <c r="I1408" s="2" t="n">
        <v>43393</v>
      </c>
      <c r="J1408" t="n">
        <v>46.93</v>
      </c>
      <c r="K1408" t="n">
        <v>99.03</v>
      </c>
      <c r="L1408" s="2" t="n">
        <v>44906</v>
      </c>
      <c r="M1408" t="n">
        <v>2669.97</v>
      </c>
      <c r="N1408" t="inlineStr">
        <is>
          <t>20260206801242</t>
        </is>
      </c>
      <c r="O1408">
        <f>HYPERLINK("https://dart.fss.or.kr/dsaf001/main.do?rcpNo=20260206801242", "공시열람")</f>
        <v/>
      </c>
    </row>
    <row r="1409">
      <c r="A1409" t="inlineStr">
        <is>
          <t>2026-02-06</t>
        </is>
      </c>
      <c r="B1409" t="inlineStr">
        <is>
          <t>지누스</t>
        </is>
      </c>
      <c r="C1409" t="inlineStr">
        <is>
          <t>013890</t>
        </is>
      </c>
      <c r="D1409" t="inlineStr">
        <is>
          <t>연결</t>
        </is>
      </c>
      <c r="E1409" t="inlineStr">
        <is>
          <t>2025Q4</t>
        </is>
      </c>
      <c r="F1409" s="2" t="n">
        <v>192072</v>
      </c>
      <c r="G1409" t="n">
        <v>-20.5</v>
      </c>
      <c r="H1409" t="n">
        <v>-33.5</v>
      </c>
      <c r="I1409" s="2" t="n">
        <v>-23138</v>
      </c>
      <c r="J1409" t="n">
        <v>-203.1</v>
      </c>
      <c r="K1409" t="inlineStr"/>
      <c r="L1409" s="2" t="n">
        <v>-34589</v>
      </c>
      <c r="M1409" t="inlineStr"/>
      <c r="N1409" t="inlineStr">
        <is>
          <t>20260206801290</t>
        </is>
      </c>
      <c r="O1409">
        <f>HYPERLINK("https://dart.fss.or.kr/dsaf001/main.do?rcpNo=20260206801290", "공시열람")</f>
        <v/>
      </c>
    </row>
    <row r="1410">
      <c r="A1410" t="inlineStr">
        <is>
          <t>2026-02-06</t>
        </is>
      </c>
      <c r="B1410" t="inlineStr">
        <is>
          <t>코웨이</t>
        </is>
      </c>
      <c r="C1410" t="inlineStr">
        <is>
          <t>021240</t>
        </is>
      </c>
      <c r="D1410" t="inlineStr">
        <is>
          <t>연결</t>
        </is>
      </c>
      <c r="E1410" t="inlineStr">
        <is>
          <t>2025Q4</t>
        </is>
      </c>
      <c r="F1410" s="2" t="n">
        <v>1275371</v>
      </c>
      <c r="G1410" t="n">
        <v>1.7</v>
      </c>
      <c r="H1410" t="n">
        <v>13.3</v>
      </c>
      <c r="I1410" s="2" t="n">
        <v>181628</v>
      </c>
      <c r="J1410" t="n">
        <v>-25.3</v>
      </c>
      <c r="K1410" t="n">
        <v>-1</v>
      </c>
      <c r="L1410" s="2" t="n">
        <v>147212</v>
      </c>
      <c r="M1410" t="n">
        <v>41.4</v>
      </c>
      <c r="N1410" t="inlineStr">
        <is>
          <t>20260206800009</t>
        </is>
      </c>
      <c r="O1410">
        <f>HYPERLINK("https://dart.fss.or.kr/dsaf001/main.do?rcpNo=20260206800009", "공시열람")</f>
        <v/>
      </c>
    </row>
    <row r="1411">
      <c r="A1411" t="inlineStr">
        <is>
          <t>2026-02-06</t>
        </is>
      </c>
      <c r="B1411" t="inlineStr">
        <is>
          <t>에임드바이오</t>
        </is>
      </c>
      <c r="C1411" t="inlineStr">
        <is>
          <t>0009K0</t>
        </is>
      </c>
      <c r="D1411" t="inlineStr">
        <is>
          <t>연결</t>
        </is>
      </c>
      <c r="E1411" t="inlineStr">
        <is>
          <t>2025Q4</t>
        </is>
      </c>
      <c r="F1411" s="2" t="n">
        <v>37979</v>
      </c>
      <c r="G1411" t="n">
        <v>33214.9</v>
      </c>
      <c r="H1411" t="n">
        <v>233</v>
      </c>
      <c r="I1411" s="2" t="n">
        <v>25349</v>
      </c>
      <c r="J1411" t="inlineStr"/>
      <c r="K1411" t="n">
        <v>200.1</v>
      </c>
      <c r="L1411" s="2" t="n">
        <v>34</v>
      </c>
      <c r="M1411" t="n">
        <v>377.9</v>
      </c>
      <c r="N1411" t="inlineStr">
        <is>
          <t>20260206900356</t>
        </is>
      </c>
      <c r="O1411">
        <f>HYPERLINK("https://dart.fss.or.kr/dsaf001/main.do?rcpNo=20260206900356", "공시열람")</f>
        <v/>
      </c>
    </row>
    <row r="1412">
      <c r="A1412" t="inlineStr">
        <is>
          <t>2026-02-06</t>
        </is>
      </c>
      <c r="B1412" t="inlineStr">
        <is>
          <t>BNK금융지주</t>
        </is>
      </c>
      <c r="C1412" t="inlineStr">
        <is>
          <t>138930</t>
        </is>
      </c>
      <c r="D1412" t="inlineStr">
        <is>
          <t>연결</t>
        </is>
      </c>
      <c r="E1412" t="inlineStr">
        <is>
          <t>2025Q4</t>
        </is>
      </c>
      <c r="F1412" s="2" t="n">
        <v>597920</v>
      </c>
      <c r="G1412" t="n">
        <v>1.11</v>
      </c>
      <c r="H1412" t="n">
        <v>-14.75</v>
      </c>
      <c r="I1412" s="2" t="n">
        <v>60265</v>
      </c>
      <c r="J1412" t="n">
        <v>-47.39</v>
      </c>
      <c r="K1412" t="n">
        <v>189.22</v>
      </c>
      <c r="L1412" s="2" t="n">
        <v>43336</v>
      </c>
      <c r="M1412" t="n">
        <v>123.59</v>
      </c>
      <c r="N1412" t="inlineStr">
        <is>
          <t>20260206800443</t>
        </is>
      </c>
      <c r="O1412">
        <f>HYPERLINK("https://dart.fss.or.kr/dsaf001/main.do?rcpNo=20260206800443", "공시열람")</f>
        <v/>
      </c>
    </row>
    <row r="1413">
      <c r="A1413" t="inlineStr">
        <is>
          <t>2026-02-06</t>
        </is>
      </c>
      <c r="B1413" t="inlineStr">
        <is>
          <t>BNK금융지주</t>
        </is>
      </c>
      <c r="C1413" t="inlineStr">
        <is>
          <t>138930</t>
        </is>
      </c>
      <c r="D1413" t="inlineStr">
        <is>
          <t>연결</t>
        </is>
      </c>
      <c r="E1413" t="inlineStr">
        <is>
          <t>2025Q4</t>
        </is>
      </c>
      <c r="F1413" s="2" t="n">
        <v>941825</v>
      </c>
      <c r="G1413" t="n">
        <v>1.44</v>
      </c>
      <c r="H1413" t="n">
        <v>-14.63</v>
      </c>
      <c r="I1413" s="2" t="n">
        <v>18385</v>
      </c>
      <c r="J1413" t="n">
        <v>-91.75</v>
      </c>
      <c r="K1413" t="n">
        <v>-1.41</v>
      </c>
      <c r="L1413" s="2" t="n">
        <v>18324</v>
      </c>
      <c r="M1413" t="n">
        <v>-29.37</v>
      </c>
      <c r="N1413" t="inlineStr">
        <is>
          <t>20260206800450</t>
        </is>
      </c>
      <c r="O1413">
        <f>HYPERLINK("https://dart.fss.or.kr/dsaf001/main.do?rcpNo=20260206800450", "공시열람")</f>
        <v/>
      </c>
    </row>
    <row r="1414">
      <c r="A1414" t="inlineStr">
        <is>
          <t>2026-02-06</t>
        </is>
      </c>
      <c r="B1414" t="inlineStr">
        <is>
          <t>신성이엔지</t>
        </is>
      </c>
      <c r="C1414" t="inlineStr">
        <is>
          <t>011930</t>
        </is>
      </c>
      <c r="D1414" t="inlineStr">
        <is>
          <t>연결</t>
        </is>
      </c>
      <c r="E1414" t="inlineStr">
        <is>
          <t>2025Q4</t>
        </is>
      </c>
      <c r="F1414" s="2" t="n">
        <v>155400</v>
      </c>
      <c r="G1414" t="n">
        <v>-2</v>
      </c>
      <c r="H1414" t="n">
        <v>-3.3</v>
      </c>
      <c r="I1414" s="2" t="n">
        <v>3505</v>
      </c>
      <c r="J1414" t="n">
        <v>1301.9</v>
      </c>
      <c r="K1414" t="n">
        <v>-44.7</v>
      </c>
      <c r="L1414" s="2" t="n">
        <v>3204</v>
      </c>
      <c r="M1414" t="inlineStr"/>
      <c r="N1414" t="inlineStr">
        <is>
          <t>20260206800570</t>
        </is>
      </c>
      <c r="O1414">
        <f>HYPERLINK("https://dart.fss.or.kr/dsaf001/main.do?rcpNo=20260206800570", "공시열람")</f>
        <v/>
      </c>
    </row>
    <row r="1415">
      <c r="A1415" t="inlineStr">
        <is>
          <t>2026-02-06</t>
        </is>
      </c>
      <c r="B1415" t="inlineStr">
        <is>
          <t>롯데웰푸드</t>
        </is>
      </c>
      <c r="C1415" t="inlineStr">
        <is>
          <t>280360</t>
        </is>
      </c>
      <c r="D1415" t="inlineStr">
        <is>
          <t>연결</t>
        </is>
      </c>
      <c r="E1415" t="inlineStr">
        <is>
          <t>2025Q4</t>
        </is>
      </c>
      <c r="F1415" s="2" t="n">
        <v>1019764</v>
      </c>
      <c r="G1415" t="n">
        <v>-11.8</v>
      </c>
      <c r="H1415" t="n">
        <v>5.1</v>
      </c>
      <c r="I1415" s="2" t="n">
        <v>-10463</v>
      </c>
      <c r="J1415" t="inlineStr"/>
      <c r="K1415" t="n">
        <v>46.5</v>
      </c>
      <c r="L1415" s="2" t="n">
        <v>-16978</v>
      </c>
      <c r="M1415" t="n">
        <v>32</v>
      </c>
      <c r="N1415" t="inlineStr">
        <is>
          <t>20260206800602</t>
        </is>
      </c>
      <c r="O1415">
        <f>HYPERLINK("https://dart.fss.or.kr/dsaf001/main.do?rcpNo=20260206800602", "공시열람")</f>
        <v/>
      </c>
    </row>
    <row r="1416">
      <c r="A1416" t="inlineStr">
        <is>
          <t>2026-02-06</t>
        </is>
      </c>
      <c r="B1416" t="inlineStr">
        <is>
          <t>HD건설기계</t>
        </is>
      </c>
      <c r="C1416" t="inlineStr">
        <is>
          <t>267270</t>
        </is>
      </c>
      <c r="D1416" t="inlineStr">
        <is>
          <t>연결</t>
        </is>
      </c>
      <c r="E1416" t="inlineStr">
        <is>
          <t>2025Q4</t>
        </is>
      </c>
      <c r="F1416" s="2" t="n">
        <v>947300</v>
      </c>
      <c r="G1416" t="n">
        <v>-0.8</v>
      </c>
      <c r="H1416" t="n">
        <v>20</v>
      </c>
      <c r="I1416" s="2" t="n">
        <v>33400</v>
      </c>
      <c r="J1416" t="n">
        <v>-40.2</v>
      </c>
      <c r="K1416" t="n">
        <v>-5.3</v>
      </c>
      <c r="L1416" s="2" t="n">
        <v>18500</v>
      </c>
      <c r="M1416" t="inlineStr"/>
      <c r="N1416" t="inlineStr">
        <is>
          <t>20260206800611</t>
        </is>
      </c>
      <c r="O1416">
        <f>HYPERLINK("https://dart.fss.or.kr/dsaf001/main.do?rcpNo=20260206800611", "공시열람")</f>
        <v/>
      </c>
    </row>
    <row r="1417">
      <c r="A1417" t="inlineStr">
        <is>
          <t>2026-02-06</t>
        </is>
      </c>
      <c r="B1417" t="inlineStr">
        <is>
          <t>GS건설</t>
        </is>
      </c>
      <c r="C1417" t="inlineStr">
        <is>
          <t>006360</t>
        </is>
      </c>
      <c r="D1417" t="inlineStr">
        <is>
          <t>연결</t>
        </is>
      </c>
      <c r="E1417" t="inlineStr">
        <is>
          <t>2025Q4</t>
        </is>
      </c>
      <c r="F1417" s="2" t="n">
        <v>2983471</v>
      </c>
      <c r="G1417" t="n">
        <v>-7</v>
      </c>
      <c r="H1417" t="n">
        <v>-11.9</v>
      </c>
      <c r="I1417" s="2" t="n">
        <v>56898</v>
      </c>
      <c r="J1417" t="n">
        <v>-61.68</v>
      </c>
      <c r="K1417" t="n">
        <v>41.5</v>
      </c>
      <c r="L1417" s="2" t="n">
        <v>44725</v>
      </c>
      <c r="M1417" t="inlineStr"/>
      <c r="N1417" t="inlineStr">
        <is>
          <t>20260206800653</t>
        </is>
      </c>
      <c r="O1417">
        <f>HYPERLINK("https://dart.fss.or.kr/dsaf001/main.do?rcpNo=20260206800653", "공시열람")</f>
        <v/>
      </c>
    </row>
    <row r="1418">
      <c r="A1418" t="inlineStr">
        <is>
          <t>2026-02-06</t>
        </is>
      </c>
      <c r="B1418" t="inlineStr">
        <is>
          <t>한화시스템</t>
        </is>
      </c>
      <c r="C1418" t="inlineStr">
        <is>
          <t>272210</t>
        </is>
      </c>
      <c r="D1418" t="inlineStr">
        <is>
          <t>연결</t>
        </is>
      </c>
      <c r="E1418" t="inlineStr">
        <is>
          <t>2025Q4</t>
        </is>
      </c>
      <c r="F1418" s="2" t="n">
        <v>1398125</v>
      </c>
      <c r="G1418" t="n">
        <v>73.09</v>
      </c>
      <c r="H1418" t="n">
        <v>49.78</v>
      </c>
      <c r="I1418" s="2" t="n">
        <v>9431</v>
      </c>
      <c r="J1418" t="n">
        <v>-58.13</v>
      </c>
      <c r="K1418" t="n">
        <v>-67.63</v>
      </c>
      <c r="L1418" s="2" t="n">
        <v>-23917</v>
      </c>
      <c r="M1418" t="inlineStr"/>
      <c r="N1418" t="inlineStr">
        <is>
          <t>20260206800914</t>
        </is>
      </c>
      <c r="O1418">
        <f>HYPERLINK("https://dart.fss.or.kr/dsaf001/main.do?rcpNo=20260206800914", "공시열람")</f>
        <v/>
      </c>
    </row>
    <row r="1419">
      <c r="A1419" t="inlineStr">
        <is>
          <t>2026-02-06</t>
        </is>
      </c>
      <c r="B1419" t="inlineStr">
        <is>
          <t>BNK금융지주</t>
        </is>
      </c>
      <c r="C1419" t="inlineStr">
        <is>
          <t>138930</t>
        </is>
      </c>
      <c r="D1419" t="inlineStr">
        <is>
          <t>연결</t>
        </is>
      </c>
      <c r="E1419" t="inlineStr">
        <is>
          <t>2025Q4</t>
        </is>
      </c>
      <c r="F1419" s="2" t="n">
        <v>612263</v>
      </c>
      <c r="G1419" t="n">
        <v>85.17</v>
      </c>
      <c r="H1419" t="n">
        <v>54.05</v>
      </c>
      <c r="I1419" s="2" t="n">
        <v>-14017</v>
      </c>
      <c r="J1419" t="inlineStr"/>
      <c r="K1419" t="inlineStr"/>
      <c r="L1419" s="2" t="n">
        <v>-6194</v>
      </c>
      <c r="M1419" t="inlineStr"/>
      <c r="N1419" t="inlineStr">
        <is>
          <t>20260206801086</t>
        </is>
      </c>
      <c r="O1419">
        <f>HYPERLINK("https://dart.fss.or.kr/dsaf001/main.do?rcpNo=20260206801086", "공시열람")</f>
        <v/>
      </c>
    </row>
    <row r="1420">
      <c r="A1420" t="inlineStr">
        <is>
          <t>2026-02-05</t>
        </is>
      </c>
      <c r="B1420" t="inlineStr">
        <is>
          <t>JB금융지주</t>
        </is>
      </c>
      <c r="C1420" t="inlineStr">
        <is>
          <t>175330</t>
        </is>
      </c>
      <c r="D1420" t="inlineStr">
        <is>
          <t>연결</t>
        </is>
      </c>
      <c r="E1420" t="inlineStr">
        <is>
          <t>2025Q4</t>
        </is>
      </c>
      <c r="F1420" s="2" t="n">
        <v>421729</v>
      </c>
      <c r="G1420" t="n">
        <v>2.8</v>
      </c>
      <c r="H1420" t="n">
        <v>-6.3</v>
      </c>
      <c r="I1420" s="2" t="n">
        <v>51275</v>
      </c>
      <c r="J1420" t="n">
        <v>-54.5</v>
      </c>
      <c r="K1420" t="n">
        <v>4.1</v>
      </c>
      <c r="L1420" s="2" t="n">
        <v>38966</v>
      </c>
      <c r="M1420" t="n">
        <v>4.6</v>
      </c>
      <c r="N1420" t="inlineStr">
        <is>
          <t>20260205800647</t>
        </is>
      </c>
      <c r="O1420">
        <f>HYPERLINK("https://dart.fss.or.kr/dsaf001/main.do?rcpNo=20260205800647", "공시열람")</f>
        <v/>
      </c>
    </row>
    <row r="1421">
      <c r="A1421" t="inlineStr">
        <is>
          <t>2026-02-05</t>
        </is>
      </c>
      <c r="B1421" t="inlineStr">
        <is>
          <t>KB금융</t>
        </is>
      </c>
      <c r="C1421" t="inlineStr">
        <is>
          <t>105560</t>
        </is>
      </c>
      <c r="D1421" t="inlineStr">
        <is>
          <t>연결</t>
        </is>
      </c>
      <c r="E1421" t="inlineStr">
        <is>
          <t>2025Q4</t>
        </is>
      </c>
      <c r="F1421" s="2" t="n">
        <v>5196935</v>
      </c>
      <c r="G1421" t="n">
        <v>89.22</v>
      </c>
      <c r="H1421" t="n">
        <v>88.47</v>
      </c>
      <c r="I1421" s="2" t="n">
        <v>243652</v>
      </c>
      <c r="J1421" t="n">
        <v>8.16</v>
      </c>
      <c r="K1421" t="n">
        <v>437.72</v>
      </c>
      <c r="L1421" s="2" t="n">
        <v>179958</v>
      </c>
      <c r="M1421" t="n">
        <v>376.77</v>
      </c>
      <c r="N1421" t="inlineStr">
        <is>
          <t>20260205800658</t>
        </is>
      </c>
      <c r="O1421">
        <f>HYPERLINK("https://dart.fss.or.kr/dsaf001/main.do?rcpNo=20260205800658", "공시열람")</f>
        <v/>
      </c>
    </row>
    <row r="1422">
      <c r="A1422" t="inlineStr">
        <is>
          <t>2026-02-05</t>
        </is>
      </c>
      <c r="B1422" t="inlineStr">
        <is>
          <t>KB금융</t>
        </is>
      </c>
      <c r="C1422" t="inlineStr">
        <is>
          <t>105560</t>
        </is>
      </c>
      <c r="D1422" t="inlineStr">
        <is>
          <t>연결</t>
        </is>
      </c>
      <c r="E1422" t="inlineStr">
        <is>
          <t>2025Q4</t>
        </is>
      </c>
      <c r="F1422" s="2" t="n">
        <v>11102884</v>
      </c>
      <c r="G1422" t="n">
        <v>72.28</v>
      </c>
      <c r="H1422" t="n">
        <v>-36.19</v>
      </c>
      <c r="I1422" s="2" t="n">
        <v>1215123</v>
      </c>
      <c r="J1422" t="n">
        <v>-22.79</v>
      </c>
      <c r="K1422" t="n">
        <v>28.35</v>
      </c>
      <c r="L1422" s="2" t="n">
        <v>489463</v>
      </c>
      <c r="M1422" t="n">
        <v>-20.15</v>
      </c>
      <c r="N1422" t="inlineStr">
        <is>
          <t>20260205800669</t>
        </is>
      </c>
      <c r="O1422">
        <f>HYPERLINK("https://dart.fss.or.kr/dsaf001/main.do?rcpNo=20260205800669", "공시열람")</f>
        <v/>
      </c>
    </row>
    <row r="1423">
      <c r="A1423" t="inlineStr">
        <is>
          <t>2026-02-05</t>
        </is>
      </c>
      <c r="B1423" t="inlineStr">
        <is>
          <t>산일전기</t>
        </is>
      </c>
      <c r="C1423" t="inlineStr">
        <is>
          <t>062040</t>
        </is>
      </c>
      <c r="D1423" t="inlineStr">
        <is>
          <t>별도</t>
        </is>
      </c>
      <c r="E1423" t="inlineStr">
        <is>
          <t>2025Q4</t>
        </is>
      </c>
      <c r="F1423" s="2" t="n">
        <v>142127</v>
      </c>
      <c r="G1423" t="n">
        <v>7.1</v>
      </c>
      <c r="H1423" t="n">
        <v>31.1</v>
      </c>
      <c r="I1423" s="2" t="n">
        <v>55047</v>
      </c>
      <c r="J1423" t="n">
        <v>29</v>
      </c>
      <c r="K1423" t="n">
        <v>63.4</v>
      </c>
      <c r="L1423" s="2" t="n">
        <v>44957</v>
      </c>
      <c r="M1423" t="n">
        <v>66.40000000000001</v>
      </c>
      <c r="N1423" t="inlineStr">
        <is>
          <t>20260205800643</t>
        </is>
      </c>
      <c r="O1423">
        <f>HYPERLINK("https://dart.fss.or.kr/dsaf001/main.do?rcpNo=20260205800643", "공시열람")</f>
        <v/>
      </c>
    </row>
    <row r="1424">
      <c r="A1424" t="inlineStr">
        <is>
          <t>2026-02-05</t>
        </is>
      </c>
      <c r="B1424" t="inlineStr">
        <is>
          <t>LG</t>
        </is>
      </c>
      <c r="C1424" t="inlineStr">
        <is>
          <t>003550</t>
        </is>
      </c>
      <c r="D1424" t="inlineStr">
        <is>
          <t>연결</t>
        </is>
      </c>
      <c r="E1424" t="inlineStr">
        <is>
          <t>2025Q4</t>
        </is>
      </c>
      <c r="F1424" s="2" t="n">
        <v>1522521</v>
      </c>
      <c r="G1424" t="n">
        <v>-23.7</v>
      </c>
      <c r="H1424" t="n">
        <v>-14.6</v>
      </c>
      <c r="I1424" s="2" t="n">
        <v>-421698</v>
      </c>
      <c r="J1424" t="inlineStr"/>
      <c r="K1424" t="inlineStr"/>
      <c r="L1424" s="2" t="n">
        <v>-225936</v>
      </c>
      <c r="M1424" t="inlineStr"/>
      <c r="N1424" t="inlineStr">
        <is>
          <t>20260205800559</t>
        </is>
      </c>
      <c r="O1424">
        <f>HYPERLINK("https://dart.fss.or.kr/dsaf001/main.do?rcpNo=20260205800559", "공시열람")</f>
        <v/>
      </c>
    </row>
    <row r="1425">
      <c r="A1425" t="inlineStr">
        <is>
          <t>2026-02-05</t>
        </is>
      </c>
      <c r="B1425" t="inlineStr">
        <is>
          <t>KB금융</t>
        </is>
      </c>
      <c r="C1425" t="inlineStr">
        <is>
          <t>105560</t>
        </is>
      </c>
      <c r="D1425" t="inlineStr">
        <is>
          <t>연결</t>
        </is>
      </c>
      <c r="E1425" t="inlineStr">
        <is>
          <t>2025Q4</t>
        </is>
      </c>
      <c r="F1425" s="2" t="n">
        <v>22461380</v>
      </c>
      <c r="G1425" t="n">
        <v>50.02</v>
      </c>
      <c r="H1425" t="n">
        <v>-15.14</v>
      </c>
      <c r="I1425" s="2" t="n">
        <v>1770255</v>
      </c>
      <c r="J1425" t="n">
        <v>-24.19</v>
      </c>
      <c r="K1425" t="n">
        <v>71.61</v>
      </c>
      <c r="L1425" s="2" t="n">
        <v>748597</v>
      </c>
      <c r="M1425" t="n">
        <v>13.45</v>
      </c>
      <c r="N1425" t="inlineStr">
        <is>
          <t>20260205800646</t>
        </is>
      </c>
      <c r="O1425">
        <f>HYPERLINK("https://dart.fss.or.kr/dsaf001/main.do?rcpNo=20260205800646", "공시열람")</f>
        <v/>
      </c>
    </row>
    <row r="1426">
      <c r="A1426" t="inlineStr">
        <is>
          <t>2026-02-05</t>
        </is>
      </c>
      <c r="B1426" t="inlineStr">
        <is>
          <t>JB금융지주</t>
        </is>
      </c>
      <c r="C1426" t="inlineStr">
        <is>
          <t>175330</t>
        </is>
      </c>
      <c r="D1426" t="inlineStr">
        <is>
          <t>연결</t>
        </is>
      </c>
      <c r="E1426" t="inlineStr">
        <is>
          <t>2025Q4</t>
        </is>
      </c>
      <c r="F1426" s="2" t="n">
        <v>1195239</v>
      </c>
      <c r="G1426" t="n">
        <v>6.3</v>
      </c>
      <c r="H1426" t="n">
        <v>3</v>
      </c>
      <c r="I1426" s="2" t="n">
        <v>186870</v>
      </c>
      <c r="J1426" t="n">
        <v>-33.5</v>
      </c>
      <c r="K1426" t="n">
        <v>18.1</v>
      </c>
      <c r="L1426" s="2" t="n">
        <v>136204</v>
      </c>
      <c r="M1426" t="n">
        <v>14.8</v>
      </c>
      <c r="N1426" t="inlineStr">
        <is>
          <t>20260205800599</t>
        </is>
      </c>
      <c r="O1426">
        <f>HYPERLINK("https://dart.fss.or.kr/dsaf001/main.do?rcpNo=20260205800599", "공시열람")</f>
        <v/>
      </c>
    </row>
    <row r="1427">
      <c r="A1427" t="inlineStr">
        <is>
          <t>2026-02-05</t>
        </is>
      </c>
      <c r="B1427" t="inlineStr">
        <is>
          <t>JB금융지주</t>
        </is>
      </c>
      <c r="C1427" t="inlineStr">
        <is>
          <t>175330</t>
        </is>
      </c>
      <c r="D1427" t="inlineStr">
        <is>
          <t>연결</t>
        </is>
      </c>
      <c r="E1427" t="inlineStr">
        <is>
          <t>2025Q4</t>
        </is>
      </c>
      <c r="F1427" s="2" t="n">
        <v>374579</v>
      </c>
      <c r="G1427" t="n">
        <v>0</v>
      </c>
      <c r="H1427" t="n">
        <v>-7.2</v>
      </c>
      <c r="I1427" s="2" t="n">
        <v>56147</v>
      </c>
      <c r="J1427" t="n">
        <v>-29.2</v>
      </c>
      <c r="K1427" t="n">
        <v>-3.3</v>
      </c>
      <c r="L1427" s="2" t="n">
        <v>50365</v>
      </c>
      <c r="M1427" t="n">
        <v>10.8</v>
      </c>
      <c r="N1427" t="inlineStr">
        <is>
          <t>20260205800627</t>
        </is>
      </c>
      <c r="O1427">
        <f>HYPERLINK("https://dart.fss.or.kr/dsaf001/main.do?rcpNo=20260205800627", "공시열람")</f>
        <v/>
      </c>
    </row>
    <row r="1428">
      <c r="A1428" t="inlineStr">
        <is>
          <t>2026-02-05</t>
        </is>
      </c>
      <c r="B1428" t="inlineStr">
        <is>
          <t>한국앤컴퍼니</t>
        </is>
      </c>
      <c r="C1428" t="inlineStr">
        <is>
          <t>000240</t>
        </is>
      </c>
      <c r="D1428" t="inlineStr">
        <is>
          <t>연결</t>
        </is>
      </c>
      <c r="E1428" t="inlineStr">
        <is>
          <t>2025Q4</t>
        </is>
      </c>
      <c r="F1428" s="2" t="n">
        <v>343264</v>
      </c>
      <c r="G1428" t="n">
        <v>-10.8</v>
      </c>
      <c r="H1428" t="n">
        <v>15.4</v>
      </c>
      <c r="I1428" s="2" t="n">
        <v>76658</v>
      </c>
      <c r="J1428" t="n">
        <v>-44.1</v>
      </c>
      <c r="K1428" t="n">
        <v>149.8</v>
      </c>
      <c r="L1428" s="2" t="n">
        <v>48150</v>
      </c>
      <c r="M1428" t="n">
        <v>542.7</v>
      </c>
      <c r="N1428" t="inlineStr">
        <is>
          <t>20260205800677</t>
        </is>
      </c>
      <c r="O1428">
        <f>HYPERLINK("https://dart.fss.or.kr/dsaf001/main.do?rcpNo=20260205800677", "공시열람")</f>
        <v/>
      </c>
    </row>
    <row r="1429">
      <c r="A1429" t="inlineStr">
        <is>
          <t>2026-02-05</t>
        </is>
      </c>
      <c r="B1429" t="inlineStr">
        <is>
          <t>한국공항</t>
        </is>
      </c>
      <c r="C1429" t="inlineStr">
        <is>
          <t>005430</t>
        </is>
      </c>
      <c r="D1429" t="inlineStr">
        <is>
          <t>연결</t>
        </is>
      </c>
      <c r="E1429" t="inlineStr">
        <is>
          <t>2025Q4</t>
        </is>
      </c>
      <c r="F1429" s="2" t="n">
        <v>179056</v>
      </c>
      <c r="G1429" t="n">
        <v>7.24</v>
      </c>
      <c r="H1429" t="n">
        <v>5.75</v>
      </c>
      <c r="I1429" s="2" t="n">
        <v>6550</v>
      </c>
      <c r="J1429" t="n">
        <v>-54.73</v>
      </c>
      <c r="K1429" t="inlineStr"/>
      <c r="L1429" s="2" t="n">
        <v>8050</v>
      </c>
      <c r="M1429" t="n">
        <v>177.2</v>
      </c>
      <c r="N1429" t="inlineStr">
        <is>
          <t>20260205800933</t>
        </is>
      </c>
      <c r="O1429">
        <f>HYPERLINK("https://dart.fss.or.kr/dsaf001/main.do?rcpNo=20260205800933", "공시열람")</f>
        <v/>
      </c>
    </row>
    <row r="1430">
      <c r="A1430" t="inlineStr">
        <is>
          <t>2026-02-05</t>
        </is>
      </c>
      <c r="B1430" t="inlineStr">
        <is>
          <t>삼천리</t>
        </is>
      </c>
      <c r="C1430" t="inlineStr">
        <is>
          <t>004690</t>
        </is>
      </c>
      <c r="D1430" t="inlineStr">
        <is>
          <t>별도</t>
        </is>
      </c>
      <c r="E1430" t="inlineStr">
        <is>
          <t>2025Q4</t>
        </is>
      </c>
      <c r="F1430" s="2" t="n">
        <v>3620743</v>
      </c>
      <c r="G1430" t="n">
        <v>1.4</v>
      </c>
      <c r="H1430" t="inlineStr"/>
      <c r="I1430" s="2" t="n">
        <v>60590</v>
      </c>
      <c r="J1430" t="n">
        <v>125.8</v>
      </c>
      <c r="K1430" t="inlineStr"/>
      <c r="L1430" s="2" t="n">
        <v>54075</v>
      </c>
      <c r="M1430" t="inlineStr"/>
      <c r="N1430" t="inlineStr">
        <is>
          <t>20260205800742</t>
        </is>
      </c>
      <c r="O1430">
        <f>HYPERLINK("https://dart.fss.or.kr/dsaf001/main.do?rcpNo=20260205800742", "공시열람")</f>
        <v/>
      </c>
    </row>
    <row r="1431">
      <c r="A1431" t="inlineStr">
        <is>
          <t>2026-02-05</t>
        </is>
      </c>
      <c r="B1431" t="inlineStr">
        <is>
          <t>한미약품</t>
        </is>
      </c>
      <c r="C1431" t="inlineStr">
        <is>
          <t>128940</t>
        </is>
      </c>
      <c r="D1431" t="inlineStr">
        <is>
          <t>연결</t>
        </is>
      </c>
      <c r="E1431" t="inlineStr">
        <is>
          <t>2025Q4</t>
        </is>
      </c>
      <c r="F1431" s="2" t="n">
        <v>432960</v>
      </c>
      <c r="G1431" t="n">
        <v>19.49</v>
      </c>
      <c r="H1431" t="n">
        <v>23.14</v>
      </c>
      <c r="I1431" s="2" t="n">
        <v>83272</v>
      </c>
      <c r="J1431" t="n">
        <v>51.21</v>
      </c>
      <c r="K1431" t="n">
        <v>173.42</v>
      </c>
      <c r="L1431" s="2" t="n">
        <v>54978</v>
      </c>
      <c r="M1431" t="inlineStr"/>
      <c r="N1431" t="inlineStr">
        <is>
          <t>20260205800771</t>
        </is>
      </c>
      <c r="O1431">
        <f>HYPERLINK("https://dart.fss.or.kr/dsaf001/main.do?rcpNo=20260205800771", "공시열람")</f>
        <v/>
      </c>
    </row>
    <row r="1432">
      <c r="A1432" t="inlineStr">
        <is>
          <t>2026-02-05</t>
        </is>
      </c>
      <c r="B1432" t="inlineStr">
        <is>
          <t>한미사이언스</t>
        </is>
      </c>
      <c r="C1432" t="inlineStr">
        <is>
          <t>008930</t>
        </is>
      </c>
      <c r="D1432" t="inlineStr">
        <is>
          <t>연결</t>
        </is>
      </c>
      <c r="E1432" t="inlineStr">
        <is>
          <t>2025Q4</t>
        </is>
      </c>
      <c r="F1432" s="2" t="n">
        <v>343917</v>
      </c>
      <c r="G1432" t="n">
        <v>0.4</v>
      </c>
      <c r="H1432" t="n">
        <v>3.7</v>
      </c>
      <c r="I1432" s="2" t="n">
        <v>37598</v>
      </c>
      <c r="J1432" t="n">
        <v>-4.3</v>
      </c>
      <c r="K1432" t="n">
        <v>197.4</v>
      </c>
      <c r="L1432" s="2" t="n">
        <v>31130</v>
      </c>
      <c r="M1432" t="inlineStr"/>
      <c r="N1432" t="inlineStr">
        <is>
          <t>20260205800820</t>
        </is>
      </c>
      <c r="O1432">
        <f>HYPERLINK("https://dart.fss.or.kr/dsaf001/main.do?rcpNo=20260205800820", "공시열람")</f>
        <v/>
      </c>
    </row>
    <row r="1433">
      <c r="A1433" t="inlineStr">
        <is>
          <t>2026-02-05</t>
        </is>
      </c>
      <c r="B1433" t="inlineStr">
        <is>
          <t>케이티앤지</t>
        </is>
      </c>
      <c r="C1433" t="inlineStr">
        <is>
          <t>033780</t>
        </is>
      </c>
      <c r="D1433" t="inlineStr">
        <is>
          <t>연결</t>
        </is>
      </c>
      <c r="E1433" t="inlineStr">
        <is>
          <t>2025Q4</t>
        </is>
      </c>
      <c r="F1433" s="2" t="n">
        <v>1713688</v>
      </c>
      <c r="G1433" t="n">
        <v>-6.2</v>
      </c>
      <c r="H1433" t="n">
        <v>10.1</v>
      </c>
      <c r="I1433" s="2" t="n">
        <v>248816</v>
      </c>
      <c r="J1433" t="n">
        <v>-46.5</v>
      </c>
      <c r="K1433" t="n">
        <v>17.1</v>
      </c>
      <c r="L1433" s="2" t="n">
        <v>274229</v>
      </c>
      <c r="M1433" t="n">
        <v>-15.7</v>
      </c>
      <c r="N1433" t="inlineStr">
        <is>
          <t>20260205800583</t>
        </is>
      </c>
      <c r="O1433">
        <f>HYPERLINK("https://dart.fss.or.kr/dsaf001/main.do?rcpNo=20260205800583", "공시열람")</f>
        <v/>
      </c>
    </row>
    <row r="1434">
      <c r="A1434" t="inlineStr">
        <is>
          <t>2026-02-05</t>
        </is>
      </c>
      <c r="B1434" t="inlineStr">
        <is>
          <t>LX홀딩스</t>
        </is>
      </c>
      <c r="C1434" t="inlineStr">
        <is>
          <t>383800</t>
        </is>
      </c>
      <c r="D1434" t="inlineStr">
        <is>
          <t>연결</t>
        </is>
      </c>
      <c r="E1434" t="inlineStr">
        <is>
          <t>2025Q4</t>
        </is>
      </c>
      <c r="F1434" s="2" t="n">
        <v>9953</v>
      </c>
      <c r="G1434" t="n">
        <v>-10.7</v>
      </c>
      <c r="H1434" t="n">
        <v>1</v>
      </c>
      <c r="I1434" s="2" t="n">
        <v>-17745</v>
      </c>
      <c r="J1434" t="inlineStr"/>
      <c r="K1434" t="n">
        <v>-190.9</v>
      </c>
      <c r="L1434" s="2" t="n">
        <v>-16057</v>
      </c>
      <c r="M1434" t="n">
        <v>-416</v>
      </c>
      <c r="N1434" t="inlineStr">
        <is>
          <t>20260205800969</t>
        </is>
      </c>
      <c r="O1434">
        <f>HYPERLINK("https://dart.fss.or.kr/dsaf001/main.do?rcpNo=20260205800969", "공시열람")</f>
        <v/>
      </c>
    </row>
    <row r="1435">
      <c r="A1435" t="inlineStr">
        <is>
          <t>2026-02-05</t>
        </is>
      </c>
      <c r="B1435" t="inlineStr">
        <is>
          <t>한진칼</t>
        </is>
      </c>
      <c r="C1435" t="inlineStr">
        <is>
          <t>180640</t>
        </is>
      </c>
      <c r="D1435" t="inlineStr">
        <is>
          <t>연결</t>
        </is>
      </c>
      <c r="E1435" t="inlineStr">
        <is>
          <t>2025Q4</t>
        </is>
      </c>
      <c r="F1435" s="2" t="n">
        <v>298925</v>
      </c>
      <c r="G1435" t="n">
        <v>2.3</v>
      </c>
      <c r="H1435" t="inlineStr"/>
      <c r="I1435" s="2" t="n">
        <v>-7312</v>
      </c>
      <c r="J1435" t="inlineStr"/>
      <c r="K1435" t="inlineStr"/>
      <c r="L1435" s="2" t="n">
        <v>150222</v>
      </c>
      <c r="M1435" t="inlineStr"/>
      <c r="N1435" t="inlineStr">
        <is>
          <t>20260205801013</t>
        </is>
      </c>
      <c r="O1435">
        <f>HYPERLINK("https://dart.fss.or.kr/dsaf001/main.do?rcpNo=20260205801013", "공시열람")</f>
        <v/>
      </c>
    </row>
    <row r="1436">
      <c r="A1436" t="inlineStr">
        <is>
          <t>2026-02-05</t>
        </is>
      </c>
      <c r="B1436" t="inlineStr">
        <is>
          <t>파크시스템스</t>
        </is>
      </c>
      <c r="C1436" t="inlineStr">
        <is>
          <t>140860</t>
        </is>
      </c>
      <c r="D1436" t="inlineStr">
        <is>
          <t>연결</t>
        </is>
      </c>
      <c r="E1436" t="inlineStr">
        <is>
          <t>2025Q4</t>
        </is>
      </c>
      <c r="F1436" s="2" t="n">
        <v>57711</v>
      </c>
      <c r="G1436" t="n">
        <v>27</v>
      </c>
      <c r="H1436" t="n">
        <v>-9</v>
      </c>
      <c r="I1436" s="2" t="n">
        <v>9105</v>
      </c>
      <c r="J1436" t="n">
        <v>5</v>
      </c>
      <c r="K1436" t="n">
        <v>-45</v>
      </c>
      <c r="L1436" s="2" t="inlineStr"/>
      <c r="M1436" t="inlineStr"/>
      <c r="N1436" t="inlineStr">
        <is>
          <t>20260205900937</t>
        </is>
      </c>
      <c r="O1436">
        <f>HYPERLINK("https://dart.fss.or.kr/dsaf001/main.do?rcpNo=20260205900937", "공시열람")</f>
        <v/>
      </c>
    </row>
    <row r="1437">
      <c r="A1437" t="inlineStr">
        <is>
          <t>2026-02-05</t>
        </is>
      </c>
      <c r="B1437" t="inlineStr">
        <is>
          <t>제닉스로보틱스</t>
        </is>
      </c>
      <c r="C1437" t="inlineStr">
        <is>
          <t>381620</t>
        </is>
      </c>
      <c r="D1437" t="inlineStr">
        <is>
          <t>연결</t>
        </is>
      </c>
      <c r="E1437" t="inlineStr">
        <is>
          <t>2025Q4</t>
        </is>
      </c>
      <c r="F1437" s="2" t="n">
        <v>1886</v>
      </c>
      <c r="G1437" t="n">
        <v>-77</v>
      </c>
      <c r="H1437" t="n">
        <v>-90.7</v>
      </c>
      <c r="I1437" s="2" t="n">
        <v>-4161</v>
      </c>
      <c r="J1437" t="n">
        <v>-9.800000000000001</v>
      </c>
      <c r="K1437" t="inlineStr"/>
      <c r="L1437" s="2" t="n">
        <v>-2802</v>
      </c>
      <c r="M1437" t="inlineStr"/>
      <c r="N1437" t="inlineStr">
        <is>
          <t>20260205901069</t>
        </is>
      </c>
      <c r="O1437">
        <f>HYPERLINK("https://dart.fss.or.kr/dsaf001/main.do?rcpNo=20260205901069", "공시열람")</f>
        <v/>
      </c>
    </row>
    <row r="1438">
      <c r="A1438" t="inlineStr">
        <is>
          <t>2026-02-05</t>
        </is>
      </c>
      <c r="B1438" t="inlineStr">
        <is>
          <t>제닉스로보틱스</t>
        </is>
      </c>
      <c r="C1438" t="inlineStr">
        <is>
          <t>381620</t>
        </is>
      </c>
      <c r="D1438" t="inlineStr">
        <is>
          <t>별도</t>
        </is>
      </c>
      <c r="E1438" t="inlineStr">
        <is>
          <t>2025Q4</t>
        </is>
      </c>
      <c r="F1438" s="2" t="n">
        <v>1886</v>
      </c>
      <c r="G1438" t="n">
        <v>-77</v>
      </c>
      <c r="H1438" t="n">
        <v>-90.7</v>
      </c>
      <c r="I1438" s="2" t="n">
        <v>-4129</v>
      </c>
      <c r="J1438" t="n">
        <v>-9</v>
      </c>
      <c r="K1438" t="inlineStr"/>
      <c r="L1438" s="2" t="n">
        <v>-2765</v>
      </c>
      <c r="M1438" t="inlineStr"/>
      <c r="N1438" t="inlineStr">
        <is>
          <t>20260205901072</t>
        </is>
      </c>
      <c r="O1438">
        <f>HYPERLINK("https://dart.fss.or.kr/dsaf001/main.do?rcpNo=20260205901072", "공시열람")</f>
        <v/>
      </c>
    </row>
    <row r="1439">
      <c r="A1439" t="inlineStr">
        <is>
          <t>2026-02-05</t>
        </is>
      </c>
      <c r="B1439" t="inlineStr">
        <is>
          <t>에코프로머티</t>
        </is>
      </c>
      <c r="C1439" t="inlineStr">
        <is>
          <t>450080</t>
        </is>
      </c>
      <c r="D1439" t="inlineStr">
        <is>
          <t>별도</t>
        </is>
      </c>
      <c r="E1439" t="inlineStr">
        <is>
          <t>2025Q4</t>
        </is>
      </c>
      <c r="F1439" s="2" t="n">
        <v>115203</v>
      </c>
      <c r="G1439" t="n">
        <v>82.40000000000001</v>
      </c>
      <c r="H1439" t="n">
        <v>30.8</v>
      </c>
      <c r="I1439" s="2" t="n">
        <v>3345</v>
      </c>
      <c r="J1439" t="inlineStr"/>
      <c r="K1439" t="inlineStr"/>
      <c r="L1439" s="2" t="n">
        <v>-80844</v>
      </c>
      <c r="M1439" t="n">
        <v>-1334.3</v>
      </c>
      <c r="N1439" t="inlineStr">
        <is>
          <t>20260205800489</t>
        </is>
      </c>
      <c r="O1439">
        <f>HYPERLINK("https://dart.fss.or.kr/dsaf001/main.do?rcpNo=20260205800489", "공시열람")</f>
        <v/>
      </c>
    </row>
    <row r="1440">
      <c r="A1440" t="inlineStr">
        <is>
          <t>2026-02-05</t>
        </is>
      </c>
      <c r="B1440" t="inlineStr">
        <is>
          <t>HL만도</t>
        </is>
      </c>
      <c r="C1440" t="inlineStr">
        <is>
          <t>204320</t>
        </is>
      </c>
      <c r="D1440" t="inlineStr">
        <is>
          <t>연결</t>
        </is>
      </c>
      <c r="E1440" t="inlineStr">
        <is>
          <t>2025Q4</t>
        </is>
      </c>
      <c r="F1440" s="2" t="n">
        <v>2461616</v>
      </c>
      <c r="G1440" t="n">
        <v>6</v>
      </c>
      <c r="H1440" t="n">
        <v>1.6</v>
      </c>
      <c r="I1440" s="2" t="n">
        <v>79684</v>
      </c>
      <c r="J1440" t="n">
        <v>-15.4</v>
      </c>
      <c r="K1440" t="n">
        <v>-28.2</v>
      </c>
      <c r="L1440" s="2" t="n">
        <v>29052</v>
      </c>
      <c r="M1440" t="n">
        <v>-41.7</v>
      </c>
      <c r="N1440" t="inlineStr">
        <is>
          <t>20260205800555</t>
        </is>
      </c>
      <c r="O1440">
        <f>HYPERLINK("https://dart.fss.or.kr/dsaf001/main.do?rcpNo=20260205800555", "공시열람")</f>
        <v/>
      </c>
    </row>
    <row r="1441">
      <c r="A1441" t="inlineStr">
        <is>
          <t>2026-02-05</t>
        </is>
      </c>
      <c r="B1441" t="inlineStr">
        <is>
          <t>신한지주</t>
        </is>
      </c>
      <c r="C1441" t="inlineStr">
        <is>
          <t>055550</t>
        </is>
      </c>
      <c r="D1441" t="inlineStr">
        <is>
          <t>연결</t>
        </is>
      </c>
      <c r="E1441" t="inlineStr">
        <is>
          <t>2025Q4</t>
        </is>
      </c>
      <c r="F1441" s="2" t="n">
        <v>2120220</v>
      </c>
      <c r="G1441" t="n">
        <v>23.54</v>
      </c>
      <c r="H1441" t="n">
        <v>4.25</v>
      </c>
      <c r="I1441" s="2" t="n">
        <v>90417</v>
      </c>
      <c r="J1441" t="n">
        <v>-61.4</v>
      </c>
      <c r="K1441" t="n">
        <v>11.67</v>
      </c>
      <c r="L1441" s="2" t="n">
        <v>-6807</v>
      </c>
      <c r="M1441" t="n">
        <v>-111.11</v>
      </c>
      <c r="N1441" t="inlineStr">
        <is>
          <t>20260205800287</t>
        </is>
      </c>
      <c r="O1441">
        <f>HYPERLINK("https://dart.fss.or.kr/dsaf001/main.do?rcpNo=20260205800287", "공시열람")</f>
        <v/>
      </c>
    </row>
    <row r="1442">
      <c r="A1442" t="inlineStr">
        <is>
          <t>2026-02-05</t>
        </is>
      </c>
      <c r="B1442" t="inlineStr">
        <is>
          <t>SK텔레콤</t>
        </is>
      </c>
      <c r="C1442" t="inlineStr">
        <is>
          <t>017670</t>
        </is>
      </c>
      <c r="D1442" t="inlineStr">
        <is>
          <t>연결</t>
        </is>
      </c>
      <c r="E1442" t="inlineStr">
        <is>
          <t>2025Q4</t>
        </is>
      </c>
      <c r="F1442" s="2" t="n">
        <v>4328700</v>
      </c>
      <c r="G1442" t="n">
        <v>8.81</v>
      </c>
      <c r="H1442" t="n">
        <v>-4.05</v>
      </c>
      <c r="I1442" s="2" t="n">
        <v>119100</v>
      </c>
      <c r="J1442" t="n">
        <v>145.96</v>
      </c>
      <c r="K1442" t="n">
        <v>-53.12</v>
      </c>
      <c r="L1442" s="2" t="n">
        <v>97000</v>
      </c>
      <c r="M1442" t="n">
        <v>-75.43000000000001</v>
      </c>
      <c r="N1442" t="inlineStr">
        <is>
          <t>20260205800573</t>
        </is>
      </c>
      <c r="O1442">
        <f>HYPERLINK("https://dart.fss.or.kr/dsaf001/main.do?rcpNo=20260205800573", "공시열람")</f>
        <v/>
      </c>
    </row>
    <row r="1443">
      <c r="A1443" t="inlineStr">
        <is>
          <t>2026-02-05</t>
        </is>
      </c>
      <c r="B1443" t="inlineStr">
        <is>
          <t>LG유플러스</t>
        </is>
      </c>
      <c r="C1443" t="inlineStr">
        <is>
          <t>032640</t>
        </is>
      </c>
      <c r="D1443" t="inlineStr">
        <is>
          <t>별도</t>
        </is>
      </c>
      <c r="E1443" t="inlineStr">
        <is>
          <t>2025Q4</t>
        </is>
      </c>
      <c r="F1443" s="2" t="n">
        <v>3551700</v>
      </c>
      <c r="G1443" t="n">
        <v>-4.4</v>
      </c>
      <c r="H1443" t="n">
        <v>3</v>
      </c>
      <c r="I1443" s="2" t="n">
        <v>183900</v>
      </c>
      <c r="J1443" t="n">
        <v>17.5</v>
      </c>
      <c r="K1443" t="n">
        <v>18.6</v>
      </c>
      <c r="L1443" s="2" t="n">
        <v>100700</v>
      </c>
      <c r="M1443" t="n">
        <v>506.4</v>
      </c>
      <c r="N1443" t="inlineStr">
        <is>
          <t>20260205800033</t>
        </is>
      </c>
      <c r="O1443">
        <f>HYPERLINK("https://dart.fss.or.kr/dsaf001/main.do?rcpNo=20260205800033", "공시열람")</f>
        <v/>
      </c>
    </row>
    <row r="1444">
      <c r="A1444" t="inlineStr">
        <is>
          <t>2026-02-05</t>
        </is>
      </c>
      <c r="B1444" t="inlineStr">
        <is>
          <t>신한지주</t>
        </is>
      </c>
      <c r="C1444" t="inlineStr">
        <is>
          <t>055550</t>
        </is>
      </c>
      <c r="D1444" t="inlineStr">
        <is>
          <t>연결</t>
        </is>
      </c>
      <c r="E1444" t="inlineStr">
        <is>
          <t>2025Q4</t>
        </is>
      </c>
      <c r="F1444" s="2" t="n">
        <v>15827074</v>
      </c>
      <c r="G1444" t="n">
        <v>66.34</v>
      </c>
      <c r="H1444" t="n">
        <v>-35</v>
      </c>
      <c r="I1444" s="2" t="n">
        <v>1110263</v>
      </c>
      <c r="J1444" t="n">
        <v>-43.2</v>
      </c>
      <c r="K1444" t="n">
        <v>66.20999999999999</v>
      </c>
      <c r="L1444" s="2" t="n">
        <v>538049</v>
      </c>
      <c r="M1444" t="n">
        <v>24</v>
      </c>
      <c r="N1444" t="inlineStr">
        <is>
          <t>20260205800296</t>
        </is>
      </c>
      <c r="O1444">
        <f>HYPERLINK("https://dart.fss.or.kr/dsaf001/main.do?rcpNo=20260205800296", "공시열람")</f>
        <v/>
      </c>
    </row>
    <row r="1445">
      <c r="A1445" t="inlineStr">
        <is>
          <t>2026-02-05</t>
        </is>
      </c>
      <c r="B1445" t="inlineStr">
        <is>
          <t>신한지주</t>
        </is>
      </c>
      <c r="C1445" t="inlineStr">
        <is>
          <t>055550</t>
        </is>
      </c>
      <c r="D1445" t="inlineStr">
        <is>
          <t>연결</t>
        </is>
      </c>
      <c r="E1445" t="inlineStr">
        <is>
          <t>2025Q4</t>
        </is>
      </c>
      <c r="F1445" s="2" t="n">
        <v>1359911</v>
      </c>
      <c r="G1445" t="n">
        <v>3.75</v>
      </c>
      <c r="H1445" t="n">
        <v>-26.51</v>
      </c>
      <c r="I1445" s="2" t="n">
        <v>114717</v>
      </c>
      <c r="J1445" t="n">
        <v>-35.55</v>
      </c>
      <c r="K1445" t="n">
        <v>149.02</v>
      </c>
      <c r="L1445" s="2" t="n">
        <v>96816</v>
      </c>
      <c r="M1445" t="n">
        <v>379.86</v>
      </c>
      <c r="N1445" t="inlineStr">
        <is>
          <t>20260205800280</t>
        </is>
      </c>
      <c r="O1445">
        <f>HYPERLINK("https://dart.fss.or.kr/dsaf001/main.do?rcpNo=20260205800280", "공시열람")</f>
        <v/>
      </c>
    </row>
    <row r="1446">
      <c r="A1446" t="inlineStr">
        <is>
          <t>2026-02-05</t>
        </is>
      </c>
      <c r="B1446" t="inlineStr">
        <is>
          <t>신한지주</t>
        </is>
      </c>
      <c r="C1446" t="inlineStr">
        <is>
          <t>055550</t>
        </is>
      </c>
      <c r="D1446" t="inlineStr">
        <is>
          <t>연결</t>
        </is>
      </c>
      <c r="E1446" t="inlineStr">
        <is>
          <t>2025Q4</t>
        </is>
      </c>
      <c r="F1446" s="2" t="n">
        <v>9331850</v>
      </c>
      <c r="G1446" t="n">
        <v>100.69</v>
      </c>
      <c r="H1446" t="n">
        <v>-46.87</v>
      </c>
      <c r="I1446" s="2" t="n">
        <v>912133</v>
      </c>
      <c r="J1446" t="n">
        <v>-37.78</v>
      </c>
      <c r="K1446" t="n">
        <v>12.6</v>
      </c>
      <c r="L1446" s="2" t="n">
        <v>419172</v>
      </c>
      <c r="M1446" t="n">
        <v>-29.27</v>
      </c>
      <c r="N1446" t="inlineStr">
        <is>
          <t>20260205800277</t>
        </is>
      </c>
      <c r="O1446">
        <f>HYPERLINK("https://dart.fss.or.kr/dsaf001/main.do?rcpNo=20260205800277", "공시열람")</f>
        <v/>
      </c>
    </row>
    <row r="1447">
      <c r="A1447" t="inlineStr">
        <is>
          <t>2026-02-05</t>
        </is>
      </c>
      <c r="B1447" t="inlineStr">
        <is>
          <t>에코프로비엠</t>
        </is>
      </c>
      <c r="C1447" t="inlineStr">
        <is>
          <t>247540</t>
        </is>
      </c>
      <c r="D1447" t="inlineStr">
        <is>
          <t>연결</t>
        </is>
      </c>
      <c r="E1447" t="inlineStr">
        <is>
          <t>2025Q4</t>
        </is>
      </c>
      <c r="F1447" s="2" t="n">
        <v>499187</v>
      </c>
      <c r="G1447" t="n">
        <v>-20.1</v>
      </c>
      <c r="H1447" t="n">
        <v>7.4</v>
      </c>
      <c r="I1447" s="2" t="n">
        <v>41008</v>
      </c>
      <c r="J1447" t="n">
        <v>-18.8</v>
      </c>
      <c r="K1447" t="inlineStr"/>
      <c r="L1447" s="2" t="n">
        <v>10791</v>
      </c>
      <c r="M1447" t="inlineStr"/>
      <c r="N1447" t="inlineStr">
        <is>
          <t>20260205900270</t>
        </is>
      </c>
      <c r="O1447">
        <f>HYPERLINK("https://dart.fss.or.kr/dsaf001/main.do?rcpNo=20260205900270", "공시열람")</f>
        <v/>
      </c>
    </row>
    <row r="1448">
      <c r="A1448" t="inlineStr">
        <is>
          <t>2026-02-05</t>
        </is>
      </c>
      <c r="B1448" t="inlineStr">
        <is>
          <t>케이씨씨</t>
        </is>
      </c>
      <c r="C1448" t="inlineStr">
        <is>
          <t>002380</t>
        </is>
      </c>
      <c r="D1448" t="inlineStr">
        <is>
          <t>연결</t>
        </is>
      </c>
      <c r="E1448" t="inlineStr">
        <is>
          <t>2025Q4</t>
        </is>
      </c>
      <c r="F1448" s="2" t="n">
        <v>1556418</v>
      </c>
      <c r="G1448" t="n">
        <v>-4.1</v>
      </c>
      <c r="H1448" t="n">
        <v>-6.1</v>
      </c>
      <c r="I1448" s="2" t="n">
        <v>66527</v>
      </c>
      <c r="J1448" t="n">
        <v>-43.3</v>
      </c>
      <c r="K1448" t="n">
        <v>-32.3</v>
      </c>
      <c r="L1448" s="2" t="n">
        <v>274837</v>
      </c>
      <c r="M1448" t="inlineStr"/>
      <c r="N1448" t="inlineStr">
        <is>
          <t>20260205800263</t>
        </is>
      </c>
      <c r="O1448">
        <f>HYPERLINK("https://dart.fss.or.kr/dsaf001/main.do?rcpNo=20260205800263", "공시열람")</f>
        <v/>
      </c>
    </row>
    <row r="1449">
      <c r="A1449" t="inlineStr">
        <is>
          <t>2026-02-05</t>
        </is>
      </c>
      <c r="B1449" t="inlineStr">
        <is>
          <t>오리온</t>
        </is>
      </c>
      <c r="C1449" t="inlineStr">
        <is>
          <t>271560</t>
        </is>
      </c>
      <c r="D1449" t="inlineStr">
        <is>
          <t>연결</t>
        </is>
      </c>
      <c r="E1449" t="inlineStr">
        <is>
          <t>2025Q4</t>
        </is>
      </c>
      <c r="F1449" s="2" t="n">
        <v>3332400</v>
      </c>
      <c r="G1449" t="n">
        <v>7.3</v>
      </c>
      <c r="H1449" t="inlineStr"/>
      <c r="I1449" s="2" t="n">
        <v>558200</v>
      </c>
      <c r="J1449" t="n">
        <v>2.7</v>
      </c>
      <c r="K1449" t="inlineStr"/>
      <c r="L1449" s="2" t="inlineStr"/>
      <c r="M1449" t="inlineStr"/>
      <c r="N1449" t="inlineStr">
        <is>
          <t>20260205800242</t>
        </is>
      </c>
      <c r="O1449">
        <f>HYPERLINK("https://dart.fss.or.kr/dsaf001/main.do?rcpNo=20260205800242", "공시열람")</f>
        <v/>
      </c>
    </row>
    <row r="1450">
      <c r="A1450" t="inlineStr">
        <is>
          <t>2026-02-05</t>
        </is>
      </c>
      <c r="B1450" t="inlineStr">
        <is>
          <t>한화비전</t>
        </is>
      </c>
      <c r="C1450" t="inlineStr">
        <is>
          <t>489790</t>
        </is>
      </c>
      <c r="D1450" t="inlineStr">
        <is>
          <t>연결</t>
        </is>
      </c>
      <c r="E1450" t="inlineStr">
        <is>
          <t>2025Q4</t>
        </is>
      </c>
      <c r="F1450" s="2" t="n">
        <v>459212</v>
      </c>
      <c r="G1450" t="n">
        <v>8.630000000000001</v>
      </c>
      <c r="H1450" t="n">
        <v>29.8</v>
      </c>
      <c r="I1450" s="2" t="n">
        <v>17852</v>
      </c>
      <c r="J1450" t="n">
        <v>-50.69</v>
      </c>
      <c r="K1450" t="inlineStr"/>
      <c r="L1450" s="2" t="n">
        <v>62862</v>
      </c>
      <c r="M1450" t="n">
        <v>285.61</v>
      </c>
      <c r="N1450" t="inlineStr">
        <is>
          <t>20260205800164</t>
        </is>
      </c>
      <c r="O1450">
        <f>HYPERLINK("https://dart.fss.or.kr/dsaf001/main.do?rcpNo=20260205800164", "공시열람")</f>
        <v/>
      </c>
    </row>
    <row r="1451">
      <c r="A1451" t="inlineStr">
        <is>
          <t>2026-02-05</t>
        </is>
      </c>
      <c r="B1451" t="inlineStr">
        <is>
          <t>셀트리온제약</t>
        </is>
      </c>
      <c r="C1451" t="inlineStr">
        <is>
          <t>068760</t>
        </is>
      </c>
      <c r="D1451" t="inlineStr">
        <is>
          <t>별도</t>
        </is>
      </c>
      <c r="E1451" t="inlineStr">
        <is>
          <t>2025Q4</t>
        </is>
      </c>
      <c r="F1451" s="2" t="n">
        <v>536400</v>
      </c>
      <c r="G1451" t="n">
        <v>12.26</v>
      </c>
      <c r="H1451" t="inlineStr"/>
      <c r="I1451" s="2" t="n">
        <v>56092</v>
      </c>
      <c r="J1451" t="n">
        <v>50.69</v>
      </c>
      <c r="K1451" t="inlineStr"/>
      <c r="L1451" s="2" t="n">
        <v>38752</v>
      </c>
      <c r="M1451" t="inlineStr"/>
      <c r="N1451" t="inlineStr">
        <is>
          <t>20260205900152</t>
        </is>
      </c>
      <c r="O1451">
        <f>HYPERLINK("https://dart.fss.or.kr/dsaf001/main.do?rcpNo=20260205900152", "공시열람")</f>
        <v/>
      </c>
    </row>
    <row r="1452">
      <c r="A1452" t="inlineStr">
        <is>
          <t>2026-02-05</t>
        </is>
      </c>
      <c r="B1452" t="inlineStr">
        <is>
          <t>LS에코에너지</t>
        </is>
      </c>
      <c r="C1452" t="inlineStr">
        <is>
          <t>229640</t>
        </is>
      </c>
      <c r="D1452" t="inlineStr">
        <is>
          <t>연결</t>
        </is>
      </c>
      <c r="E1452" t="inlineStr">
        <is>
          <t>2025Q4</t>
        </is>
      </c>
      <c r="F1452" s="2" t="n">
        <v>248699</v>
      </c>
      <c r="G1452" t="n">
        <v>6.8</v>
      </c>
      <c r="H1452" t="n">
        <v>6.7</v>
      </c>
      <c r="I1452" s="2" t="n">
        <v>13081</v>
      </c>
      <c r="J1452" t="n">
        <v>-11.4</v>
      </c>
      <c r="K1452" t="n">
        <v>67.90000000000001</v>
      </c>
      <c r="L1452" s="2" t="n">
        <v>6326</v>
      </c>
      <c r="M1452" t="n">
        <v>5.2</v>
      </c>
      <c r="N1452" t="inlineStr">
        <is>
          <t>20260205800106</t>
        </is>
      </c>
      <c r="O1452">
        <f>HYPERLINK("https://dart.fss.or.kr/dsaf001/main.do?rcpNo=20260205800106", "공시열람")</f>
        <v/>
      </c>
    </row>
    <row r="1453">
      <c r="A1453" t="inlineStr">
        <is>
          <t>2026-02-05</t>
        </is>
      </c>
      <c r="B1453" t="inlineStr">
        <is>
          <t>삼성카드</t>
        </is>
      </c>
      <c r="C1453" t="inlineStr">
        <is>
          <t>029780</t>
        </is>
      </c>
      <c r="D1453" t="inlineStr">
        <is>
          <t>연결</t>
        </is>
      </c>
      <c r="E1453" t="inlineStr">
        <is>
          <t>2025Q4</t>
        </is>
      </c>
      <c r="F1453" s="2" t="n">
        <v>1050400</v>
      </c>
      <c r="G1453" t="n">
        <v>4.2</v>
      </c>
      <c r="H1453" t="n">
        <v>-19.5</v>
      </c>
      <c r="I1453" s="2" t="n">
        <v>194600</v>
      </c>
      <c r="J1453" t="n">
        <v>-8.9</v>
      </c>
      <c r="K1453" t="n">
        <v>13.3</v>
      </c>
      <c r="L1453" s="2" t="n">
        <v>148600</v>
      </c>
      <c r="M1453" t="n">
        <v>11.6</v>
      </c>
      <c r="N1453" t="inlineStr">
        <is>
          <t>20260205800096</t>
        </is>
      </c>
      <c r="O1453">
        <f>HYPERLINK("https://dart.fss.or.kr/dsaf001/main.do?rcpNo=20260205800096", "공시열람")</f>
        <v/>
      </c>
    </row>
    <row r="1454">
      <c r="A1454" t="inlineStr">
        <is>
          <t>2026-02-05</t>
        </is>
      </c>
      <c r="B1454" t="inlineStr">
        <is>
          <t>DB하이텍</t>
        </is>
      </c>
      <c r="C1454" t="inlineStr">
        <is>
          <t>000990</t>
        </is>
      </c>
      <c r="D1454" t="inlineStr">
        <is>
          <t>연결</t>
        </is>
      </c>
      <c r="E1454" t="inlineStr">
        <is>
          <t>2025Q4</t>
        </is>
      </c>
      <c r="F1454" s="2" t="n">
        <v>387797</v>
      </c>
      <c r="G1454" t="n">
        <v>3.51</v>
      </c>
      <c r="H1454" t="n">
        <v>36.79</v>
      </c>
      <c r="I1454" s="2" t="n">
        <v>70371</v>
      </c>
      <c r="J1454" t="n">
        <v>-12.67</v>
      </c>
      <c r="K1454" t="n">
        <v>99.39</v>
      </c>
      <c r="L1454" s="2" t="n">
        <v>53963</v>
      </c>
      <c r="M1454" t="n">
        <v>7.09</v>
      </c>
      <c r="N1454" t="inlineStr">
        <is>
          <t>20260205800042</t>
        </is>
      </c>
      <c r="O1454">
        <f>HYPERLINK("https://dart.fss.or.kr/dsaf001/main.do?rcpNo=20260205800042", "공시열람")</f>
        <v/>
      </c>
    </row>
    <row r="1455">
      <c r="A1455" t="inlineStr">
        <is>
          <t>2026-02-05</t>
        </is>
      </c>
      <c r="B1455" t="inlineStr">
        <is>
          <t>LG유플러스</t>
        </is>
      </c>
      <c r="C1455" t="inlineStr">
        <is>
          <t>032640</t>
        </is>
      </c>
      <c r="D1455" t="inlineStr">
        <is>
          <t>연결</t>
        </is>
      </c>
      <c r="E1455" t="inlineStr">
        <is>
          <t>2025Q4</t>
        </is>
      </c>
      <c r="F1455" s="2" t="n">
        <v>3848400</v>
      </c>
      <c r="G1455" t="n">
        <v>-4</v>
      </c>
      <c r="H1455" t="n">
        <v>2.5</v>
      </c>
      <c r="I1455" s="2" t="n">
        <v>170500</v>
      </c>
      <c r="J1455" t="n">
        <v>5.5</v>
      </c>
      <c r="K1455" t="n">
        <v>20</v>
      </c>
      <c r="L1455" s="2" t="n">
        <v>80600</v>
      </c>
      <c r="M1455" t="inlineStr"/>
      <c r="N1455" t="inlineStr">
        <is>
          <t>20260205800036</t>
        </is>
      </c>
      <c r="O1455">
        <f>HYPERLINK("https://dart.fss.or.kr/dsaf001/main.do?rcpNo=20260205800036", "공시열람")</f>
        <v/>
      </c>
    </row>
    <row r="1456">
      <c r="A1456" t="inlineStr">
        <is>
          <t>2026-02-05</t>
        </is>
      </c>
      <c r="B1456" t="inlineStr">
        <is>
          <t>셀트리온</t>
        </is>
      </c>
      <c r="C1456" t="inlineStr">
        <is>
          <t>068270</t>
        </is>
      </c>
      <c r="D1456" t="inlineStr">
        <is>
          <t>연결</t>
        </is>
      </c>
      <c r="E1456" t="inlineStr">
        <is>
          <t>2025Q4</t>
        </is>
      </c>
      <c r="F1456" s="2" t="n">
        <v>1330157</v>
      </c>
      <c r="G1456" t="n">
        <v>29.27</v>
      </c>
      <c r="H1456" t="n">
        <v>25.06</v>
      </c>
      <c r="I1456" s="2" t="n">
        <v>475172</v>
      </c>
      <c r="J1456" t="n">
        <v>57.65</v>
      </c>
      <c r="K1456" t="n">
        <v>141.94</v>
      </c>
      <c r="L1456" s="2" t="n">
        <v>527928</v>
      </c>
      <c r="M1456" t="n">
        <v>124.11</v>
      </c>
      <c r="N1456" t="inlineStr">
        <is>
          <t>20260205800031</t>
        </is>
      </c>
      <c r="O1456">
        <f>HYPERLINK("https://dart.fss.or.kr/dsaf001/main.do?rcpNo=20260205800031", "공시열람")</f>
        <v/>
      </c>
    </row>
    <row r="1457">
      <c r="A1457" t="inlineStr">
        <is>
          <t>2026-02-05</t>
        </is>
      </c>
      <c r="B1457" t="inlineStr">
        <is>
          <t>SKC</t>
        </is>
      </c>
      <c r="C1457" t="inlineStr">
        <is>
          <t>011790</t>
        </is>
      </c>
      <c r="D1457" t="inlineStr">
        <is>
          <t>연결</t>
        </is>
      </c>
      <c r="E1457" t="inlineStr">
        <is>
          <t>2025Q4</t>
        </is>
      </c>
      <c r="F1457" s="2" t="n">
        <v>428300</v>
      </c>
      <c r="G1457" t="n">
        <v>-15.4</v>
      </c>
      <c r="H1457" t="n">
        <v>0.8</v>
      </c>
      <c r="I1457" s="2" t="n">
        <v>-107600</v>
      </c>
      <c r="J1457" t="n">
        <v>-103.9</v>
      </c>
      <c r="K1457" t="n">
        <v>-30.8</v>
      </c>
      <c r="L1457" s="2" t="n">
        <v>-498600</v>
      </c>
      <c r="M1457" t="n">
        <v>-90.2</v>
      </c>
      <c r="N1457" t="inlineStr">
        <is>
          <t>20260205800294</t>
        </is>
      </c>
      <c r="O1457">
        <f>HYPERLINK("https://dart.fss.or.kr/dsaf001/main.do?rcpNo=20260205800294", "공시열람")</f>
        <v/>
      </c>
    </row>
    <row r="1458">
      <c r="A1458" t="inlineStr">
        <is>
          <t>2026-02-05</t>
        </is>
      </c>
      <c r="B1458" t="inlineStr">
        <is>
          <t>LG헬로비전</t>
        </is>
      </c>
      <c r="C1458" t="inlineStr">
        <is>
          <t>037560</t>
        </is>
      </c>
      <c r="D1458" t="inlineStr">
        <is>
          <t>연결</t>
        </is>
      </c>
      <c r="E1458" t="inlineStr">
        <is>
          <t>2025Q4</t>
        </is>
      </c>
      <c r="F1458" s="2" t="n">
        <v>299536</v>
      </c>
      <c r="G1458" t="n">
        <v>0.4</v>
      </c>
      <c r="H1458" t="n">
        <v>-7.1</v>
      </c>
      <c r="I1458" s="2" t="n">
        <v>-7855</v>
      </c>
      <c r="J1458" t="inlineStr"/>
      <c r="K1458" t="n">
        <v>-489.7</v>
      </c>
      <c r="L1458" s="2" t="n">
        <v>-10412</v>
      </c>
      <c r="M1458" t="n">
        <v>91</v>
      </c>
      <c r="N1458" t="inlineStr">
        <is>
          <t>20260205800004</t>
        </is>
      </c>
      <c r="O1458">
        <f>HYPERLINK("https://dart.fss.or.kr/dsaf001/main.do?rcpNo=20260205800004", "공시열람")</f>
        <v/>
      </c>
    </row>
    <row r="1459">
      <c r="A1459" t="inlineStr">
        <is>
          <t>2026-02-05</t>
        </is>
      </c>
      <c r="B1459" t="inlineStr">
        <is>
          <t>스튜디오드래곤</t>
        </is>
      </c>
      <c r="C1459" t="inlineStr">
        <is>
          <t>253450</t>
        </is>
      </c>
      <c r="D1459" t="inlineStr">
        <is>
          <t>연결</t>
        </is>
      </c>
      <c r="E1459" t="inlineStr">
        <is>
          <t>2025Q4</t>
        </is>
      </c>
      <c r="F1459" s="2" t="n">
        <v>145884</v>
      </c>
      <c r="G1459" t="n">
        <v>6.9</v>
      </c>
      <c r="H1459" t="n">
        <v>11.7</v>
      </c>
      <c r="I1459" s="2" t="n">
        <v>18532</v>
      </c>
      <c r="J1459" t="n">
        <v>77</v>
      </c>
      <c r="K1459" t="n">
        <v>246.3</v>
      </c>
      <c r="L1459" s="2" t="n">
        <v>2781</v>
      </c>
      <c r="M1459" t="n">
        <v>-75.3</v>
      </c>
      <c r="N1459" t="inlineStr">
        <is>
          <t>20260205900310</t>
        </is>
      </c>
      <c r="O1459">
        <f>HYPERLINK("https://dart.fss.or.kr/dsaf001/main.do?rcpNo=20260205900310", "공시열람")</f>
        <v/>
      </c>
    </row>
    <row r="1460">
      <c r="A1460" t="inlineStr">
        <is>
          <t>2026-02-05</t>
        </is>
      </c>
      <c r="B1460" t="inlineStr">
        <is>
          <t>CJ ENM</t>
        </is>
      </c>
      <c r="C1460" t="inlineStr">
        <is>
          <t>035760</t>
        </is>
      </c>
      <c r="D1460" t="inlineStr">
        <is>
          <t>연결</t>
        </is>
      </c>
      <c r="E1460" t="inlineStr">
        <is>
          <t>2025Q4</t>
        </is>
      </c>
      <c r="F1460" s="2" t="n">
        <v>1437757</v>
      </c>
      <c r="G1460" t="n">
        <v>15.4</v>
      </c>
      <c r="H1460" t="n">
        <v>-19.6</v>
      </c>
      <c r="I1460" s="2" t="n">
        <v>86002</v>
      </c>
      <c r="J1460" t="n">
        <v>389.5</v>
      </c>
      <c r="K1460" t="n">
        <v>109.8</v>
      </c>
      <c r="L1460" s="2" t="n">
        <v>-95184</v>
      </c>
      <c r="M1460" t="n">
        <v>-284</v>
      </c>
      <c r="N1460" t="inlineStr">
        <is>
          <t>20260205900293</t>
        </is>
      </c>
      <c r="O1460">
        <f>HYPERLINK("https://dart.fss.or.kr/dsaf001/main.do?rcpNo=20260205900293", "공시열람")</f>
        <v/>
      </c>
    </row>
    <row r="1461">
      <c r="A1461" t="inlineStr">
        <is>
          <t>2026-02-05</t>
        </is>
      </c>
      <c r="B1461" t="inlineStr">
        <is>
          <t>한화솔루션</t>
        </is>
      </c>
      <c r="C1461" t="inlineStr">
        <is>
          <t>009830</t>
        </is>
      </c>
      <c r="D1461" t="inlineStr">
        <is>
          <t>연결</t>
        </is>
      </c>
      <c r="E1461" t="inlineStr">
        <is>
          <t>2025Q4</t>
        </is>
      </c>
      <c r="F1461" s="2" t="n">
        <v>3778346</v>
      </c>
      <c r="G1461" t="n">
        <v>12.31</v>
      </c>
      <c r="H1461" t="n">
        <v>-18.62</v>
      </c>
      <c r="I1461" s="2" t="n">
        <v>-478245</v>
      </c>
      <c r="J1461" t="n">
        <v>-6347.36</v>
      </c>
      <c r="K1461" t="inlineStr"/>
      <c r="L1461" s="2" t="n">
        <v>-404774</v>
      </c>
      <c r="M1461" t="n">
        <v>-98.8</v>
      </c>
      <c r="N1461" t="inlineStr">
        <is>
          <t>20260205800337</t>
        </is>
      </c>
      <c r="O1461">
        <f>HYPERLINK("https://dart.fss.or.kr/dsaf001/main.do?rcpNo=20260205800337", "공시열람")</f>
        <v/>
      </c>
    </row>
    <row r="1462">
      <c r="A1462" t="inlineStr">
        <is>
          <t>2026-02-05</t>
        </is>
      </c>
      <c r="B1462" t="inlineStr">
        <is>
          <t>HD현대에너지솔루션</t>
        </is>
      </c>
      <c r="C1462" t="inlineStr">
        <is>
          <t>322000</t>
        </is>
      </c>
      <c r="D1462" t="inlineStr">
        <is>
          <t>연결</t>
        </is>
      </c>
      <c r="E1462" t="inlineStr">
        <is>
          <t>2025Q4</t>
        </is>
      </c>
      <c r="F1462" s="2" t="n">
        <v>152645</v>
      </c>
      <c r="G1462" t="n">
        <v>26.1</v>
      </c>
      <c r="H1462" t="n">
        <v>37.1</v>
      </c>
      <c r="I1462" s="2" t="n">
        <v>14521</v>
      </c>
      <c r="J1462" t="n">
        <v>-1</v>
      </c>
      <c r="K1462" t="n">
        <v>126.4</v>
      </c>
      <c r="L1462" s="2" t="n">
        <v>19394</v>
      </c>
      <c r="M1462" t="n">
        <v>129.9</v>
      </c>
      <c r="N1462" t="inlineStr">
        <is>
          <t>20260205800357</t>
        </is>
      </c>
      <c r="O1462">
        <f>HYPERLINK("https://dart.fss.or.kr/dsaf001/main.do?rcpNo=20260205800357", "공시열람")</f>
        <v/>
      </c>
    </row>
    <row r="1463">
      <c r="A1463" t="inlineStr">
        <is>
          <t>2026-02-05</t>
        </is>
      </c>
      <c r="B1463" t="inlineStr">
        <is>
          <t>LX세미콘</t>
        </is>
      </c>
      <c r="C1463" t="inlineStr">
        <is>
          <t>108320</t>
        </is>
      </c>
      <c r="D1463" t="inlineStr">
        <is>
          <t>연결</t>
        </is>
      </c>
      <c r="E1463" t="inlineStr">
        <is>
          <t>2025Q4</t>
        </is>
      </c>
      <c r="F1463" s="2" t="n">
        <v>389832</v>
      </c>
      <c r="G1463" t="n">
        <v>-1.2</v>
      </c>
      <c r="H1463" t="n">
        <v>-22.4</v>
      </c>
      <c r="I1463" s="2" t="n">
        <v>24906</v>
      </c>
      <c r="J1463" t="n">
        <v>77.5</v>
      </c>
      <c r="K1463" t="n">
        <v>-18.4</v>
      </c>
      <c r="L1463" s="2" t="n">
        <v>18867</v>
      </c>
      <c r="M1463" t="n">
        <v>-9.199999999999999</v>
      </c>
      <c r="N1463" t="inlineStr">
        <is>
          <t>20260205800365</t>
        </is>
      </c>
      <c r="O1463">
        <f>HYPERLINK("https://dart.fss.or.kr/dsaf001/main.do?rcpNo=20260205800365", "공시열람")</f>
        <v/>
      </c>
    </row>
    <row r="1464">
      <c r="A1464" t="inlineStr">
        <is>
          <t>2026-02-05</t>
        </is>
      </c>
      <c r="B1464" t="inlineStr">
        <is>
          <t>CJ프레시웨이</t>
        </is>
      </c>
      <c r="C1464" t="inlineStr">
        <is>
          <t>051500</t>
        </is>
      </c>
      <c r="D1464" t="inlineStr">
        <is>
          <t>연결</t>
        </is>
      </c>
      <c r="E1464" t="inlineStr">
        <is>
          <t>2025Q4</t>
        </is>
      </c>
      <c r="F1464" s="2" t="n">
        <v>897967</v>
      </c>
      <c r="G1464" t="n">
        <v>-0.4</v>
      </c>
      <c r="H1464" t="n">
        <v>5.6</v>
      </c>
      <c r="I1464" s="2" t="n">
        <v>29953</v>
      </c>
      <c r="J1464" t="n">
        <v>-10.9</v>
      </c>
      <c r="K1464" t="n">
        <v>19</v>
      </c>
      <c r="L1464" s="2" t="n">
        <v>10250</v>
      </c>
      <c r="M1464" t="n">
        <v>-43.1</v>
      </c>
      <c r="N1464" t="inlineStr">
        <is>
          <t>20260205900432</t>
        </is>
      </c>
      <c r="O1464">
        <f>HYPERLINK("https://dart.fss.or.kr/dsaf001/main.do?rcpNo=20260205900432", "공시열람")</f>
        <v/>
      </c>
    </row>
    <row r="1465">
      <c r="A1465" t="inlineStr">
        <is>
          <t>2026-02-05</t>
        </is>
      </c>
      <c r="B1465" t="inlineStr">
        <is>
          <t>에코프로</t>
        </is>
      </c>
      <c r="C1465" t="inlineStr">
        <is>
          <t>086520</t>
        </is>
      </c>
      <c r="D1465" t="inlineStr">
        <is>
          <t>연결</t>
        </is>
      </c>
      <c r="E1465" t="inlineStr">
        <is>
          <t>2025Q4</t>
        </is>
      </c>
      <c r="F1465" s="2" t="n">
        <v>733632</v>
      </c>
      <c r="G1465" t="n">
        <v>-23.5</v>
      </c>
      <c r="H1465" t="n">
        <v>13.1</v>
      </c>
      <c r="I1465" s="2" t="n">
        <v>66216</v>
      </c>
      <c r="J1465" t="n">
        <v>-55.7</v>
      </c>
      <c r="K1465" t="inlineStr"/>
      <c r="L1465" s="2" t="n">
        <v>-349559</v>
      </c>
      <c r="M1465" t="n">
        <v>-307.8</v>
      </c>
      <c r="N1465" t="inlineStr">
        <is>
          <t>20260205900472</t>
        </is>
      </c>
      <c r="O1465">
        <f>HYPERLINK("https://dart.fss.or.kr/dsaf001/main.do?rcpNo=20260205900472", "공시열람")</f>
        <v/>
      </c>
    </row>
    <row r="1466">
      <c r="A1466" t="inlineStr">
        <is>
          <t>2026-02-05</t>
        </is>
      </c>
      <c r="B1466" t="inlineStr">
        <is>
          <t>에코프로에이치엔</t>
        </is>
      </c>
      <c r="C1466" t="inlineStr">
        <is>
          <t>383310</t>
        </is>
      </c>
      <c r="D1466" t="inlineStr">
        <is>
          <t>연결</t>
        </is>
      </c>
      <c r="E1466" t="inlineStr">
        <is>
          <t>2025Q4</t>
        </is>
      </c>
      <c r="F1466" s="2" t="n">
        <v>39225</v>
      </c>
      <c r="G1466" t="n">
        <v>38.1</v>
      </c>
      <c r="H1466" t="n">
        <v>-51</v>
      </c>
      <c r="I1466" s="2" t="n">
        <v>2308</v>
      </c>
      <c r="J1466" t="n">
        <v>-1.1</v>
      </c>
      <c r="K1466" t="n">
        <v>-69.7</v>
      </c>
      <c r="L1466" s="2" t="n">
        <v>3125</v>
      </c>
      <c r="M1466" t="n">
        <v>-55.1</v>
      </c>
      <c r="N1466" t="inlineStr">
        <is>
          <t>20260205900484</t>
        </is>
      </c>
      <c r="O1466">
        <f>HYPERLINK("https://dart.fss.or.kr/dsaf001/main.do?rcpNo=20260205900484", "공시열람")</f>
        <v/>
      </c>
    </row>
    <row r="1467">
      <c r="A1467" t="inlineStr">
        <is>
          <t>2026-02-05</t>
        </is>
      </c>
      <c r="B1467" t="inlineStr">
        <is>
          <t>DL</t>
        </is>
      </c>
      <c r="C1467" t="inlineStr">
        <is>
          <t>000210</t>
        </is>
      </c>
      <c r="D1467" t="inlineStr">
        <is>
          <t>연결</t>
        </is>
      </c>
      <c r="E1467" t="inlineStr">
        <is>
          <t>2025Q4</t>
        </is>
      </c>
      <c r="F1467" s="2" t="n">
        <v>1230442</v>
      </c>
      <c r="G1467" t="n">
        <v>-11.35</v>
      </c>
      <c r="H1467" t="n">
        <v>-5.12</v>
      </c>
      <c r="I1467" s="2" t="n">
        <v>11068</v>
      </c>
      <c r="J1467" t="n">
        <v>-89.88</v>
      </c>
      <c r="K1467" t="inlineStr"/>
      <c r="L1467" s="2" t="n">
        <v>-12895</v>
      </c>
      <c r="M1467" t="inlineStr"/>
      <c r="N1467" t="inlineStr">
        <is>
          <t>20260205800539</t>
        </is>
      </c>
      <c r="O1467">
        <f>HYPERLINK("https://dart.fss.or.kr/dsaf001/main.do?rcpNo=20260205800539", "공시열람")</f>
        <v/>
      </c>
    </row>
    <row r="1468">
      <c r="A1468" t="inlineStr">
        <is>
          <t>2026-02-05</t>
        </is>
      </c>
      <c r="B1468" t="inlineStr">
        <is>
          <t>한국항공우주</t>
        </is>
      </c>
      <c r="C1468" t="inlineStr">
        <is>
          <t>047810</t>
        </is>
      </c>
      <c r="D1468" t="inlineStr">
        <is>
          <t>연결</t>
        </is>
      </c>
      <c r="E1468" t="inlineStr">
        <is>
          <t>2025Q4</t>
        </is>
      </c>
      <c r="F1468" s="2" t="n">
        <v>1466700</v>
      </c>
      <c r="G1468" t="n">
        <v>108.9</v>
      </c>
      <c r="H1468" t="n">
        <v>34</v>
      </c>
      <c r="I1468" s="2" t="n">
        <v>77000</v>
      </c>
      <c r="J1468" t="n">
        <v>27.9</v>
      </c>
      <c r="K1468" t="n">
        <v>82.7</v>
      </c>
      <c r="L1468" s="2" t="n">
        <v>62100</v>
      </c>
      <c r="M1468" t="n">
        <v>402.1</v>
      </c>
      <c r="N1468" t="inlineStr">
        <is>
          <t>20260205800530</t>
        </is>
      </c>
      <c r="O1468">
        <f>HYPERLINK("https://dart.fss.or.kr/dsaf001/main.do?rcpNo=20260205800530", "공시열람")</f>
        <v/>
      </c>
    </row>
    <row r="1469">
      <c r="A1469" t="inlineStr">
        <is>
          <t>2026-02-05</t>
        </is>
      </c>
      <c r="B1469" t="inlineStr">
        <is>
          <t>넷마블</t>
        </is>
      </c>
      <c r="C1469" t="inlineStr">
        <is>
          <t>251270</t>
        </is>
      </c>
      <c r="D1469" t="inlineStr">
        <is>
          <t>연결</t>
        </is>
      </c>
      <c r="E1469" t="inlineStr">
        <is>
          <t>2025Q4</t>
        </is>
      </c>
      <c r="F1469" s="2" t="n">
        <v>797600</v>
      </c>
      <c r="G1469" t="n">
        <v>14.6</v>
      </c>
      <c r="H1469" t="n">
        <v>22.9</v>
      </c>
      <c r="I1469" s="2" t="n">
        <v>110800</v>
      </c>
      <c r="J1469" t="n">
        <v>21.9</v>
      </c>
      <c r="K1469" t="n">
        <v>214.8</v>
      </c>
      <c r="L1469" s="2" t="n">
        <v>-35900</v>
      </c>
      <c r="M1469" t="n">
        <v>78.90000000000001</v>
      </c>
      <c r="N1469" t="inlineStr">
        <is>
          <t>20260205800561</t>
        </is>
      </c>
      <c r="O1469">
        <f>HYPERLINK("https://dart.fss.or.kr/dsaf001/main.do?rcpNo=20260205800561", "공시열람")</f>
        <v/>
      </c>
    </row>
    <row r="1470">
      <c r="A1470" t="inlineStr">
        <is>
          <t>2026-02-05</t>
        </is>
      </c>
      <c r="B1470" t="inlineStr">
        <is>
          <t>SK텔레콤</t>
        </is>
      </c>
      <c r="C1470" t="inlineStr">
        <is>
          <t>017670</t>
        </is>
      </c>
      <c r="D1470" t="inlineStr">
        <is>
          <t>별도</t>
        </is>
      </c>
      <c r="E1470" t="inlineStr">
        <is>
          <t>2025Q4</t>
        </is>
      </c>
      <c r="F1470" s="2" t="n">
        <v>3083700</v>
      </c>
      <c r="G1470" t="n">
        <v>15.72</v>
      </c>
      <c r="H1470" t="n">
        <v>-3.35</v>
      </c>
      <c r="I1470" s="2" t="n">
        <v>130800</v>
      </c>
      <c r="J1470" t="inlineStr"/>
      <c r="K1470" t="n">
        <v>-27.09</v>
      </c>
      <c r="L1470" s="2" t="n">
        <v>106000</v>
      </c>
      <c r="M1470" t="n">
        <v>-62.91</v>
      </c>
      <c r="N1470" t="inlineStr">
        <is>
          <t>20260205800564</t>
        </is>
      </c>
      <c r="O1470">
        <f>HYPERLINK("https://dart.fss.or.kr/dsaf001/main.do?rcpNo=20260205800564", "공시열람")</f>
        <v/>
      </c>
    </row>
    <row r="1471">
      <c r="A1471" t="inlineStr">
        <is>
          <t>2026-02-04</t>
        </is>
      </c>
      <c r="B1471" t="inlineStr">
        <is>
          <t>HD현대마린솔루션</t>
        </is>
      </c>
      <c r="C1471" t="inlineStr">
        <is>
          <t>443060</t>
        </is>
      </c>
      <c r="D1471" t="inlineStr">
        <is>
          <t>연결</t>
        </is>
      </c>
      <c r="E1471" t="inlineStr">
        <is>
          <t>2025Q4</t>
        </is>
      </c>
      <c r="F1471" s="2" t="n">
        <v>516200</v>
      </c>
      <c r="G1471" t="n">
        <v>0.6</v>
      </c>
      <c r="H1471" t="n">
        <v>11.4</v>
      </c>
      <c r="I1471" s="2" t="n">
        <v>90500</v>
      </c>
      <c r="J1471" t="n">
        <v>-3.3</v>
      </c>
      <c r="K1471" t="n">
        <v>37.3</v>
      </c>
      <c r="L1471" s="2" t="n">
        <v>73500</v>
      </c>
      <c r="M1471" t="n">
        <v>7.5</v>
      </c>
      <c r="N1471" t="inlineStr">
        <is>
          <t>20260204800610</t>
        </is>
      </c>
      <c r="O1471">
        <f>HYPERLINK("https://dart.fss.or.kr/dsaf001/main.do?rcpNo=20260204800610", "공시열람")</f>
        <v/>
      </c>
    </row>
    <row r="1472">
      <c r="A1472" t="inlineStr">
        <is>
          <t>2026-02-04</t>
        </is>
      </c>
      <c r="B1472" t="inlineStr">
        <is>
          <t>키움증권</t>
        </is>
      </c>
      <c r="C1472" t="inlineStr">
        <is>
          <t>039490</t>
        </is>
      </c>
      <c r="D1472" t="inlineStr">
        <is>
          <t>연결</t>
        </is>
      </c>
      <c r="E1472" t="inlineStr">
        <is>
          <t>2025Q4</t>
        </is>
      </c>
      <c r="F1472" s="2" t="n">
        <v>5586235</v>
      </c>
      <c r="G1472" t="n">
        <v>65.77</v>
      </c>
      <c r="H1472" t="n">
        <v>53.4</v>
      </c>
      <c r="I1472" s="2" t="n">
        <v>345606</v>
      </c>
      <c r="J1472" t="n">
        <v>-15.48</v>
      </c>
      <c r="K1472" t="n">
        <v>91.75</v>
      </c>
      <c r="L1472" s="2" t="n">
        <v>246859</v>
      </c>
      <c r="M1472" t="n">
        <v>68.77</v>
      </c>
      <c r="N1472" t="inlineStr">
        <is>
          <t>20260204800020</t>
        </is>
      </c>
      <c r="O1472">
        <f>HYPERLINK("https://dart.fss.or.kr/dsaf001/main.do?rcpNo=20260204800020", "공시열람")</f>
        <v/>
      </c>
    </row>
    <row r="1473">
      <c r="A1473" t="inlineStr">
        <is>
          <t>2026-02-04</t>
        </is>
      </c>
      <c r="B1473" t="inlineStr">
        <is>
          <t>한국타이어앤테크놀로지</t>
        </is>
      </c>
      <c r="C1473" t="inlineStr">
        <is>
          <t>161390</t>
        </is>
      </c>
      <c r="D1473" t="inlineStr">
        <is>
          <t>연결</t>
        </is>
      </c>
      <c r="E1473" t="inlineStr">
        <is>
          <t>2025Q4</t>
        </is>
      </c>
      <c r="F1473" s="2" t="n">
        <v>5456246</v>
      </c>
      <c r="G1473" t="n">
        <v>0.8</v>
      </c>
      <c r="H1473" t="n">
        <v>115.5</v>
      </c>
      <c r="I1473" s="2" t="n">
        <v>548297</v>
      </c>
      <c r="J1473" t="n">
        <v>-6.4</v>
      </c>
      <c r="K1473" t="n">
        <v>15.9</v>
      </c>
      <c r="L1473" s="2" t="n">
        <v>107515</v>
      </c>
      <c r="M1473" t="n">
        <v>73.7</v>
      </c>
      <c r="N1473" t="inlineStr">
        <is>
          <t>20260204800517</t>
        </is>
      </c>
      <c r="O1473">
        <f>HYPERLINK("https://dart.fss.or.kr/dsaf001/main.do?rcpNo=20260204800517", "공시열람")</f>
        <v/>
      </c>
    </row>
    <row r="1474">
      <c r="A1474" t="inlineStr">
        <is>
          <t>2026-02-04</t>
        </is>
      </c>
      <c r="B1474" t="inlineStr">
        <is>
          <t>SK리츠</t>
        </is>
      </c>
      <c r="C1474" t="inlineStr">
        <is>
          <t>395400</t>
        </is>
      </c>
      <c r="D1474" t="inlineStr">
        <is>
          <t>별도</t>
        </is>
      </c>
      <c r="E1474" t="inlineStr">
        <is>
          <t>2025Q4</t>
        </is>
      </c>
      <c r="F1474" s="2" t="n">
        <v>44158</v>
      </c>
      <c r="G1474" t="n">
        <v>27.7</v>
      </c>
      <c r="H1474" t="n">
        <v>52.6</v>
      </c>
      <c r="I1474" s="2" t="n">
        <v>42066</v>
      </c>
      <c r="J1474" t="n">
        <v>28.8</v>
      </c>
      <c r="K1474" t="n">
        <v>74.90000000000001</v>
      </c>
      <c r="L1474" s="2" t="n">
        <v>27372</v>
      </c>
      <c r="M1474" t="n">
        <v>241.3</v>
      </c>
      <c r="N1474" t="inlineStr">
        <is>
          <t>20260204801001</t>
        </is>
      </c>
      <c r="O1474">
        <f>HYPERLINK("https://dart.fss.or.kr/dsaf001/main.do?rcpNo=20260204801001", "공시열람")</f>
        <v/>
      </c>
    </row>
    <row r="1475">
      <c r="A1475" t="inlineStr">
        <is>
          <t>2026-02-04</t>
        </is>
      </c>
      <c r="B1475" t="inlineStr">
        <is>
          <t>카카오뱅크</t>
        </is>
      </c>
      <c r="C1475" t="inlineStr">
        <is>
          <t>323410</t>
        </is>
      </c>
      <c r="D1475" t="inlineStr">
        <is>
          <t>별도</t>
        </is>
      </c>
      <c r="E1475" t="inlineStr">
        <is>
          <t>2025Q4</t>
        </is>
      </c>
      <c r="F1475" s="2" t="n">
        <v>759038</v>
      </c>
      <c r="G1475" t="n">
        <v>-0.73</v>
      </c>
      <c r="H1475" t="n">
        <v>1.57</v>
      </c>
      <c r="I1475" s="2" t="n">
        <v>145086</v>
      </c>
      <c r="J1475" t="n">
        <v>-3.99</v>
      </c>
      <c r="K1475" t="n">
        <v>26.19</v>
      </c>
      <c r="L1475" s="2" t="n">
        <v>105207</v>
      </c>
      <c r="M1475" t="n">
        <v>24.57</v>
      </c>
      <c r="N1475" t="inlineStr">
        <is>
          <t>20260204800004</t>
        </is>
      </c>
      <c r="O1475">
        <f>HYPERLINK("https://dart.fss.or.kr/dsaf001/main.do?rcpNo=20260204800004", "공시열람")</f>
        <v/>
      </c>
    </row>
    <row r="1476">
      <c r="A1476" t="inlineStr">
        <is>
          <t>2026-02-04</t>
        </is>
      </c>
      <c r="B1476" t="inlineStr">
        <is>
          <t>미스토홀딩스</t>
        </is>
      </c>
      <c r="C1476" t="inlineStr">
        <is>
          <t>081660</t>
        </is>
      </c>
      <c r="D1476" t="inlineStr">
        <is>
          <t>별도</t>
        </is>
      </c>
      <c r="E1476" t="inlineStr">
        <is>
          <t>2025Q4</t>
        </is>
      </c>
      <c r="F1476" s="2" t="n">
        <v>343428</v>
      </c>
      <c r="G1476" t="n">
        <v>110.8</v>
      </c>
      <c r="H1476" t="inlineStr"/>
      <c r="I1476" s="2" t="n">
        <v>311662</v>
      </c>
      <c r="J1476" t="n">
        <v>126.9</v>
      </c>
      <c r="K1476" t="inlineStr"/>
      <c r="L1476" s="2" t="n">
        <v>312745</v>
      </c>
      <c r="M1476" t="inlineStr"/>
      <c r="N1476" t="inlineStr">
        <is>
          <t>20260204800971</t>
        </is>
      </c>
      <c r="O1476">
        <f>HYPERLINK("https://dart.fss.or.kr/dsaf001/main.do?rcpNo=20260204800971", "공시열람")</f>
        <v/>
      </c>
    </row>
    <row r="1477">
      <c r="A1477" t="inlineStr">
        <is>
          <t>2026-02-04</t>
        </is>
      </c>
      <c r="B1477" t="inlineStr">
        <is>
          <t>HDC</t>
        </is>
      </c>
      <c r="C1477" t="inlineStr">
        <is>
          <t>012630</t>
        </is>
      </c>
      <c r="D1477" t="inlineStr">
        <is>
          <t>연결</t>
        </is>
      </c>
      <c r="E1477" t="inlineStr">
        <is>
          <t>2025Q4</t>
        </is>
      </c>
      <c r="F1477" s="2" t="n">
        <v>1395736</v>
      </c>
      <c r="G1477" t="n">
        <v>-23.4</v>
      </c>
      <c r="H1477" t="n">
        <v>-18.9</v>
      </c>
      <c r="I1477" s="2" t="n">
        <v>124851</v>
      </c>
      <c r="J1477" t="n">
        <v>-36.4</v>
      </c>
      <c r="K1477" t="n">
        <v>35.7</v>
      </c>
      <c r="L1477" s="2" t="n">
        <v>97610</v>
      </c>
      <c r="M1477" t="n">
        <v>10.1</v>
      </c>
      <c r="N1477" t="inlineStr">
        <is>
          <t>20260204801114</t>
        </is>
      </c>
      <c r="O1477">
        <f>HYPERLINK("https://dart.fss.or.kr/dsaf001/main.do?rcpNo=20260204801114", "공시열람")</f>
        <v/>
      </c>
    </row>
    <row r="1478">
      <c r="A1478" t="inlineStr">
        <is>
          <t>2026-02-04</t>
        </is>
      </c>
      <c r="B1478" t="inlineStr">
        <is>
          <t>풍산홀딩스</t>
        </is>
      </c>
      <c r="C1478" t="inlineStr">
        <is>
          <t>005810</t>
        </is>
      </c>
      <c r="D1478" t="inlineStr">
        <is>
          <t>연결</t>
        </is>
      </c>
      <c r="E1478" t="inlineStr">
        <is>
          <t>2025Q4</t>
        </is>
      </c>
      <c r="F1478" s="2" t="n">
        <v>109459</v>
      </c>
      <c r="G1478" t="n">
        <v>6.4</v>
      </c>
      <c r="H1478" t="n">
        <v>-9.9</v>
      </c>
      <c r="I1478" s="2" t="n">
        <v>3837</v>
      </c>
      <c r="J1478" t="n">
        <v>-78.3</v>
      </c>
      <c r="K1478" t="n">
        <v>-76.59999999999999</v>
      </c>
      <c r="L1478" s="2" t="n">
        <v>17037</v>
      </c>
      <c r="M1478" t="n">
        <v>-4.6</v>
      </c>
      <c r="N1478" t="inlineStr">
        <is>
          <t>20260204800582</t>
        </is>
      </c>
      <c r="O1478">
        <f>HYPERLINK("https://dart.fss.or.kr/dsaf001/main.do?rcpNo=20260204800582", "공시열람")</f>
        <v/>
      </c>
    </row>
    <row r="1479">
      <c r="A1479" t="inlineStr">
        <is>
          <t>2026-02-04</t>
        </is>
      </c>
      <c r="B1479" t="inlineStr">
        <is>
          <t>현대건설</t>
        </is>
      </c>
      <c r="C1479" t="inlineStr">
        <is>
          <t>000720</t>
        </is>
      </c>
      <c r="D1479" t="inlineStr">
        <is>
          <t>연결</t>
        </is>
      </c>
      <c r="E1479" t="inlineStr">
        <is>
          <t>2025Q4</t>
        </is>
      </c>
      <c r="F1479" s="2" t="n">
        <v>8060100</v>
      </c>
      <c r="G1479" t="n">
        <v>3</v>
      </c>
      <c r="H1479" t="n">
        <v>11.2</v>
      </c>
      <c r="I1479" s="2" t="n">
        <v>118800</v>
      </c>
      <c r="J1479" t="n">
        <v>14.7</v>
      </c>
      <c r="K1479" t="inlineStr"/>
      <c r="L1479" s="2" t="n">
        <v>165900</v>
      </c>
      <c r="M1479" t="inlineStr"/>
      <c r="N1479" t="inlineStr">
        <is>
          <t>20260204800840</t>
        </is>
      </c>
      <c r="O1479">
        <f>HYPERLINK("https://dart.fss.or.kr/dsaf001/main.do?rcpNo=20260204800840", "공시열람")</f>
        <v/>
      </c>
    </row>
    <row r="1480">
      <c r="A1480" t="inlineStr">
        <is>
          <t>2026-02-04</t>
        </is>
      </c>
      <c r="B1480" t="inlineStr">
        <is>
          <t>HS애드</t>
        </is>
      </c>
      <c r="C1480" t="inlineStr">
        <is>
          <t>035000</t>
        </is>
      </c>
      <c r="D1480" t="inlineStr">
        <is>
          <t>연결</t>
        </is>
      </c>
      <c r="E1480" t="inlineStr">
        <is>
          <t>2025Q4</t>
        </is>
      </c>
      <c r="F1480" s="2" t="n">
        <v>211890</v>
      </c>
      <c r="G1480" t="n">
        <v>129.83</v>
      </c>
      <c r="H1480" t="n">
        <v>-6.73</v>
      </c>
      <c r="I1480" s="2" t="n">
        <v>31344</v>
      </c>
      <c r="J1480" t="n">
        <v>501.74</v>
      </c>
      <c r="K1480" t="n">
        <v>34.14</v>
      </c>
      <c r="L1480" s="2" t="n">
        <v>22333</v>
      </c>
      <c r="M1480" t="n">
        <v>25.21</v>
      </c>
      <c r="N1480" t="inlineStr">
        <is>
          <t>20260204800779</t>
        </is>
      </c>
      <c r="O1480">
        <f>HYPERLINK("https://dart.fss.or.kr/dsaf001/main.do?rcpNo=20260204800779", "공시열람")</f>
        <v/>
      </c>
    </row>
    <row r="1481">
      <c r="A1481" t="inlineStr">
        <is>
          <t>2026-02-04</t>
        </is>
      </c>
      <c r="B1481" t="inlineStr">
        <is>
          <t>제이브이엠</t>
        </is>
      </c>
      <c r="C1481" t="inlineStr">
        <is>
          <t>054950</t>
        </is>
      </c>
      <c r="D1481" t="inlineStr">
        <is>
          <t>연결</t>
        </is>
      </c>
      <c r="E1481" t="inlineStr">
        <is>
          <t>2025Q4</t>
        </is>
      </c>
      <c r="F1481" s="2" t="n">
        <v>43067</v>
      </c>
      <c r="G1481" t="n">
        <v>8.5</v>
      </c>
      <c r="H1481" t="n">
        <v>-2.5</v>
      </c>
      <c r="I1481" s="2" t="n">
        <v>5912</v>
      </c>
      <c r="J1481" t="n">
        <v>-22.2</v>
      </c>
      <c r="K1481" t="n">
        <v>-35.2</v>
      </c>
      <c r="L1481" s="2" t="n">
        <v>5275</v>
      </c>
      <c r="M1481" t="n">
        <v>-31</v>
      </c>
      <c r="N1481" t="inlineStr">
        <is>
          <t>20260204900695</t>
        </is>
      </c>
      <c r="O1481">
        <f>HYPERLINK("https://dart.fss.or.kr/dsaf001/main.do?rcpNo=20260204900695", "공시열람")</f>
        <v/>
      </c>
    </row>
    <row r="1482">
      <c r="A1482" t="inlineStr">
        <is>
          <t>2026-02-04</t>
        </is>
      </c>
      <c r="B1482" t="inlineStr">
        <is>
          <t>풍산홀딩스</t>
        </is>
      </c>
      <c r="C1482" t="inlineStr">
        <is>
          <t>005810</t>
        </is>
      </c>
      <c r="D1482" t="inlineStr">
        <is>
          <t>별도</t>
        </is>
      </c>
      <c r="E1482" t="inlineStr">
        <is>
          <t>2025Q4</t>
        </is>
      </c>
      <c r="F1482" s="2" t="n">
        <v>54232</v>
      </c>
      <c r="G1482" t="n">
        <v>45.8</v>
      </c>
      <c r="H1482" t="n">
        <v>13</v>
      </c>
      <c r="I1482" s="2" t="n">
        <v>2668</v>
      </c>
      <c r="J1482" t="n">
        <v>-41.2</v>
      </c>
      <c r="K1482" t="n">
        <v>-7</v>
      </c>
      <c r="L1482" s="2" t="n">
        <v>3106</v>
      </c>
      <c r="M1482" t="n">
        <v>-0.3</v>
      </c>
      <c r="N1482" t="inlineStr">
        <is>
          <t>20260204800532</t>
        </is>
      </c>
      <c r="O1482">
        <f>HYPERLINK("https://dart.fss.or.kr/dsaf001/main.do?rcpNo=20260204800532", "공시열람")</f>
        <v/>
      </c>
    </row>
    <row r="1483">
      <c r="A1483" t="inlineStr">
        <is>
          <t>2026-02-04</t>
        </is>
      </c>
      <c r="B1483" t="inlineStr">
        <is>
          <t>GS피앤엘</t>
        </is>
      </c>
      <c r="C1483" t="inlineStr">
        <is>
          <t>499790</t>
        </is>
      </c>
      <c r="D1483" t="inlineStr">
        <is>
          <t>연결</t>
        </is>
      </c>
      <c r="E1483" t="inlineStr">
        <is>
          <t>2025Q4</t>
        </is>
      </c>
      <c r="F1483" s="2" t="n">
        <v>153100</v>
      </c>
      <c r="G1483" t="n">
        <v>25.5</v>
      </c>
      <c r="H1483" t="n">
        <v>299.5</v>
      </c>
      <c r="I1483" s="2" t="n">
        <v>31314</v>
      </c>
      <c r="J1483" t="n">
        <v>57.1</v>
      </c>
      <c r="K1483" t="inlineStr"/>
      <c r="L1483" s="2" t="n">
        <v>2809</v>
      </c>
      <c r="M1483" t="inlineStr"/>
      <c r="N1483" t="inlineStr">
        <is>
          <t>20260204800670</t>
        </is>
      </c>
      <c r="O1483">
        <f>HYPERLINK("https://dart.fss.or.kr/dsaf001/main.do?rcpNo=20260204800670", "공시열람")</f>
        <v/>
      </c>
    </row>
    <row r="1484">
      <c r="A1484" t="inlineStr">
        <is>
          <t>2026-02-04</t>
        </is>
      </c>
      <c r="B1484" t="inlineStr">
        <is>
          <t>롯데케미칼</t>
        </is>
      </c>
      <c r="C1484" t="inlineStr">
        <is>
          <t>011170</t>
        </is>
      </c>
      <c r="D1484" t="inlineStr">
        <is>
          <t>연결</t>
        </is>
      </c>
      <c r="E1484" t="inlineStr">
        <is>
          <t>2025Q4</t>
        </is>
      </c>
      <c r="F1484" s="2" t="n">
        <v>4709943</v>
      </c>
      <c r="G1484" t="n">
        <v>-1.6</v>
      </c>
      <c r="H1484" t="n">
        <v>-1.7</v>
      </c>
      <c r="I1484" s="2" t="n">
        <v>-433911</v>
      </c>
      <c r="J1484" t="n">
        <v>-227.3</v>
      </c>
      <c r="K1484" t="n">
        <v>-85.7</v>
      </c>
      <c r="L1484" s="2" t="n">
        <v>-1608954</v>
      </c>
      <c r="M1484" t="n">
        <v>-40.6</v>
      </c>
      <c r="N1484" t="inlineStr">
        <is>
          <t>20260204800648</t>
        </is>
      </c>
      <c r="O1484">
        <f>HYPERLINK("https://dart.fss.or.kr/dsaf001/main.do?rcpNo=20260204800648", "공시열람")</f>
        <v/>
      </c>
    </row>
    <row r="1485">
      <c r="A1485" t="inlineStr">
        <is>
          <t>2026-02-04</t>
        </is>
      </c>
      <c r="B1485" t="inlineStr">
        <is>
          <t>롯데하이마트</t>
        </is>
      </c>
      <c r="C1485" t="inlineStr">
        <is>
          <t>071840</t>
        </is>
      </c>
      <c r="D1485" t="inlineStr">
        <is>
          <t>별도</t>
        </is>
      </c>
      <c r="E1485" t="inlineStr">
        <is>
          <t>2025Q4</t>
        </is>
      </c>
      <c r="F1485" s="2" t="n">
        <v>524404</v>
      </c>
      <c r="G1485" t="n">
        <v>-19.6</v>
      </c>
      <c r="H1485" t="n">
        <v>-5.7</v>
      </c>
      <c r="I1485" s="2" t="n">
        <v>-8739</v>
      </c>
      <c r="J1485" t="inlineStr"/>
      <c r="K1485" t="n">
        <v>46.2</v>
      </c>
      <c r="L1485" s="2" t="n">
        <v>-13921</v>
      </c>
      <c r="M1485" t="n">
        <v>95.59999999999999</v>
      </c>
      <c r="N1485" t="inlineStr">
        <is>
          <t>20260204800630</t>
        </is>
      </c>
      <c r="O1485">
        <f>HYPERLINK("https://dart.fss.or.kr/dsaf001/main.do?rcpNo=20260204800630", "공시열람")</f>
        <v/>
      </c>
    </row>
    <row r="1486">
      <c r="A1486" t="inlineStr">
        <is>
          <t>2026-02-04</t>
        </is>
      </c>
      <c r="B1486" t="inlineStr">
        <is>
          <t>GS리테일</t>
        </is>
      </c>
      <c r="C1486" t="inlineStr">
        <is>
          <t>007070</t>
        </is>
      </c>
      <c r="D1486" t="inlineStr">
        <is>
          <t>연결</t>
        </is>
      </c>
      <c r="E1486" t="inlineStr">
        <is>
          <t>2025Q4</t>
        </is>
      </c>
      <c r="F1486" s="2" t="n">
        <v>3025972</v>
      </c>
      <c r="G1486" t="n">
        <v>-5.6</v>
      </c>
      <c r="H1486" t="n">
        <v>3.5</v>
      </c>
      <c r="I1486" s="2" t="n">
        <v>53320</v>
      </c>
      <c r="J1486" t="n">
        <v>-52</v>
      </c>
      <c r="K1486" t="n">
        <v>68.5</v>
      </c>
      <c r="L1486" s="2" t="n">
        <v>-84706</v>
      </c>
      <c r="M1486" t="n">
        <v>-184.5</v>
      </c>
      <c r="N1486" t="inlineStr">
        <is>
          <t>20260204800592</t>
        </is>
      </c>
      <c r="O1486">
        <f>HYPERLINK("https://dart.fss.or.kr/dsaf001/main.do?rcpNo=20260204800592", "공시열람")</f>
        <v/>
      </c>
    </row>
    <row r="1487">
      <c r="A1487" t="inlineStr">
        <is>
          <t>2026-02-04</t>
        </is>
      </c>
      <c r="B1487" t="inlineStr">
        <is>
          <t>쎄트렉아이</t>
        </is>
      </c>
      <c r="C1487" t="inlineStr">
        <is>
          <t>099320</t>
        </is>
      </c>
      <c r="D1487" t="inlineStr">
        <is>
          <t>연결</t>
        </is>
      </c>
      <c r="E1487" t="inlineStr">
        <is>
          <t>2025Q4</t>
        </is>
      </c>
      <c r="F1487" s="2" t="n">
        <v>71954</v>
      </c>
      <c r="G1487" t="n">
        <v>42.7</v>
      </c>
      <c r="H1487" t="n">
        <v>48.6</v>
      </c>
      <c r="I1487" s="2" t="n">
        <v>3956</v>
      </c>
      <c r="J1487" t="n">
        <v>61.1</v>
      </c>
      <c r="K1487" t="n">
        <v>228.3</v>
      </c>
      <c r="L1487" s="2" t="n">
        <v>7575</v>
      </c>
      <c r="M1487" t="n">
        <v>48.1</v>
      </c>
      <c r="N1487" t="inlineStr">
        <is>
          <t>20260204900492</t>
        </is>
      </c>
      <c r="O1487">
        <f>HYPERLINK("https://dart.fss.or.kr/dsaf001/main.do?rcpNo=20260204900492", "공시열람")</f>
        <v/>
      </c>
    </row>
    <row r="1488">
      <c r="A1488" t="inlineStr">
        <is>
          <t>2026-02-04</t>
        </is>
      </c>
      <c r="B1488" t="inlineStr">
        <is>
          <t>넥센타이어</t>
        </is>
      </c>
      <c r="C1488" t="inlineStr">
        <is>
          <t>002350</t>
        </is>
      </c>
      <c r="D1488" t="inlineStr">
        <is>
          <t>연결</t>
        </is>
      </c>
      <c r="E1488" t="inlineStr">
        <is>
          <t>2025Q4</t>
        </is>
      </c>
      <c r="F1488" s="2" t="n">
        <v>833059</v>
      </c>
      <c r="G1488" t="n">
        <v>6.71</v>
      </c>
      <c r="H1488" t="n">
        <v>19.42</v>
      </c>
      <c r="I1488" s="2" t="n">
        <v>40462</v>
      </c>
      <c r="J1488" t="n">
        <v>-12.96</v>
      </c>
      <c r="K1488" t="n">
        <v>161.69</v>
      </c>
      <c r="L1488" s="2" t="n">
        <v>37205</v>
      </c>
      <c r="M1488" t="n">
        <v>-22.14</v>
      </c>
      <c r="N1488" t="inlineStr">
        <is>
          <t>20260204800501</t>
        </is>
      </c>
      <c r="O1488">
        <f>HYPERLINK("https://dart.fss.or.kr/dsaf001/main.do?rcpNo=20260204800501", "공시열람")</f>
        <v/>
      </c>
    </row>
    <row r="1489">
      <c r="A1489" t="inlineStr">
        <is>
          <t>2026-02-04</t>
        </is>
      </c>
      <c r="B1489" t="inlineStr">
        <is>
          <t>롯데정밀화학</t>
        </is>
      </c>
      <c r="C1489" t="inlineStr">
        <is>
          <t>004000</t>
        </is>
      </c>
      <c r="D1489" t="inlineStr">
        <is>
          <t>연결</t>
        </is>
      </c>
      <c r="E1489" t="inlineStr">
        <is>
          <t>2025Q4</t>
        </is>
      </c>
      <c r="F1489" s="2" t="n">
        <v>439100</v>
      </c>
      <c r="G1489" t="n">
        <v>-1</v>
      </c>
      <c r="H1489" t="n">
        <v>2.4</v>
      </c>
      <c r="I1489" s="2" t="n">
        <v>19300</v>
      </c>
      <c r="J1489" t="n">
        <v>-30.1</v>
      </c>
      <c r="K1489" t="n">
        <v>58.2</v>
      </c>
      <c r="L1489" s="2" t="n">
        <v>28400</v>
      </c>
      <c r="M1489" t="inlineStr"/>
      <c r="N1489" t="inlineStr">
        <is>
          <t>20260204800474</t>
        </is>
      </c>
      <c r="O1489">
        <f>HYPERLINK("https://dart.fss.or.kr/dsaf001/main.do?rcpNo=20260204800474", "공시열람")</f>
        <v/>
      </c>
    </row>
    <row r="1490">
      <c r="A1490" t="inlineStr">
        <is>
          <t>2026-02-04</t>
        </is>
      </c>
      <c r="B1490" t="inlineStr">
        <is>
          <t>풍산</t>
        </is>
      </c>
      <c r="C1490" t="inlineStr">
        <is>
          <t>103140</t>
        </is>
      </c>
      <c r="D1490" t="inlineStr">
        <is>
          <t>연결</t>
        </is>
      </c>
      <c r="E1490" t="inlineStr">
        <is>
          <t>2025Q4</t>
        </is>
      </c>
      <c r="F1490" s="2" t="n">
        <v>1424511</v>
      </c>
      <c r="G1490" t="n">
        <v>21.3</v>
      </c>
      <c r="H1490" t="n">
        <v>16</v>
      </c>
      <c r="I1490" s="2" t="n">
        <v>91536</v>
      </c>
      <c r="J1490" t="n">
        <v>115</v>
      </c>
      <c r="K1490" t="n">
        <v>170.3</v>
      </c>
      <c r="L1490" s="2" t="n">
        <v>8827</v>
      </c>
      <c r="M1490" t="n">
        <v>-78.09999999999999</v>
      </c>
      <c r="N1490" t="inlineStr">
        <is>
          <t>20260204800464</t>
        </is>
      </c>
      <c r="O1490">
        <f>HYPERLINK("https://dart.fss.or.kr/dsaf001/main.do?rcpNo=20260204800464", "공시열람")</f>
        <v/>
      </c>
    </row>
    <row r="1491">
      <c r="A1491" t="inlineStr">
        <is>
          <t>2026-02-04</t>
        </is>
      </c>
      <c r="B1491" t="inlineStr">
        <is>
          <t>풍산</t>
        </is>
      </c>
      <c r="C1491" t="inlineStr">
        <is>
          <t>103140</t>
        </is>
      </c>
      <c r="D1491" t="inlineStr">
        <is>
          <t>별도</t>
        </is>
      </c>
      <c r="E1491" t="inlineStr">
        <is>
          <t>2025Q4</t>
        </is>
      </c>
      <c r="F1491" s="2" t="n">
        <v>1137324</v>
      </c>
      <c r="G1491" t="n">
        <v>30.5</v>
      </c>
      <c r="H1491" t="n">
        <v>16</v>
      </c>
      <c r="I1491" s="2" t="n">
        <v>72049</v>
      </c>
      <c r="J1491" t="n">
        <v>70</v>
      </c>
      <c r="K1491" t="n">
        <v>7.1</v>
      </c>
      <c r="L1491" s="2" t="n">
        <v>9070</v>
      </c>
      <c r="M1491" t="n">
        <v>-77.2</v>
      </c>
      <c r="N1491" t="inlineStr">
        <is>
          <t>20260204800437</t>
        </is>
      </c>
      <c r="O1491">
        <f>HYPERLINK("https://dart.fss.or.kr/dsaf001/main.do?rcpNo=20260204800437", "공시열람")</f>
        <v/>
      </c>
    </row>
    <row r="1492">
      <c r="A1492" t="inlineStr">
        <is>
          <t>2026-02-04</t>
        </is>
      </c>
      <c r="B1492" t="inlineStr">
        <is>
          <t>제주은행</t>
        </is>
      </c>
      <c r="C1492" t="inlineStr">
        <is>
          <t>006220</t>
        </is>
      </c>
      <c r="D1492" t="inlineStr">
        <is>
          <t>연결</t>
        </is>
      </c>
      <c r="E1492" t="inlineStr">
        <is>
          <t>2025Q4</t>
        </is>
      </c>
      <c r="F1492" s="2" t="n">
        <v>91102</v>
      </c>
      <c r="G1492" t="n">
        <v>-4.19</v>
      </c>
      <c r="H1492" t="n">
        <v>-3.47</v>
      </c>
      <c r="I1492" s="2" t="n">
        <v>1620</v>
      </c>
      <c r="J1492" t="n">
        <v>-66.81</v>
      </c>
      <c r="K1492" t="n">
        <v>57.89</v>
      </c>
      <c r="L1492" s="2" t="n">
        <v>1659</v>
      </c>
      <c r="M1492" t="n">
        <v>59.83</v>
      </c>
      <c r="N1492" t="inlineStr">
        <is>
          <t>20260204800416</t>
        </is>
      </c>
      <c r="O1492">
        <f>HYPERLINK("https://dart.fss.or.kr/dsaf001/main.do?rcpNo=20260204800416", "공시열람")</f>
        <v/>
      </c>
    </row>
    <row r="1493">
      <c r="A1493" t="inlineStr">
        <is>
          <t>2026-02-04</t>
        </is>
      </c>
      <c r="B1493" t="inlineStr">
        <is>
          <t>한화오션</t>
        </is>
      </c>
      <c r="C1493" t="inlineStr">
        <is>
          <t>042660</t>
        </is>
      </c>
      <c r="D1493" t="inlineStr">
        <is>
          <t>연결</t>
        </is>
      </c>
      <c r="E1493" t="inlineStr">
        <is>
          <t>2025Q4</t>
        </is>
      </c>
      <c r="F1493" s="2" t="n">
        <v>3227800</v>
      </c>
      <c r="G1493" t="n">
        <v>6.8</v>
      </c>
      <c r="H1493" t="n">
        <v>-0.8</v>
      </c>
      <c r="I1493" s="2" t="n">
        <v>189000</v>
      </c>
      <c r="J1493" t="n">
        <v>-34.8</v>
      </c>
      <c r="K1493" t="n">
        <v>11.8</v>
      </c>
      <c r="L1493" s="2" t="n">
        <v>539100</v>
      </c>
      <c r="M1493" t="n">
        <v>-7</v>
      </c>
      <c r="N1493" t="inlineStr">
        <is>
          <t>20260204800380</t>
        </is>
      </c>
      <c r="O1493">
        <f>HYPERLINK("https://dart.fss.or.kr/dsaf001/main.do?rcpNo=20260204800380", "공시열람")</f>
        <v/>
      </c>
    </row>
    <row r="1494">
      <c r="A1494" t="inlineStr">
        <is>
          <t>2026-02-04</t>
        </is>
      </c>
      <c r="B1494" t="inlineStr">
        <is>
          <t>아비코전자</t>
        </is>
      </c>
      <c r="C1494" t="inlineStr">
        <is>
          <t>036010</t>
        </is>
      </c>
      <c r="D1494" t="inlineStr">
        <is>
          <t>연결</t>
        </is>
      </c>
      <c r="E1494" t="inlineStr">
        <is>
          <t>2025Q4</t>
        </is>
      </c>
      <c r="F1494" s="2" t="n">
        <v>34151</v>
      </c>
      <c r="G1494" t="n">
        <v>-1.6</v>
      </c>
      <c r="H1494" t="n">
        <v>16.7</v>
      </c>
      <c r="I1494" s="2" t="n">
        <v>2116</v>
      </c>
      <c r="J1494" t="n">
        <v>-12.5</v>
      </c>
      <c r="K1494" t="inlineStr"/>
      <c r="L1494" s="2" t="n">
        <v>2355</v>
      </c>
      <c r="M1494" t="inlineStr"/>
      <c r="N1494" t="inlineStr">
        <is>
          <t>20260204900378</t>
        </is>
      </c>
      <c r="O1494">
        <f>HYPERLINK("https://dart.fss.or.kr/dsaf001/main.do?rcpNo=20260204900378", "공시열람")</f>
        <v/>
      </c>
    </row>
    <row r="1495">
      <c r="A1495" t="inlineStr">
        <is>
          <t>2026-02-04</t>
        </is>
      </c>
      <c r="B1495" t="inlineStr">
        <is>
          <t>롯데칠성음료</t>
        </is>
      </c>
      <c r="C1495" t="inlineStr">
        <is>
          <t>005300</t>
        </is>
      </c>
      <c r="D1495" t="inlineStr">
        <is>
          <t>연결</t>
        </is>
      </c>
      <c r="E1495" t="inlineStr">
        <is>
          <t>2025Q4</t>
        </is>
      </c>
      <c r="F1495" s="2" t="n">
        <v>894300</v>
      </c>
      <c r="G1495" t="n">
        <v>-17.1</v>
      </c>
      <c r="H1495" t="n">
        <v>-3.1</v>
      </c>
      <c r="I1495" s="2" t="n">
        <v>-12000</v>
      </c>
      <c r="J1495" t="inlineStr"/>
      <c r="K1495" t="inlineStr"/>
      <c r="L1495" s="2" t="n">
        <v>-43900</v>
      </c>
      <c r="M1495" t="n">
        <v>-102.6</v>
      </c>
      <c r="N1495" t="inlineStr">
        <is>
          <t>20260204800346</t>
        </is>
      </c>
      <c r="O1495">
        <f>HYPERLINK("https://dart.fss.or.kr/dsaf001/main.do?rcpNo=20260204800346", "공시열람")</f>
        <v/>
      </c>
    </row>
    <row r="1496">
      <c r="A1496" t="inlineStr">
        <is>
          <t>2026-02-04</t>
        </is>
      </c>
      <c r="B1496" t="inlineStr">
        <is>
          <t>엠앤씨솔루션</t>
        </is>
      </c>
      <c r="C1496" t="inlineStr">
        <is>
          <t>484870</t>
        </is>
      </c>
      <c r="D1496" t="inlineStr">
        <is>
          <t>별도</t>
        </is>
      </c>
      <c r="E1496" t="inlineStr">
        <is>
          <t>2025Q4</t>
        </is>
      </c>
      <c r="F1496" s="2" t="n">
        <v>143225</v>
      </c>
      <c r="G1496" t="n">
        <v>63.52</v>
      </c>
      <c r="H1496" t="n">
        <v>51.86</v>
      </c>
      <c r="I1496" s="2" t="n">
        <v>21622</v>
      </c>
      <c r="J1496" t="n">
        <v>88.26000000000001</v>
      </c>
      <c r="K1496" t="n">
        <v>22.68</v>
      </c>
      <c r="L1496" s="2" t="n">
        <v>17279</v>
      </c>
      <c r="M1496" t="n">
        <v>27.22</v>
      </c>
      <c r="N1496" t="inlineStr">
        <is>
          <t>20260204800342</t>
        </is>
      </c>
      <c r="O1496">
        <f>HYPERLINK("https://dart.fss.or.kr/dsaf001/main.do?rcpNo=20260204800342", "공시열람")</f>
        <v/>
      </c>
    </row>
    <row r="1497">
      <c r="A1497" t="inlineStr">
        <is>
          <t>2026-02-04</t>
        </is>
      </c>
      <c r="B1497" t="inlineStr">
        <is>
          <t>디어유</t>
        </is>
      </c>
      <c r="C1497" t="inlineStr">
        <is>
          <t>376300</t>
        </is>
      </c>
      <c r="D1497" t="inlineStr">
        <is>
          <t>연결</t>
        </is>
      </c>
      <c r="E1497" t="inlineStr">
        <is>
          <t>2025Q4</t>
        </is>
      </c>
      <c r="F1497" s="2" t="n">
        <v>23802</v>
      </c>
      <c r="G1497" t="n">
        <v>6.7</v>
      </c>
      <c r="H1497" t="n">
        <v>33.9</v>
      </c>
      <c r="I1497" s="2" t="n">
        <v>9758</v>
      </c>
      <c r="J1497" t="n">
        <v>12</v>
      </c>
      <c r="K1497" t="n">
        <v>100.4</v>
      </c>
      <c r="L1497" s="2" t="n">
        <v>10323</v>
      </c>
      <c r="M1497" t="n">
        <v>88.3</v>
      </c>
      <c r="N1497" t="inlineStr">
        <is>
          <t>20260204900228</t>
        </is>
      </c>
      <c r="O1497">
        <f>HYPERLINK("https://dart.fss.or.kr/dsaf001/main.do?rcpNo=20260204900228", "공시열람")</f>
        <v/>
      </c>
    </row>
    <row r="1498">
      <c r="A1498" t="inlineStr">
        <is>
          <t>2026-02-04</t>
        </is>
      </c>
      <c r="B1498" t="inlineStr">
        <is>
          <t>에이피알</t>
        </is>
      </c>
      <c r="C1498" t="inlineStr">
        <is>
          <t>278470</t>
        </is>
      </c>
      <c r="D1498" t="inlineStr">
        <is>
          <t>연결</t>
        </is>
      </c>
      <c r="E1498" t="inlineStr">
        <is>
          <t>2025Q4</t>
        </is>
      </c>
      <c r="F1498" s="2" t="n">
        <v>547635</v>
      </c>
      <c r="G1498" t="n">
        <v>41.9</v>
      </c>
      <c r="H1498" t="n">
        <v>124.2</v>
      </c>
      <c r="I1498" s="2" t="n">
        <v>130123</v>
      </c>
      <c r="J1498" t="n">
        <v>35.4</v>
      </c>
      <c r="K1498" t="n">
        <v>227.9</v>
      </c>
      <c r="L1498" s="2" t="n">
        <v>99535</v>
      </c>
      <c r="M1498" t="n">
        <v>129.4</v>
      </c>
      <c r="N1498" t="inlineStr">
        <is>
          <t>20260204800151</t>
        </is>
      </c>
      <c r="O1498">
        <f>HYPERLINK("https://dart.fss.or.kr/dsaf001/main.do?rcpNo=20260204800151", "공시열람")</f>
        <v/>
      </c>
    </row>
    <row r="1499">
      <c r="A1499" t="inlineStr">
        <is>
          <t>2026-02-04</t>
        </is>
      </c>
      <c r="B1499" t="inlineStr">
        <is>
          <t>더존비즈온</t>
        </is>
      </c>
      <c r="C1499" t="inlineStr">
        <is>
          <t>012510</t>
        </is>
      </c>
      <c r="D1499" t="inlineStr">
        <is>
          <t>연결</t>
        </is>
      </c>
      <c r="E1499" t="inlineStr">
        <is>
          <t>2025Q4</t>
        </is>
      </c>
      <c r="F1499" s="2" t="n">
        <v>127141</v>
      </c>
      <c r="G1499" t="n">
        <v>10.9</v>
      </c>
      <c r="H1499" t="n">
        <v>14.1</v>
      </c>
      <c r="I1499" s="2" t="n">
        <v>46094</v>
      </c>
      <c r="J1499" t="n">
        <v>32.4</v>
      </c>
      <c r="K1499" t="n">
        <v>56.5</v>
      </c>
      <c r="L1499" s="2" t="n">
        <v>45485</v>
      </c>
      <c r="M1499" t="n">
        <v>126.4</v>
      </c>
      <c r="N1499" t="inlineStr">
        <is>
          <t>20260204800109</t>
        </is>
      </c>
      <c r="O1499">
        <f>HYPERLINK("https://dart.fss.or.kr/dsaf001/main.do?rcpNo=20260204800109", "공시열람")</f>
        <v/>
      </c>
    </row>
    <row r="1500">
      <c r="A1500" t="inlineStr">
        <is>
          <t>2026-02-04</t>
        </is>
      </c>
      <c r="B1500" t="inlineStr">
        <is>
          <t>IPARK현대산업개발</t>
        </is>
      </c>
      <c r="C1500" t="inlineStr">
        <is>
          <t>294870</t>
        </is>
      </c>
      <c r="D1500" t="inlineStr">
        <is>
          <t>연결</t>
        </is>
      </c>
      <c r="E1500" t="inlineStr">
        <is>
          <t>2025Q4</t>
        </is>
      </c>
      <c r="F1500" s="2" t="n">
        <v>1025045</v>
      </c>
      <c r="G1500" t="n">
        <v>-2.7</v>
      </c>
      <c r="H1500" t="n">
        <v>-8.9</v>
      </c>
      <c r="I1500" s="2" t="n">
        <v>41349</v>
      </c>
      <c r="J1500" t="n">
        <v>-43.3</v>
      </c>
      <c r="K1500" t="n">
        <v>-1</v>
      </c>
      <c r="L1500" s="2" t="n">
        <v>11422</v>
      </c>
      <c r="M1500" t="n">
        <v>-74.7</v>
      </c>
      <c r="N1500" t="inlineStr">
        <is>
          <t>20260204800871</t>
        </is>
      </c>
      <c r="O1500">
        <f>HYPERLINK("https://dart.fss.or.kr/dsaf001/main.do?rcpNo=20260204800871", "공시열람")</f>
        <v/>
      </c>
    </row>
    <row r="1501">
      <c r="A1501" t="inlineStr">
        <is>
          <t>2026-02-03</t>
        </is>
      </c>
      <c r="B1501" t="inlineStr">
        <is>
          <t>엘앤에프</t>
        </is>
      </c>
      <c r="C1501" t="inlineStr">
        <is>
          <t>066970</t>
        </is>
      </c>
      <c r="D1501" t="inlineStr">
        <is>
          <t>연결</t>
        </is>
      </c>
      <c r="E1501" t="inlineStr">
        <is>
          <t>2025Q4</t>
        </is>
      </c>
      <c r="F1501" s="2" t="n">
        <v>617785</v>
      </c>
      <c r="G1501" t="n">
        <v>-5.3</v>
      </c>
      <c r="H1501" t="n">
        <v>69.09999999999999</v>
      </c>
      <c r="I1501" s="2" t="n">
        <v>82469</v>
      </c>
      <c r="J1501" t="n">
        <v>272.8</v>
      </c>
      <c r="K1501" t="inlineStr"/>
      <c r="L1501" s="2" t="n">
        <v>-182895</v>
      </c>
      <c r="M1501" t="n">
        <v>-55.4</v>
      </c>
      <c r="N1501" t="inlineStr">
        <is>
          <t>20260203800248</t>
        </is>
      </c>
      <c r="O1501">
        <f>HYPERLINK("https://dart.fss.or.kr/dsaf001/main.do?rcpNo=20260203800248", "공시열람")</f>
        <v/>
      </c>
    </row>
    <row r="1502">
      <c r="A1502" t="inlineStr">
        <is>
          <t>2026-02-03</t>
        </is>
      </c>
      <c r="B1502" t="inlineStr">
        <is>
          <t>롯데에너지머티리얼즈</t>
        </is>
      </c>
      <c r="C1502" t="inlineStr">
        <is>
          <t>020150</t>
        </is>
      </c>
      <c r="D1502" t="inlineStr">
        <is>
          <t>연결</t>
        </is>
      </c>
      <c r="E1502" t="inlineStr">
        <is>
          <t>2025Q4</t>
        </is>
      </c>
      <c r="F1502" s="2" t="n">
        <v>170900</v>
      </c>
      <c r="G1502" t="n">
        <v>18.9</v>
      </c>
      <c r="H1502" t="n">
        <v>-8.300000000000001</v>
      </c>
      <c r="I1502" s="2" t="n">
        <v>-33800</v>
      </c>
      <c r="J1502" t="n">
        <v>1.4</v>
      </c>
      <c r="K1502" t="n">
        <v>15.6</v>
      </c>
      <c r="L1502" s="2" t="n">
        <v>-31500</v>
      </c>
      <c r="M1502" t="inlineStr"/>
      <c r="N1502" t="inlineStr">
        <is>
          <t>20260203800472</t>
        </is>
      </c>
      <c r="O1502">
        <f>HYPERLINK("https://dart.fss.or.kr/dsaf001/main.do?rcpNo=20260203800472", "공시열람")</f>
        <v/>
      </c>
    </row>
    <row r="1503">
      <c r="A1503" t="inlineStr">
        <is>
          <t>2026-02-03</t>
        </is>
      </c>
      <c r="B1503" t="inlineStr">
        <is>
          <t>한온시스템</t>
        </is>
      </c>
      <c r="C1503" t="inlineStr">
        <is>
          <t>018880</t>
        </is>
      </c>
      <c r="D1503" t="inlineStr">
        <is>
          <t>연결</t>
        </is>
      </c>
      <c r="E1503" t="inlineStr">
        <is>
          <t>2025Q4</t>
        </is>
      </c>
      <c r="F1503" s="2" t="n">
        <v>2702509</v>
      </c>
      <c r="G1503" t="n">
        <v>-0.1</v>
      </c>
      <c r="H1503" t="n">
        <v>6.6</v>
      </c>
      <c r="I1503" s="2" t="n">
        <v>91152</v>
      </c>
      <c r="J1503" t="n">
        <v>-4.4</v>
      </c>
      <c r="K1503" t="inlineStr"/>
      <c r="L1503" s="2" t="n">
        <v>-198130</v>
      </c>
      <c r="M1503" t="n">
        <v>37.7</v>
      </c>
      <c r="N1503" t="inlineStr">
        <is>
          <t>20260203800387</t>
        </is>
      </c>
      <c r="O1503">
        <f>HYPERLINK("https://dart.fss.or.kr/dsaf001/main.do?rcpNo=20260203800387", "공시열람")</f>
        <v/>
      </c>
    </row>
    <row r="1504">
      <c r="A1504" t="inlineStr">
        <is>
          <t>2026-02-03</t>
        </is>
      </c>
      <c r="B1504" t="inlineStr">
        <is>
          <t>한솔홀딩스</t>
        </is>
      </c>
      <c r="C1504" t="inlineStr">
        <is>
          <t>004150</t>
        </is>
      </c>
      <c r="D1504" t="inlineStr">
        <is>
          <t>별도</t>
        </is>
      </c>
      <c r="E1504" t="inlineStr">
        <is>
          <t>2025Q4</t>
        </is>
      </c>
      <c r="F1504" s="2" t="n">
        <v>32262</v>
      </c>
      <c r="G1504" t="n">
        <v>7.9</v>
      </c>
      <c r="H1504" t="inlineStr"/>
      <c r="I1504" s="2" t="n">
        <v>14844</v>
      </c>
      <c r="J1504" t="n">
        <v>15</v>
      </c>
      <c r="K1504" t="inlineStr"/>
      <c r="L1504" s="2" t="n">
        <v>15835</v>
      </c>
      <c r="M1504" t="inlineStr"/>
      <c r="N1504" t="inlineStr">
        <is>
          <t>20260203800693</t>
        </is>
      </c>
      <c r="O1504">
        <f>HYPERLINK("https://dart.fss.or.kr/dsaf001/main.do?rcpNo=20260203800693", "공시열람")</f>
        <v/>
      </c>
    </row>
    <row r="1505">
      <c r="A1505" t="inlineStr">
        <is>
          <t>2026-02-03</t>
        </is>
      </c>
      <c r="B1505" t="inlineStr">
        <is>
          <t>ISC</t>
        </is>
      </c>
      <c r="C1505" t="inlineStr">
        <is>
          <t>095340</t>
        </is>
      </c>
      <c r="D1505" t="inlineStr">
        <is>
          <t>연결</t>
        </is>
      </c>
      <c r="E1505" t="inlineStr">
        <is>
          <t>2025Q4</t>
        </is>
      </c>
      <c r="F1505" s="2" t="n">
        <v>72330</v>
      </c>
      <c r="G1505" t="n">
        <v>12.1</v>
      </c>
      <c r="H1505" t="n">
        <v>84.2</v>
      </c>
      <c r="I1505" s="2" t="n">
        <v>21929</v>
      </c>
      <c r="J1505" t="n">
        <v>25.9</v>
      </c>
      <c r="K1505" t="n">
        <v>192.4</v>
      </c>
      <c r="L1505" s="2" t="n">
        <v>21740</v>
      </c>
      <c r="M1505" t="n">
        <v>83.3</v>
      </c>
      <c r="N1505" t="inlineStr">
        <is>
          <t>20260203900874</t>
        </is>
      </c>
      <c r="O1505">
        <f>HYPERLINK("https://dart.fss.or.kr/dsaf001/main.do?rcpNo=20260203900874", "공시열람")</f>
        <v/>
      </c>
    </row>
    <row r="1506">
      <c r="A1506" t="inlineStr">
        <is>
          <t>2026-02-03</t>
        </is>
      </c>
      <c r="B1506" t="inlineStr">
        <is>
          <t>CJ CGV</t>
        </is>
      </c>
      <c r="C1506" t="inlineStr">
        <is>
          <t>079160</t>
        </is>
      </c>
      <c r="D1506" t="inlineStr">
        <is>
          <t>연결</t>
        </is>
      </c>
      <c r="E1506" t="inlineStr">
        <is>
          <t>2025Q4</t>
        </is>
      </c>
      <c r="F1506" s="2" t="n">
        <v>667083</v>
      </c>
      <c r="G1506" t="n">
        <v>14.4</v>
      </c>
      <c r="H1506" t="n">
        <v>13.4</v>
      </c>
      <c r="I1506" s="2" t="n">
        <v>67956</v>
      </c>
      <c r="J1506" t="n">
        <v>191.1</v>
      </c>
      <c r="K1506" t="n">
        <v>300.3</v>
      </c>
      <c r="L1506" s="2" t="n">
        <v>-37811</v>
      </c>
      <c r="M1506" t="n">
        <v>72.09999999999999</v>
      </c>
      <c r="N1506" t="inlineStr">
        <is>
          <t>20260203801079</t>
        </is>
      </c>
      <c r="O1506">
        <f>HYPERLINK("https://dart.fss.or.kr/dsaf001/main.do?rcpNo=20260203801079", "공시열람")</f>
        <v/>
      </c>
    </row>
    <row r="1507">
      <c r="A1507" t="inlineStr">
        <is>
          <t>2026-02-03</t>
        </is>
      </c>
      <c r="B1507" t="inlineStr">
        <is>
          <t>티씨케이</t>
        </is>
      </c>
      <c r="C1507" t="inlineStr">
        <is>
          <t>064760</t>
        </is>
      </c>
      <c r="D1507" t="inlineStr">
        <is>
          <t>별도</t>
        </is>
      </c>
      <c r="E1507" t="inlineStr">
        <is>
          <t>2025Q4</t>
        </is>
      </c>
      <c r="F1507" s="2" t="n">
        <v>71057</v>
      </c>
      <c r="G1507" t="n">
        <v>-10.33</v>
      </c>
      <c r="H1507" t="n">
        <v>-2.36</v>
      </c>
      <c r="I1507" s="2" t="n">
        <v>18535</v>
      </c>
      <c r="J1507" t="n">
        <v>-17.17</v>
      </c>
      <c r="K1507" t="n">
        <v>-9.57</v>
      </c>
      <c r="L1507" s="2" t="n">
        <v>17259</v>
      </c>
      <c r="M1507" t="n">
        <v>-7.47</v>
      </c>
      <c r="N1507" t="inlineStr">
        <is>
          <t>20260203900894</t>
        </is>
      </c>
      <c r="O1507">
        <f>HYPERLINK("https://dart.fss.or.kr/dsaf001/main.do?rcpNo=20260203900894", "공시열람")</f>
        <v/>
      </c>
    </row>
    <row r="1508">
      <c r="A1508" t="inlineStr">
        <is>
          <t>2026-02-03</t>
        </is>
      </c>
      <c r="B1508" t="inlineStr">
        <is>
          <t>LX하우시스</t>
        </is>
      </c>
      <c r="C1508" t="inlineStr">
        <is>
          <t>108670</t>
        </is>
      </c>
      <c r="D1508" t="inlineStr">
        <is>
          <t>연결</t>
        </is>
      </c>
      <c r="E1508" t="inlineStr">
        <is>
          <t>2025Q4</t>
        </is>
      </c>
      <c r="F1508" s="2" t="n">
        <v>765156</v>
      </c>
      <c r="G1508" t="n">
        <v>-5.8</v>
      </c>
      <c r="H1508" t="n">
        <v>-14.1</v>
      </c>
      <c r="I1508" s="2" t="n">
        <v>-28908</v>
      </c>
      <c r="J1508" t="inlineStr"/>
      <c r="K1508" t="inlineStr"/>
      <c r="L1508" s="2" t="n">
        <v>-54652</v>
      </c>
      <c r="M1508" t="n">
        <v>-261.2</v>
      </c>
      <c r="N1508" t="inlineStr">
        <is>
          <t>20260203801115</t>
        </is>
      </c>
      <c r="O1508">
        <f>HYPERLINK("https://dart.fss.or.kr/dsaf001/main.do?rcpNo=20260203801115", "공시열람")</f>
        <v/>
      </c>
    </row>
    <row r="1509">
      <c r="A1509" t="inlineStr">
        <is>
          <t>2026-02-03</t>
        </is>
      </c>
      <c r="B1509" t="inlineStr">
        <is>
          <t>칩스앤미디어</t>
        </is>
      </c>
      <c r="C1509" t="inlineStr">
        <is>
          <t>094360</t>
        </is>
      </c>
      <c r="D1509" t="inlineStr">
        <is>
          <t>연결</t>
        </is>
      </c>
      <c r="E1509" t="inlineStr">
        <is>
          <t>2025Q4</t>
        </is>
      </c>
      <c r="F1509" s="2" t="n">
        <v>9867</v>
      </c>
      <c r="G1509" t="n">
        <v>49.1</v>
      </c>
      <c r="H1509" t="n">
        <v>8.6</v>
      </c>
      <c r="I1509" s="2" t="n">
        <v>3860</v>
      </c>
      <c r="J1509" t="n">
        <v>153.1</v>
      </c>
      <c r="K1509" t="n">
        <v>32.3</v>
      </c>
      <c r="L1509" s="2" t="n">
        <v>3628</v>
      </c>
      <c r="M1509" t="n">
        <v>-42.3</v>
      </c>
      <c r="N1509" t="inlineStr">
        <is>
          <t>20260203900355</t>
        </is>
      </c>
      <c r="O1509">
        <f>HYPERLINK("https://dart.fss.or.kr/dsaf001/main.do?rcpNo=20260203900355", "공시열람")</f>
        <v/>
      </c>
    </row>
    <row r="1510">
      <c r="A1510" t="inlineStr">
        <is>
          <t>2026-02-03</t>
        </is>
      </c>
      <c r="B1510" t="inlineStr">
        <is>
          <t>CJ CGV</t>
        </is>
      </c>
      <c r="C1510" t="inlineStr">
        <is>
          <t>079160</t>
        </is>
      </c>
      <c r="D1510" t="inlineStr">
        <is>
          <t>연결</t>
        </is>
      </c>
      <c r="E1510" t="inlineStr">
        <is>
          <t>2025Q4</t>
        </is>
      </c>
      <c r="F1510" s="2" t="n">
        <v>66708300</v>
      </c>
      <c r="G1510" t="n">
        <v>14.4</v>
      </c>
      <c r="H1510" t="n">
        <v>13.4</v>
      </c>
      <c r="I1510" s="2" t="n">
        <v>6795600</v>
      </c>
      <c r="J1510" t="n">
        <v>191.1</v>
      </c>
      <c r="K1510" t="n">
        <v>300.3</v>
      </c>
      <c r="L1510" s="2" t="n">
        <v>-3781100</v>
      </c>
      <c r="M1510" t="n">
        <v>72.09999999999999</v>
      </c>
      <c r="N1510" t="inlineStr">
        <is>
          <t>20260203800813</t>
        </is>
      </c>
      <c r="O1510">
        <f>HYPERLINK("https://dart.fss.or.kr/dsaf001/main.do?rcpNo=20260203800813", "공시열람")</f>
        <v/>
      </c>
    </row>
    <row r="1511">
      <c r="A1511" t="inlineStr">
        <is>
          <t>2026-02-03</t>
        </is>
      </c>
      <c r="B1511" t="inlineStr">
        <is>
          <t>파라다이스</t>
        </is>
      </c>
      <c r="C1511" t="inlineStr">
        <is>
          <t>034230</t>
        </is>
      </c>
      <c r="D1511" t="inlineStr">
        <is>
          <t>연결</t>
        </is>
      </c>
      <c r="E1511" t="inlineStr">
        <is>
          <t>2025Q4</t>
        </is>
      </c>
      <c r="F1511" s="2" t="inlineStr"/>
      <c r="G1511" t="inlineStr"/>
      <c r="H1511" t="inlineStr"/>
      <c r="I1511" s="2" t="inlineStr"/>
      <c r="J1511" t="inlineStr"/>
      <c r="K1511" t="inlineStr"/>
      <c r="L1511" s="2" t="inlineStr"/>
      <c r="M1511" t="inlineStr"/>
      <c r="N1511" t="inlineStr">
        <is>
          <t>20260203800729</t>
        </is>
      </c>
      <c r="O1511">
        <f>HYPERLINK("https://dart.fss.or.kr/dsaf001/main.do?rcpNo=20260203800729", "공시열람")</f>
        <v/>
      </c>
    </row>
    <row r="1512">
      <c r="A1512" t="inlineStr">
        <is>
          <t>2026-02-03</t>
        </is>
      </c>
      <c r="B1512" t="inlineStr">
        <is>
          <t>잇츠한불</t>
        </is>
      </c>
      <c r="C1512" t="inlineStr">
        <is>
          <t>226320</t>
        </is>
      </c>
      <c r="D1512" t="inlineStr">
        <is>
          <t>연결</t>
        </is>
      </c>
      <c r="E1512" t="inlineStr">
        <is>
          <t>2025Q4</t>
        </is>
      </c>
      <c r="F1512" s="2" t="n">
        <v>42000</v>
      </c>
      <c r="G1512" t="n">
        <v>11.3</v>
      </c>
      <c r="H1512" t="n">
        <v>2.7</v>
      </c>
      <c r="I1512" s="2" t="n">
        <v>4900</v>
      </c>
      <c r="J1512" t="n">
        <v>1.1</v>
      </c>
      <c r="K1512" t="n">
        <v>2</v>
      </c>
      <c r="L1512" s="2" t="n">
        <v>10400</v>
      </c>
      <c r="M1512" t="n">
        <v>7.8</v>
      </c>
      <c r="N1512" t="inlineStr">
        <is>
          <t>20260203800727</t>
        </is>
      </c>
      <c r="O1512">
        <f>HYPERLINK("https://dart.fss.or.kr/dsaf001/main.do?rcpNo=20260203800727", "공시열람")</f>
        <v/>
      </c>
    </row>
    <row r="1513">
      <c r="A1513" t="inlineStr">
        <is>
          <t>2026-02-03</t>
        </is>
      </c>
      <c r="B1513" t="inlineStr">
        <is>
          <t>이노션</t>
        </is>
      </c>
      <c r="C1513" t="inlineStr">
        <is>
          <t>214320</t>
        </is>
      </c>
      <c r="D1513" t="inlineStr">
        <is>
          <t>연결</t>
        </is>
      </c>
      <c r="E1513" t="inlineStr">
        <is>
          <t>2025Q4</t>
        </is>
      </c>
      <c r="F1513" s="2" t="n">
        <v>631529</v>
      </c>
      <c r="G1513" t="n">
        <v>28.5</v>
      </c>
      <c r="H1513" t="n">
        <v>5.4</v>
      </c>
      <c r="I1513" s="2" t="n">
        <v>45670</v>
      </c>
      <c r="J1513" t="n">
        <v>-11</v>
      </c>
      <c r="K1513" t="n">
        <v>7.1</v>
      </c>
      <c r="L1513" s="2" t="n">
        <v>35184</v>
      </c>
      <c r="M1513" t="n">
        <v>29.1</v>
      </c>
      <c r="N1513" t="inlineStr">
        <is>
          <t>20260203800725</t>
        </is>
      </c>
      <c r="O1513">
        <f>HYPERLINK("https://dart.fss.or.kr/dsaf001/main.do?rcpNo=20260203800725", "공시열람")</f>
        <v/>
      </c>
    </row>
    <row r="1514">
      <c r="A1514" t="inlineStr">
        <is>
          <t>2026-02-03</t>
        </is>
      </c>
      <c r="B1514" t="inlineStr">
        <is>
          <t>SK바이오사이언스</t>
        </is>
      </c>
      <c r="C1514" t="inlineStr">
        <is>
          <t>302440</t>
        </is>
      </c>
      <c r="D1514" t="inlineStr">
        <is>
          <t>연결</t>
        </is>
      </c>
      <c r="E1514" t="inlineStr">
        <is>
          <t>2025Q4</t>
        </is>
      </c>
      <c r="F1514" s="2" t="n">
        <v>184186</v>
      </c>
      <c r="G1514" t="n">
        <v>22.2</v>
      </c>
      <c r="H1514" t="n">
        <v>17.4</v>
      </c>
      <c r="I1514" s="2" t="n">
        <v>-51610</v>
      </c>
      <c r="J1514" t="n">
        <v>-166.4</v>
      </c>
      <c r="K1514" t="n">
        <v>-1.6</v>
      </c>
      <c r="L1514" s="2" t="n">
        <v>-56405</v>
      </c>
      <c r="M1514" t="n">
        <v>-2010.2</v>
      </c>
      <c r="N1514" t="inlineStr">
        <is>
          <t>20260203800694</t>
        </is>
      </c>
      <c r="O1514">
        <f>HYPERLINK("https://dart.fss.or.kr/dsaf001/main.do?rcpNo=20260203800694", "공시열람")</f>
        <v/>
      </c>
    </row>
    <row r="1515">
      <c r="A1515" t="inlineStr">
        <is>
          <t>2026-02-03</t>
        </is>
      </c>
      <c r="B1515" t="inlineStr">
        <is>
          <t>호텔신라</t>
        </is>
      </c>
      <c r="C1515" t="inlineStr">
        <is>
          <t>008770</t>
        </is>
      </c>
      <c r="D1515" t="inlineStr">
        <is>
          <t>연결</t>
        </is>
      </c>
      <c r="E1515" t="inlineStr">
        <is>
          <t>2025Q4</t>
        </is>
      </c>
      <c r="F1515" s="2" t="n">
        <v>1045379</v>
      </c>
      <c r="G1515" t="n">
        <v>1.9</v>
      </c>
      <c r="H1515" t="n">
        <v>10.3</v>
      </c>
      <c r="I1515" s="2" t="n">
        <v>-4118</v>
      </c>
      <c r="J1515" t="inlineStr"/>
      <c r="K1515" t="n">
        <v>85.3</v>
      </c>
      <c r="L1515" s="2" t="n">
        <v>-16627</v>
      </c>
      <c r="M1515" t="n">
        <v>74</v>
      </c>
      <c r="N1515" t="inlineStr">
        <is>
          <t>20260203800712</t>
        </is>
      </c>
      <c r="O1515">
        <f>HYPERLINK("https://dart.fss.or.kr/dsaf001/main.do?rcpNo=20260203800712", "공시열람")</f>
        <v/>
      </c>
    </row>
    <row r="1516">
      <c r="A1516" t="inlineStr">
        <is>
          <t>2026-02-03</t>
        </is>
      </c>
      <c r="B1516" t="inlineStr">
        <is>
          <t>하나투어</t>
        </is>
      </c>
      <c r="C1516" t="inlineStr">
        <is>
          <t>039130</t>
        </is>
      </c>
      <c r="D1516" t="inlineStr">
        <is>
          <t>연결</t>
        </is>
      </c>
      <c r="E1516" t="inlineStr">
        <is>
          <t>2025Q4</t>
        </is>
      </c>
      <c r="F1516" s="2" t="n">
        <v>175228</v>
      </c>
      <c r="G1516" t="n">
        <v>42.13</v>
      </c>
      <c r="H1516" t="n">
        <v>23.22</v>
      </c>
      <c r="I1516" s="2" t="n">
        <v>27414</v>
      </c>
      <c r="J1516" t="n">
        <v>231.05</v>
      </c>
      <c r="K1516" t="n">
        <v>101.6</v>
      </c>
      <c r="L1516" s="2" t="n">
        <v>12757</v>
      </c>
      <c r="M1516" t="n">
        <v>-73.79000000000001</v>
      </c>
      <c r="N1516" t="inlineStr">
        <is>
          <t>20260203800704</t>
        </is>
      </c>
      <c r="O1516">
        <f>HYPERLINK("https://dart.fss.or.kr/dsaf001/main.do?rcpNo=20260203800704", "공시열람")</f>
        <v/>
      </c>
    </row>
    <row r="1517">
      <c r="A1517" t="inlineStr">
        <is>
          <t>2026-02-03</t>
        </is>
      </c>
      <c r="B1517" t="inlineStr">
        <is>
          <t>GKL</t>
        </is>
      </c>
      <c r="C1517" t="inlineStr">
        <is>
          <t>114090</t>
        </is>
      </c>
      <c r="D1517" t="inlineStr">
        <is>
          <t>별도</t>
        </is>
      </c>
      <c r="E1517" t="inlineStr">
        <is>
          <t>2025Q4</t>
        </is>
      </c>
      <c r="F1517" s="2" t="inlineStr"/>
      <c r="G1517" t="inlineStr"/>
      <c r="H1517" t="inlineStr"/>
      <c r="I1517" s="2" t="inlineStr"/>
      <c r="J1517" t="inlineStr"/>
      <c r="K1517" t="inlineStr"/>
      <c r="L1517" s="2" t="inlineStr"/>
      <c r="M1517" t="inlineStr"/>
      <c r="N1517" t="inlineStr">
        <is>
          <t>20260203800609</t>
        </is>
      </c>
      <c r="O1517">
        <f>HYPERLINK("https://dart.fss.or.kr/dsaf001/main.do?rcpNo=20260203800609", "공시열람")</f>
        <v/>
      </c>
    </row>
    <row r="1518">
      <c r="A1518" t="inlineStr">
        <is>
          <t>2026-02-03</t>
        </is>
      </c>
      <c r="B1518" t="inlineStr">
        <is>
          <t>인산가</t>
        </is>
      </c>
      <c r="C1518" t="inlineStr">
        <is>
          <t>277410</t>
        </is>
      </c>
      <c r="D1518" t="inlineStr">
        <is>
          <t>연결</t>
        </is>
      </c>
      <c r="E1518" t="inlineStr">
        <is>
          <t>2025Q4</t>
        </is>
      </c>
      <c r="F1518" s="2" t="n">
        <v>8750</v>
      </c>
      <c r="G1518" t="n">
        <v>-20</v>
      </c>
      <c r="H1518" t="n">
        <v>9.800000000000001</v>
      </c>
      <c r="I1518" s="2" t="n">
        <v>342</v>
      </c>
      <c r="J1518" t="n">
        <v>-79.40000000000001</v>
      </c>
      <c r="K1518" t="n">
        <v>-38.8</v>
      </c>
      <c r="L1518" s="2" t="n">
        <v>178</v>
      </c>
      <c r="M1518" t="n">
        <v>-85.7</v>
      </c>
      <c r="N1518" t="inlineStr">
        <is>
          <t>20260203900497</t>
        </is>
      </c>
      <c r="O1518">
        <f>HYPERLINK("https://dart.fss.or.kr/dsaf001/main.do?rcpNo=20260203900497", "공시열람")</f>
        <v/>
      </c>
    </row>
    <row r="1519">
      <c r="A1519" t="inlineStr">
        <is>
          <t>2026-02-03</t>
        </is>
      </c>
      <c r="B1519" t="inlineStr">
        <is>
          <t>아시아나항공</t>
        </is>
      </c>
      <c r="C1519" t="inlineStr">
        <is>
          <t>020560</t>
        </is>
      </c>
      <c r="D1519" t="inlineStr">
        <is>
          <t>별도</t>
        </is>
      </c>
      <c r="E1519" t="inlineStr">
        <is>
          <t>2025Q4</t>
        </is>
      </c>
      <c r="F1519" s="2" t="n">
        <v>1314062</v>
      </c>
      <c r="G1519" t="n">
        <v>-10.26</v>
      </c>
      <c r="H1519" t="n">
        <v>-27.44</v>
      </c>
      <c r="I1519" s="2" t="n">
        <v>-192934</v>
      </c>
      <c r="J1519" t="n">
        <v>-9.82</v>
      </c>
      <c r="K1519" t="n">
        <v>-698.37</v>
      </c>
      <c r="L1519" s="2" t="n">
        <v>-176520</v>
      </c>
      <c r="M1519" t="n">
        <v>43.66</v>
      </c>
      <c r="N1519" t="inlineStr">
        <is>
          <t>20260203800962</t>
        </is>
      </c>
      <c r="O1519">
        <f>HYPERLINK("https://dart.fss.or.kr/dsaf001/main.do?rcpNo=20260203800962", "공시열람")</f>
        <v/>
      </c>
    </row>
    <row r="1520">
      <c r="A1520" t="inlineStr">
        <is>
          <t>2026-02-02</t>
        </is>
      </c>
      <c r="B1520" t="inlineStr">
        <is>
          <t>엘앤에프</t>
        </is>
      </c>
      <c r="C1520" t="inlineStr">
        <is>
          <t>066970</t>
        </is>
      </c>
      <c r="D1520" t="inlineStr">
        <is>
          <t>연결</t>
        </is>
      </c>
      <c r="E1520" t="inlineStr">
        <is>
          <t>2025Q4</t>
        </is>
      </c>
      <c r="F1520" s="2" t="n">
        <v>617785</v>
      </c>
      <c r="G1520" t="n">
        <v>-5.3</v>
      </c>
      <c r="H1520" t="n">
        <v>69.09999999999999</v>
      </c>
      <c r="I1520" s="2" t="n">
        <v>82469</v>
      </c>
      <c r="J1520" t="n">
        <v>272.8</v>
      </c>
      <c r="K1520" t="inlineStr"/>
      <c r="L1520" s="2" t="n">
        <v>-182895</v>
      </c>
      <c r="M1520" t="n">
        <v>-55.4</v>
      </c>
      <c r="N1520" t="inlineStr">
        <is>
          <t>20260202801934</t>
        </is>
      </c>
      <c r="O1520">
        <f>HYPERLINK("https://dart.fss.or.kr/dsaf001/main.do?rcpNo=20260202801934", "공시열람")</f>
        <v/>
      </c>
    </row>
    <row r="1521">
      <c r="A1521" t="inlineStr">
        <is>
          <t>2026-02-02</t>
        </is>
      </c>
      <c r="B1521" t="inlineStr">
        <is>
          <t>옵티시스</t>
        </is>
      </c>
      <c r="C1521" t="inlineStr">
        <is>
          <t>109080</t>
        </is>
      </c>
      <c r="D1521" t="inlineStr">
        <is>
          <t>별도</t>
        </is>
      </c>
      <c r="E1521" t="inlineStr">
        <is>
          <t>2025Q4</t>
        </is>
      </c>
      <c r="F1521" s="2" t="n">
        <v>6317</v>
      </c>
      <c r="G1521" t="n">
        <v>23.1</v>
      </c>
      <c r="H1521" t="n">
        <v>-18.3</v>
      </c>
      <c r="I1521" s="2" t="n">
        <v>508</v>
      </c>
      <c r="J1521" t="n">
        <v>-31.8</v>
      </c>
      <c r="K1521" t="n">
        <v>-61.1</v>
      </c>
      <c r="L1521" s="2" t="n">
        <v>657</v>
      </c>
      <c r="M1521" t="n">
        <v>-72.40000000000001</v>
      </c>
      <c r="N1521" t="inlineStr">
        <is>
          <t>20260202902118</t>
        </is>
      </c>
      <c r="O1521">
        <f>HYPERLINK("https://dart.fss.or.kr/dsaf001/main.do?rcpNo=20260202902118", "공시열람")</f>
        <v/>
      </c>
    </row>
    <row r="1522">
      <c r="A1522" t="inlineStr">
        <is>
          <t>2026-02-02</t>
        </is>
      </c>
      <c r="B1522" t="inlineStr">
        <is>
          <t>보령</t>
        </is>
      </c>
      <c r="C1522" t="inlineStr">
        <is>
          <t>003850</t>
        </is>
      </c>
      <c r="D1522" t="inlineStr">
        <is>
          <t>연결</t>
        </is>
      </c>
      <c r="E1522" t="inlineStr">
        <is>
          <t>2025Q4</t>
        </is>
      </c>
      <c r="F1522" s="2" t="n">
        <v>263962</v>
      </c>
      <c r="G1522" t="n">
        <v>-5.73</v>
      </c>
      <c r="H1522" t="n">
        <v>2.74</v>
      </c>
      <c r="I1522" s="2" t="n">
        <v>19826</v>
      </c>
      <c r="J1522" t="n">
        <v>-32.65</v>
      </c>
      <c r="K1522" t="n">
        <v>36.27</v>
      </c>
      <c r="L1522" s="2" t="n">
        <v>37672</v>
      </c>
      <c r="M1522" t="n">
        <v>184.66</v>
      </c>
      <c r="N1522" t="inlineStr">
        <is>
          <t>20260202801775</t>
        </is>
      </c>
      <c r="O1522">
        <f>HYPERLINK("https://dart.fss.or.kr/dsaf001/main.do?rcpNo=20260202801775", "공시열람")</f>
        <v/>
      </c>
    </row>
    <row r="1523">
      <c r="A1523" t="inlineStr">
        <is>
          <t>2026-02-02</t>
        </is>
      </c>
      <c r="B1523" t="inlineStr">
        <is>
          <t>KG모빌리티</t>
        </is>
      </c>
      <c r="C1523" t="inlineStr">
        <is>
          <t>003620</t>
        </is>
      </c>
      <c r="D1523" t="inlineStr">
        <is>
          <t>별도</t>
        </is>
      </c>
      <c r="E1523" t="inlineStr">
        <is>
          <t>2025Q4</t>
        </is>
      </c>
      <c r="F1523" s="2" t="inlineStr"/>
      <c r="G1523" t="inlineStr"/>
      <c r="H1523" t="inlineStr"/>
      <c r="I1523" s="2" t="inlineStr"/>
      <c r="J1523" t="inlineStr"/>
      <c r="K1523" t="inlineStr"/>
      <c r="L1523" s="2" t="inlineStr"/>
      <c r="M1523" t="inlineStr"/>
      <c r="N1523" t="inlineStr">
        <is>
          <t>20260202800923</t>
        </is>
      </c>
      <c r="O1523">
        <f>HYPERLINK("https://dart.fss.or.kr/dsaf001/main.do?rcpNo=20260202800923", "공시열람")</f>
        <v/>
      </c>
    </row>
    <row r="1524">
      <c r="A1524" t="inlineStr">
        <is>
          <t>2026-02-02</t>
        </is>
      </c>
      <c r="B1524" t="inlineStr">
        <is>
          <t>KZ정밀</t>
        </is>
      </c>
      <c r="C1524" t="inlineStr">
        <is>
          <t>036560</t>
        </is>
      </c>
      <c r="D1524" t="inlineStr">
        <is>
          <t>별도</t>
        </is>
      </c>
      <c r="E1524" t="inlineStr">
        <is>
          <t>2025Q4</t>
        </is>
      </c>
      <c r="F1524" s="2" t="n">
        <v>28676</v>
      </c>
      <c r="G1524" t="n">
        <v>2.5</v>
      </c>
      <c r="H1524" t="n">
        <v>-17.8</v>
      </c>
      <c r="I1524" s="2" t="n">
        <v>1376</v>
      </c>
      <c r="J1524" t="n">
        <v>-52.4</v>
      </c>
      <c r="K1524" t="n">
        <v>-50.8</v>
      </c>
      <c r="L1524" s="2" t="n">
        <v>839</v>
      </c>
      <c r="M1524" t="n">
        <v>-60.7</v>
      </c>
      <c r="N1524" t="inlineStr">
        <is>
          <t>20260202901340</t>
        </is>
      </c>
      <c r="O1524">
        <f>HYPERLINK("https://dart.fss.or.kr/dsaf001/main.do?rcpNo=20260202901340", "공시열람")</f>
        <v/>
      </c>
    </row>
    <row r="1525">
      <c r="A1525" t="inlineStr">
        <is>
          <t>2026-02-02</t>
        </is>
      </c>
      <c r="B1525" t="inlineStr">
        <is>
          <t>롯데관광개발</t>
        </is>
      </c>
      <c r="C1525" t="inlineStr">
        <is>
          <t>032350</t>
        </is>
      </c>
      <c r="D1525" t="inlineStr">
        <is>
          <t>연결</t>
        </is>
      </c>
      <c r="E1525" t="inlineStr">
        <is>
          <t>2025Q4</t>
        </is>
      </c>
      <c r="F1525" s="2" t="inlineStr"/>
      <c r="G1525" t="inlineStr"/>
      <c r="H1525" t="inlineStr"/>
      <c r="I1525" s="2" t="inlineStr"/>
      <c r="J1525" t="inlineStr"/>
      <c r="K1525" t="inlineStr"/>
      <c r="L1525" s="2" t="inlineStr"/>
      <c r="M1525" t="inlineStr"/>
      <c r="N1525" t="inlineStr">
        <is>
          <t>20260202802123</t>
        </is>
      </c>
      <c r="O1525">
        <f>HYPERLINK("https://dart.fss.or.kr/dsaf001/main.do?rcpNo=20260202802123", "공시열람")</f>
        <v/>
      </c>
    </row>
    <row r="1526">
      <c r="A1526" t="inlineStr">
        <is>
          <t>2026-02-02</t>
        </is>
      </c>
      <c r="B1526" t="inlineStr">
        <is>
          <t>고영</t>
        </is>
      </c>
      <c r="C1526" t="inlineStr">
        <is>
          <t>098460</t>
        </is>
      </c>
      <c r="D1526" t="inlineStr">
        <is>
          <t>연결</t>
        </is>
      </c>
      <c r="E1526" t="inlineStr">
        <is>
          <t>2025Q4</t>
        </is>
      </c>
      <c r="F1526" s="2" t="n">
        <v>69146</v>
      </c>
      <c r="G1526" t="n">
        <v>14.7</v>
      </c>
      <c r="H1526" t="n">
        <v>36.3</v>
      </c>
      <c r="I1526" s="2" t="n">
        <v>6945</v>
      </c>
      <c r="J1526" t="n">
        <v>47.9</v>
      </c>
      <c r="K1526" t="inlineStr"/>
      <c r="L1526" s="2" t="n">
        <v>7745</v>
      </c>
      <c r="M1526" t="n">
        <v>-28.3</v>
      </c>
      <c r="N1526" t="inlineStr">
        <is>
          <t>20260202901522</t>
        </is>
      </c>
      <c r="O1526">
        <f>HYPERLINK("https://dart.fss.or.kr/dsaf001/main.do?rcpNo=20260202901522", "공시열람")</f>
        <v/>
      </c>
    </row>
    <row r="1527">
      <c r="A1527" t="inlineStr">
        <is>
          <t>2026-02-02</t>
        </is>
      </c>
      <c r="B1527" t="inlineStr">
        <is>
          <t>기아</t>
        </is>
      </c>
      <c r="C1527" t="inlineStr">
        <is>
          <t>000270</t>
        </is>
      </c>
      <c r="D1527" t="inlineStr">
        <is>
          <t>별도</t>
        </is>
      </c>
      <c r="E1527" t="inlineStr">
        <is>
          <t>2025Q4</t>
        </is>
      </c>
      <c r="F1527" s="2" t="inlineStr"/>
      <c r="G1527" t="inlineStr"/>
      <c r="H1527" t="inlineStr"/>
      <c r="I1527" s="2" t="inlineStr"/>
      <c r="J1527" t="inlineStr"/>
      <c r="K1527" t="inlineStr"/>
      <c r="L1527" s="2" t="inlineStr"/>
      <c r="M1527" t="inlineStr"/>
      <c r="N1527" t="inlineStr">
        <is>
          <t>20260202801312</t>
        </is>
      </c>
      <c r="O1527">
        <f>HYPERLINK("https://dart.fss.or.kr/dsaf001/main.do?rcpNo=20260202801312", "공시열람")</f>
        <v/>
      </c>
    </row>
    <row r="1528">
      <c r="A1528" t="inlineStr">
        <is>
          <t>2026-02-02</t>
        </is>
      </c>
      <c r="B1528" t="inlineStr">
        <is>
          <t>현대자동차</t>
        </is>
      </c>
      <c r="C1528" t="inlineStr">
        <is>
          <t>005380</t>
        </is>
      </c>
      <c r="D1528" t="inlineStr">
        <is>
          <t>별도</t>
        </is>
      </c>
      <c r="E1528" t="inlineStr">
        <is>
          <t>2025Q4</t>
        </is>
      </c>
      <c r="F1528" s="2" t="inlineStr"/>
      <c r="G1528" t="inlineStr"/>
      <c r="H1528" t="inlineStr"/>
      <c r="I1528" s="2" t="inlineStr"/>
      <c r="J1528" t="inlineStr"/>
      <c r="K1528" t="inlineStr"/>
      <c r="L1528" s="2" t="inlineStr"/>
      <c r="M1528" t="inlineStr"/>
      <c r="N1528" t="inlineStr">
        <is>
          <t>20260202801081</t>
        </is>
      </c>
      <c r="O1528">
        <f>HYPERLINK("https://dart.fss.or.kr/dsaf001/main.do?rcpNo=20260202801081", "공시열람")</f>
        <v/>
      </c>
    </row>
    <row r="1529">
      <c r="A1529" t="inlineStr">
        <is>
          <t>2026-02-02</t>
        </is>
      </c>
      <c r="B1529" t="inlineStr">
        <is>
          <t>넥써쓰</t>
        </is>
      </c>
      <c r="C1529" t="inlineStr">
        <is>
          <t>205500</t>
        </is>
      </c>
      <c r="D1529" t="inlineStr">
        <is>
          <t>연결</t>
        </is>
      </c>
      <c r="E1529" t="inlineStr">
        <is>
          <t>2025Q4</t>
        </is>
      </c>
      <c r="F1529" s="2" t="n">
        <v>11599</v>
      </c>
      <c r="G1529" t="n">
        <v>26.1</v>
      </c>
      <c r="H1529" t="n">
        <v>1092.1</v>
      </c>
      <c r="I1529" s="2" t="n">
        <v>109</v>
      </c>
      <c r="J1529" t="n">
        <v>-65</v>
      </c>
      <c r="K1529" t="inlineStr"/>
      <c r="L1529" s="2" t="n">
        <v>-2184</v>
      </c>
      <c r="M1529" t="n">
        <v>-102.6</v>
      </c>
      <c r="N1529" t="inlineStr">
        <is>
          <t>20260202900212</t>
        </is>
      </c>
      <c r="O1529">
        <f>HYPERLINK("https://dart.fss.or.kr/dsaf001/main.do?rcpNo=20260202900212", "공시열람")</f>
        <v/>
      </c>
    </row>
    <row r="1530">
      <c r="A1530" t="inlineStr">
        <is>
          <t>2026-02-02</t>
        </is>
      </c>
      <c r="B1530" t="inlineStr">
        <is>
          <t>윈스테크넷</t>
        </is>
      </c>
      <c r="C1530" t="inlineStr">
        <is>
          <t>136540</t>
        </is>
      </c>
      <c r="D1530" t="inlineStr">
        <is>
          <t>연결</t>
        </is>
      </c>
      <c r="E1530" t="inlineStr">
        <is>
          <t>2025Q4</t>
        </is>
      </c>
      <c r="F1530" s="2" t="n">
        <v>40205</v>
      </c>
      <c r="G1530" t="n">
        <v>116.5</v>
      </c>
      <c r="H1530" t="n">
        <v>23.6</v>
      </c>
      <c r="I1530" s="2" t="n">
        <v>10532</v>
      </c>
      <c r="J1530" t="n">
        <v>207.2</v>
      </c>
      <c r="K1530" t="n">
        <v>40</v>
      </c>
      <c r="L1530" s="2" t="n">
        <v>7637</v>
      </c>
      <c r="M1530" t="n">
        <v>19.3</v>
      </c>
      <c r="N1530" t="inlineStr">
        <is>
          <t>20260202901163</t>
        </is>
      </c>
      <c r="O1530">
        <f>HYPERLINK("https://dart.fss.or.kr/dsaf001/main.do?rcpNo=20260202901163", "공시열람")</f>
        <v/>
      </c>
    </row>
    <row r="1531">
      <c r="A1531" t="inlineStr">
        <is>
          <t>2026-02-02</t>
        </is>
      </c>
      <c r="B1531" t="inlineStr">
        <is>
          <t>삼성SDI</t>
        </is>
      </c>
      <c r="C1531" t="inlineStr">
        <is>
          <t>006400</t>
        </is>
      </c>
      <c r="D1531" t="inlineStr">
        <is>
          <t>연결</t>
        </is>
      </c>
      <c r="E1531" t="inlineStr">
        <is>
          <t>2025Q4</t>
        </is>
      </c>
      <c r="F1531" s="2" t="n">
        <v>3858700</v>
      </c>
      <c r="G1531" t="n">
        <v>26.4</v>
      </c>
      <c r="H1531" t="n">
        <v>2.8</v>
      </c>
      <c r="I1531" s="2" t="n">
        <v>-299200</v>
      </c>
      <c r="J1531" t="inlineStr"/>
      <c r="K1531" t="inlineStr"/>
      <c r="L1531" s="2" t="n">
        <v>-207800</v>
      </c>
      <c r="M1531" t="inlineStr"/>
      <c r="N1531" t="inlineStr">
        <is>
          <t>20260202800521</t>
        </is>
      </c>
      <c r="O1531">
        <f>HYPERLINK("https://dart.fss.or.kr/dsaf001/main.do?rcpNo=20260202800521", "공시열람")</f>
        <v/>
      </c>
    </row>
    <row r="1532">
      <c r="A1532" t="inlineStr">
        <is>
          <t>2026-02-02</t>
        </is>
      </c>
      <c r="B1532" t="inlineStr">
        <is>
          <t>제일기획</t>
        </is>
      </c>
      <c r="C1532" t="inlineStr">
        <is>
          <t>030000</t>
        </is>
      </c>
      <c r="D1532" t="inlineStr">
        <is>
          <t>연결</t>
        </is>
      </c>
      <c r="E1532" t="inlineStr">
        <is>
          <t>2025Q4</t>
        </is>
      </c>
      <c r="F1532" s="2" t="n">
        <v>1199721</v>
      </c>
      <c r="G1532" t="n">
        <v>0.91</v>
      </c>
      <c r="H1532" t="n">
        <v>3.05</v>
      </c>
      <c r="I1532" s="2" t="n">
        <v>90391</v>
      </c>
      <c r="J1532" t="n">
        <v>-5.73</v>
      </c>
      <c r="K1532" t="n">
        <v>9.699999999999999</v>
      </c>
      <c r="L1532" s="2" t="n">
        <v>64434</v>
      </c>
      <c r="M1532" t="n">
        <v>66.08</v>
      </c>
      <c r="N1532" t="inlineStr">
        <is>
          <t>20260202800424</t>
        </is>
      </c>
      <c r="O1532">
        <f>HYPERLINK("https://dart.fss.or.kr/dsaf001/main.do?rcpNo=20260202800424", "공시열람")</f>
        <v/>
      </c>
    </row>
    <row r="1533">
      <c r="A1533" t="inlineStr">
        <is>
          <t>2026-02-02</t>
        </is>
      </c>
      <c r="B1533" t="inlineStr">
        <is>
          <t>윈스테크넷</t>
        </is>
      </c>
      <c r="C1533" t="inlineStr">
        <is>
          <t>136540</t>
        </is>
      </c>
      <c r="D1533" t="inlineStr">
        <is>
          <t>별도</t>
        </is>
      </c>
      <c r="E1533" t="inlineStr">
        <is>
          <t>2025Q4</t>
        </is>
      </c>
      <c r="F1533" s="2" t="n">
        <v>38089</v>
      </c>
      <c r="G1533" t="n">
        <v>111.5</v>
      </c>
      <c r="H1533" t="n">
        <v>21.6</v>
      </c>
      <c r="I1533" s="2" t="n">
        <v>9291</v>
      </c>
      <c r="J1533" t="n">
        <v>207.9</v>
      </c>
      <c r="K1533" t="n">
        <v>35.8</v>
      </c>
      <c r="L1533" s="2" t="n">
        <v>6776</v>
      </c>
      <c r="M1533" t="n">
        <v>9.6</v>
      </c>
      <c r="N1533" t="inlineStr">
        <is>
          <t>20260202901181</t>
        </is>
      </c>
      <c r="O1533">
        <f>HYPERLINK("https://dart.fss.or.kr/dsaf001/main.do?rcpNo=20260202901181", "공시열람")</f>
        <v/>
      </c>
    </row>
    <row r="1534">
      <c r="A1534" t="inlineStr">
        <is>
          <t>2026-02-02</t>
        </is>
      </c>
      <c r="B1534" t="inlineStr">
        <is>
          <t>알테오젠</t>
        </is>
      </c>
      <c r="C1534" t="inlineStr">
        <is>
          <t>196170</t>
        </is>
      </c>
      <c r="D1534" t="inlineStr">
        <is>
          <t>별도</t>
        </is>
      </c>
      <c r="E1534" t="inlineStr">
        <is>
          <t>2025Q4</t>
        </is>
      </c>
      <c r="F1534" s="2" t="n">
        <v>202116</v>
      </c>
      <c r="G1534" t="n">
        <v>117.4</v>
      </c>
      <c r="H1534" t="inlineStr"/>
      <c r="I1534" s="2" t="n">
        <v>114797</v>
      </c>
      <c r="J1534" t="n">
        <v>274.8</v>
      </c>
      <c r="K1534" t="inlineStr"/>
      <c r="L1534" s="2" t="inlineStr"/>
      <c r="M1534" t="inlineStr"/>
      <c r="N1534" t="inlineStr">
        <is>
          <t>20260202900398</t>
        </is>
      </c>
      <c r="O1534">
        <f>HYPERLINK("https://dart.fss.or.kr/dsaf001/main.do?rcpNo=20260202900398", "공시열람")</f>
        <v/>
      </c>
    </row>
    <row r="1535">
      <c r="A1535" t="inlineStr">
        <is>
          <t>2026-01-30</t>
        </is>
      </c>
      <c r="B1535" t="inlineStr">
        <is>
          <t>대한조선</t>
        </is>
      </c>
      <c r="C1535" t="inlineStr">
        <is>
          <t>439260</t>
        </is>
      </c>
      <c r="D1535" t="inlineStr">
        <is>
          <t>연결</t>
        </is>
      </c>
      <c r="E1535" t="inlineStr">
        <is>
          <t>2025Q4</t>
        </is>
      </c>
      <c r="F1535" s="2" t="n">
        <v>350400</v>
      </c>
      <c r="G1535" t="n">
        <v>27.9</v>
      </c>
      <c r="H1535" t="n">
        <v>5.5</v>
      </c>
      <c r="I1535" s="2" t="n">
        <v>95300</v>
      </c>
      <c r="J1535" t="n">
        <v>43.3</v>
      </c>
      <c r="K1535" t="n">
        <v>36.3</v>
      </c>
      <c r="L1535" s="2" t="n">
        <v>75100</v>
      </c>
      <c r="M1535" t="n">
        <v>-23.2</v>
      </c>
      <c r="N1535" t="inlineStr">
        <is>
          <t>20260130800264</t>
        </is>
      </c>
      <c r="O1535">
        <f>HYPERLINK("https://dart.fss.or.kr/dsaf001/main.do?rcpNo=20260130800264", "공시열람")</f>
        <v/>
      </c>
    </row>
    <row r="1536">
      <c r="A1536" t="inlineStr">
        <is>
          <t>2026-01-30</t>
        </is>
      </c>
      <c r="B1536" t="inlineStr">
        <is>
          <t>송원산업</t>
        </is>
      </c>
      <c r="C1536" t="inlineStr">
        <is>
          <t>004430</t>
        </is>
      </c>
      <c r="D1536" t="inlineStr">
        <is>
          <t>연결</t>
        </is>
      </c>
      <c r="E1536" t="inlineStr">
        <is>
          <t>2025Q4</t>
        </is>
      </c>
      <c r="F1536" s="2" t="n">
        <v>238731</v>
      </c>
      <c r="G1536" t="n">
        <v>-7.7</v>
      </c>
      <c r="H1536" t="n">
        <v>-6.4</v>
      </c>
      <c r="I1536" s="2" t="n">
        <v>-3802</v>
      </c>
      <c r="J1536" t="inlineStr"/>
      <c r="K1536" t="inlineStr"/>
      <c r="L1536" s="2" t="n">
        <v>-2777</v>
      </c>
      <c r="M1536" t="inlineStr"/>
      <c r="N1536" t="inlineStr">
        <is>
          <t>20260130800616</t>
        </is>
      </c>
      <c r="O1536">
        <f>HYPERLINK("https://dart.fss.or.kr/dsaf001/main.do?rcpNo=20260130800616", "공시열람")</f>
        <v/>
      </c>
    </row>
    <row r="1537">
      <c r="A1537" t="inlineStr">
        <is>
          <t>2026-01-30</t>
        </is>
      </c>
      <c r="B1537" t="inlineStr">
        <is>
          <t>효성티앤씨</t>
        </is>
      </c>
      <c r="C1537" t="inlineStr">
        <is>
          <t>298020</t>
        </is>
      </c>
      <c r="D1537" t="inlineStr">
        <is>
          <t>연결</t>
        </is>
      </c>
      <c r="E1537" t="inlineStr">
        <is>
          <t>2025Q4</t>
        </is>
      </c>
      <c r="F1537" s="2" t="n">
        <v>7694844</v>
      </c>
      <c r="G1537" t="n">
        <v>-1</v>
      </c>
      <c r="H1537" t="inlineStr"/>
      <c r="I1537" s="2" t="n">
        <v>251503</v>
      </c>
      <c r="J1537" t="n">
        <v>-7.1</v>
      </c>
      <c r="K1537" t="inlineStr"/>
      <c r="L1537" s="2" t="n">
        <v>38196</v>
      </c>
      <c r="M1537" t="inlineStr"/>
      <c r="N1537" t="inlineStr">
        <is>
          <t>20260130801351</t>
        </is>
      </c>
      <c r="O1537">
        <f>HYPERLINK("https://dart.fss.or.kr/dsaf001/main.do?rcpNo=20260130801351", "공시열람")</f>
        <v/>
      </c>
    </row>
    <row r="1538">
      <c r="A1538" t="inlineStr">
        <is>
          <t>2026-01-30</t>
        </is>
      </c>
      <c r="B1538" t="inlineStr">
        <is>
          <t>효성</t>
        </is>
      </c>
      <c r="C1538" t="inlineStr">
        <is>
          <t>004800</t>
        </is>
      </c>
      <c r="D1538" t="inlineStr">
        <is>
          <t>연결</t>
        </is>
      </c>
      <c r="E1538" t="inlineStr">
        <is>
          <t>2025Q4</t>
        </is>
      </c>
      <c r="F1538" s="2" t="n">
        <v>663725</v>
      </c>
      <c r="G1538" t="n">
        <v>8.4</v>
      </c>
      <c r="H1538" t="n">
        <v>-6.5</v>
      </c>
      <c r="I1538" s="2" t="n">
        <v>90209</v>
      </c>
      <c r="J1538" t="n">
        <v>-26</v>
      </c>
      <c r="K1538" t="n">
        <v>-30.3</v>
      </c>
      <c r="L1538" s="2" t="n">
        <v>175219</v>
      </c>
      <c r="M1538" t="n">
        <v>38.9</v>
      </c>
      <c r="N1538" t="inlineStr">
        <is>
          <t>20260130801234</t>
        </is>
      </c>
      <c r="O1538">
        <f>HYPERLINK("https://dart.fss.or.kr/dsaf001/main.do?rcpNo=20260130801234", "공시열람")</f>
        <v/>
      </c>
    </row>
    <row r="1539">
      <c r="A1539" t="inlineStr">
        <is>
          <t>2026-01-30</t>
        </is>
      </c>
      <c r="B1539" t="inlineStr">
        <is>
          <t>HS효성첨단소재</t>
        </is>
      </c>
      <c r="C1539" t="inlineStr">
        <is>
          <t>298050</t>
        </is>
      </c>
      <c r="D1539" t="inlineStr">
        <is>
          <t>연결</t>
        </is>
      </c>
      <c r="E1539" t="inlineStr">
        <is>
          <t>2025Q4</t>
        </is>
      </c>
      <c r="F1539" s="2" t="n">
        <v>785453</v>
      </c>
      <c r="G1539" t="n">
        <v>-1.94</v>
      </c>
      <c r="H1539" t="n">
        <v>-2.36</v>
      </c>
      <c r="I1539" s="2" t="n">
        <v>30266</v>
      </c>
      <c r="J1539" t="n">
        <v>56.69</v>
      </c>
      <c r="K1539" t="n">
        <v>-32.32</v>
      </c>
      <c r="L1539" s="2" t="n">
        <v>7626</v>
      </c>
      <c r="M1539" t="n">
        <v>-66.56</v>
      </c>
      <c r="N1539" t="inlineStr">
        <is>
          <t>20260130801211</t>
        </is>
      </c>
      <c r="O1539">
        <f>HYPERLINK("https://dart.fss.or.kr/dsaf001/main.do?rcpNo=20260130801211", "공시열람")</f>
        <v/>
      </c>
    </row>
    <row r="1540">
      <c r="A1540" t="inlineStr">
        <is>
          <t>2026-01-30</t>
        </is>
      </c>
      <c r="B1540" t="inlineStr">
        <is>
          <t>효성화학</t>
        </is>
      </c>
      <c r="C1540" t="inlineStr">
        <is>
          <t>298000</t>
        </is>
      </c>
      <c r="D1540" t="inlineStr">
        <is>
          <t>연결</t>
        </is>
      </c>
      <c r="E1540" t="inlineStr">
        <is>
          <t>2025Q4</t>
        </is>
      </c>
      <c r="F1540" s="2" t="n">
        <v>570501</v>
      </c>
      <c r="G1540" t="n">
        <v>-1.69</v>
      </c>
      <c r="H1540" t="n">
        <v>-11.9</v>
      </c>
      <c r="I1540" s="2" t="n">
        <v>-73342</v>
      </c>
      <c r="J1540" t="n">
        <v>-181.41</v>
      </c>
      <c r="K1540" t="n">
        <v>-65.22</v>
      </c>
      <c r="L1540" s="2" t="n">
        <v>-109921</v>
      </c>
      <c r="M1540" t="n">
        <v>-9.32</v>
      </c>
      <c r="N1540" t="inlineStr">
        <is>
          <t>20260130801060</t>
        </is>
      </c>
      <c r="O1540">
        <f>HYPERLINK("https://dart.fss.or.kr/dsaf001/main.do?rcpNo=20260130801060", "공시열람")</f>
        <v/>
      </c>
    </row>
    <row r="1541">
      <c r="A1541" t="inlineStr">
        <is>
          <t>2026-01-30</t>
        </is>
      </c>
      <c r="B1541" t="inlineStr">
        <is>
          <t>효성중공업</t>
        </is>
      </c>
      <c r="C1541" t="inlineStr">
        <is>
          <t>298040</t>
        </is>
      </c>
      <c r="D1541" t="inlineStr">
        <is>
          <t>연결</t>
        </is>
      </c>
      <c r="E1541" t="inlineStr">
        <is>
          <t>2025Q4</t>
        </is>
      </c>
      <c r="F1541" s="2" t="n">
        <v>1742956</v>
      </c>
      <c r="G1541" t="n">
        <v>7.32</v>
      </c>
      <c r="H1541" t="n">
        <v>10.91</v>
      </c>
      <c r="I1541" s="2" t="n">
        <v>260511</v>
      </c>
      <c r="J1541" t="n">
        <v>18.52</v>
      </c>
      <c r="K1541" t="n">
        <v>97.01000000000001</v>
      </c>
      <c r="L1541" s="2" t="n">
        <v>160094</v>
      </c>
      <c r="M1541" t="n">
        <v>66.63</v>
      </c>
      <c r="N1541" t="inlineStr">
        <is>
          <t>20260130800823</t>
        </is>
      </c>
      <c r="O1541">
        <f>HYPERLINK("https://dart.fss.or.kr/dsaf001/main.do?rcpNo=20260130800823", "공시열람")</f>
        <v/>
      </c>
    </row>
    <row r="1542">
      <c r="A1542" t="inlineStr">
        <is>
          <t>2026-01-30</t>
        </is>
      </c>
      <c r="B1542" t="inlineStr">
        <is>
          <t>LX인터내셔널</t>
        </is>
      </c>
      <c r="C1542" t="inlineStr">
        <is>
          <t>001120</t>
        </is>
      </c>
      <c r="D1542" t="inlineStr">
        <is>
          <t>연결</t>
        </is>
      </c>
      <c r="E1542" t="inlineStr">
        <is>
          <t>2025Q4</t>
        </is>
      </c>
      <c r="F1542" s="2" t="n">
        <v>4320100</v>
      </c>
      <c r="G1542" t="n">
        <v>-4.2</v>
      </c>
      <c r="H1542" t="n">
        <v>2.2</v>
      </c>
      <c r="I1542" s="2" t="n">
        <v>55500</v>
      </c>
      <c r="J1542" t="n">
        <v>-14.4</v>
      </c>
      <c r="K1542" t="n">
        <v>-41.1</v>
      </c>
      <c r="L1542" s="2" t="n">
        <v>-55600</v>
      </c>
      <c r="M1542" t="n">
        <v>10.9</v>
      </c>
      <c r="N1542" t="inlineStr">
        <is>
          <t>20260130800641</t>
        </is>
      </c>
      <c r="O1542">
        <f>HYPERLINK("https://dart.fss.or.kr/dsaf001/main.do?rcpNo=20260130800641", "공시열람")</f>
        <v/>
      </c>
    </row>
    <row r="1543">
      <c r="A1543" t="inlineStr">
        <is>
          <t>2026-01-30</t>
        </is>
      </c>
      <c r="B1543" t="inlineStr">
        <is>
          <t>하나금융지주</t>
        </is>
      </c>
      <c r="C1543" t="inlineStr">
        <is>
          <t>086790</t>
        </is>
      </c>
      <c r="D1543" t="inlineStr">
        <is>
          <t>연결</t>
        </is>
      </c>
      <c r="E1543" t="inlineStr">
        <is>
          <t>2025Q4</t>
        </is>
      </c>
      <c r="F1543" s="2" t="n">
        <v>4454469</v>
      </c>
      <c r="G1543" t="n">
        <v>83.37</v>
      </c>
      <c r="H1543" t="n">
        <v>10.73</v>
      </c>
      <c r="I1543" s="2" t="n">
        <v>-17767</v>
      </c>
      <c r="J1543" t="inlineStr"/>
      <c r="K1543" t="n">
        <v>66.98</v>
      </c>
      <c r="L1543" s="2" t="n">
        <v>37714</v>
      </c>
      <c r="M1543" t="n">
        <v>-7.34</v>
      </c>
      <c r="N1543" t="inlineStr">
        <is>
          <t>20260130800524</t>
        </is>
      </c>
      <c r="O1543">
        <f>HYPERLINK("https://dart.fss.or.kr/dsaf001/main.do?rcpNo=20260130800524", "공시열람")</f>
        <v/>
      </c>
    </row>
    <row r="1544">
      <c r="A1544" t="inlineStr">
        <is>
          <t>2026-01-30</t>
        </is>
      </c>
      <c r="B1544" t="inlineStr">
        <is>
          <t>화인베스틸</t>
        </is>
      </c>
      <c r="C1544" t="inlineStr">
        <is>
          <t>133820</t>
        </is>
      </c>
      <c r="D1544" t="inlineStr">
        <is>
          <t>별도</t>
        </is>
      </c>
      <c r="E1544" t="inlineStr">
        <is>
          <t>2025Q4</t>
        </is>
      </c>
      <c r="F1544" s="2" t="n">
        <v>51567</v>
      </c>
      <c r="G1544" t="n">
        <v>10</v>
      </c>
      <c r="H1544" t="n">
        <v>56.5</v>
      </c>
      <c r="I1544" s="2" t="n">
        <v>2096</v>
      </c>
      <c r="J1544" t="n">
        <v>225</v>
      </c>
      <c r="K1544" t="inlineStr"/>
      <c r="L1544" s="2" t="n">
        <v>-2465</v>
      </c>
      <c r="M1544" t="n">
        <v>84.90000000000001</v>
      </c>
      <c r="N1544" t="inlineStr">
        <is>
          <t>20260130800353</t>
        </is>
      </c>
      <c r="O1544">
        <f>HYPERLINK("https://dart.fss.or.kr/dsaf001/main.do?rcpNo=20260130800353", "공시열람")</f>
        <v/>
      </c>
    </row>
    <row r="1545">
      <c r="A1545" t="inlineStr">
        <is>
          <t>2026-01-30</t>
        </is>
      </c>
      <c r="B1545" t="inlineStr">
        <is>
          <t>하나금융지주</t>
        </is>
      </c>
      <c r="C1545" t="inlineStr">
        <is>
          <t>086790</t>
        </is>
      </c>
      <c r="D1545" t="inlineStr">
        <is>
          <t>연결</t>
        </is>
      </c>
      <c r="E1545" t="inlineStr">
        <is>
          <t>2025Q4</t>
        </is>
      </c>
      <c r="F1545" s="2" t="n">
        <v>11100831</v>
      </c>
      <c r="G1545" t="n">
        <v>64.06999999999999</v>
      </c>
      <c r="H1545" t="n">
        <v>-51.35</v>
      </c>
      <c r="I1545" s="2" t="n">
        <v>993317</v>
      </c>
      <c r="J1545" t="n">
        <v>-26.56</v>
      </c>
      <c r="K1545" t="n">
        <v>25.4</v>
      </c>
      <c r="L1545" s="2" t="n">
        <v>617385</v>
      </c>
      <c r="M1545" t="n">
        <v>6.7</v>
      </c>
      <c r="N1545" t="inlineStr">
        <is>
          <t>20260130800523</t>
        </is>
      </c>
      <c r="O1545">
        <f>HYPERLINK("https://dart.fss.or.kr/dsaf001/main.do?rcpNo=20260130800523", "공시열람")</f>
        <v/>
      </c>
    </row>
    <row r="1546">
      <c r="A1546" t="inlineStr">
        <is>
          <t>2026-01-30</t>
        </is>
      </c>
      <c r="B1546" t="inlineStr">
        <is>
          <t>하나금융지주</t>
        </is>
      </c>
      <c r="C1546" t="inlineStr">
        <is>
          <t>086790</t>
        </is>
      </c>
      <c r="D1546" t="inlineStr">
        <is>
          <t>연결</t>
        </is>
      </c>
      <c r="E1546" t="inlineStr">
        <is>
          <t>2025Q4</t>
        </is>
      </c>
      <c r="F1546" s="2" t="n">
        <v>17149199</v>
      </c>
      <c r="G1546" t="n">
        <v>57.44</v>
      </c>
      <c r="H1546" t="n">
        <v>-39.83</v>
      </c>
      <c r="I1546" s="2" t="n">
        <v>890404</v>
      </c>
      <c r="J1546" t="n">
        <v>-39.77</v>
      </c>
      <c r="K1546" t="n">
        <v>48.02</v>
      </c>
      <c r="L1546" s="2" t="n">
        <v>577631</v>
      </c>
      <c r="M1546" t="n">
        <v>10.85</v>
      </c>
      <c r="N1546" t="inlineStr">
        <is>
          <t>20260130800520</t>
        </is>
      </c>
      <c r="O1546">
        <f>HYPERLINK("https://dart.fss.or.kr/dsaf001/main.do?rcpNo=20260130800520", "공시열람")</f>
        <v/>
      </c>
    </row>
    <row r="1547">
      <c r="A1547" t="inlineStr">
        <is>
          <t>2026-01-30</t>
        </is>
      </c>
      <c r="B1547" t="inlineStr">
        <is>
          <t>현대위아</t>
        </is>
      </c>
      <c r="C1547" t="inlineStr">
        <is>
          <t>011210</t>
        </is>
      </c>
      <c r="D1547" t="inlineStr">
        <is>
          <t>연결</t>
        </is>
      </c>
      <c r="E1547" t="inlineStr">
        <is>
          <t>2025Q4</t>
        </is>
      </c>
      <c r="F1547" s="2" t="n">
        <v>2089337</v>
      </c>
      <c r="G1547" t="n">
        <v>-2.9</v>
      </c>
      <c r="H1547" t="n">
        <v>4.1</v>
      </c>
      <c r="I1547" s="2" t="n">
        <v>47686</v>
      </c>
      <c r="J1547" t="n">
        <v>-8</v>
      </c>
      <c r="K1547" t="n">
        <v>-12.8</v>
      </c>
      <c r="L1547" s="2" t="n">
        <v>56735</v>
      </c>
      <c r="M1547" t="n">
        <v>-2.7</v>
      </c>
      <c r="N1547" t="inlineStr">
        <is>
          <t>20260130800484</t>
        </is>
      </c>
      <c r="O1547">
        <f>HYPERLINK("https://dart.fss.or.kr/dsaf001/main.do?rcpNo=20260130800484", "공시열람")</f>
        <v/>
      </c>
    </row>
    <row r="1548">
      <c r="A1548" t="inlineStr">
        <is>
          <t>2026-01-30</t>
        </is>
      </c>
      <c r="B1548" t="inlineStr">
        <is>
          <t>라온로보틱스</t>
        </is>
      </c>
      <c r="C1548" t="inlineStr">
        <is>
          <t>232680</t>
        </is>
      </c>
      <c r="D1548" t="inlineStr">
        <is>
          <t>별도</t>
        </is>
      </c>
      <c r="E1548" t="inlineStr">
        <is>
          <t>2025Q4</t>
        </is>
      </c>
      <c r="F1548" s="2" t="n">
        <v>15032</v>
      </c>
      <c r="G1548" t="n">
        <v>15.9</v>
      </c>
      <c r="H1548" t="n">
        <v>-1.4</v>
      </c>
      <c r="I1548" s="2" t="n">
        <v>1233</v>
      </c>
      <c r="J1548" t="n">
        <v>12.6</v>
      </c>
      <c r="K1548" t="n">
        <v>141.3</v>
      </c>
      <c r="L1548" s="2" t="n">
        <v>1529</v>
      </c>
      <c r="M1548" t="n">
        <v>-16.4</v>
      </c>
      <c r="N1548" t="inlineStr">
        <is>
          <t>20260130900447</t>
        </is>
      </c>
      <c r="O1548">
        <f>HYPERLINK("https://dart.fss.or.kr/dsaf001/main.do?rcpNo=20260130900447", "공시열람")</f>
        <v/>
      </c>
    </row>
    <row r="1549">
      <c r="A1549" t="inlineStr">
        <is>
          <t>2026-01-30</t>
        </is>
      </c>
      <c r="B1549" t="inlineStr">
        <is>
          <t>현대로템</t>
        </is>
      </c>
      <c r="C1549" t="inlineStr">
        <is>
          <t>064350</t>
        </is>
      </c>
      <c r="D1549" t="inlineStr">
        <is>
          <t>연결</t>
        </is>
      </c>
      <c r="E1549" t="inlineStr">
        <is>
          <t>2025Q4</t>
        </is>
      </c>
      <c r="F1549" s="2" t="n">
        <v>1625622</v>
      </c>
      <c r="G1549" t="n">
        <v>0.4</v>
      </c>
      <c r="H1549" t="n">
        <v>12.8</v>
      </c>
      <c r="I1549" s="2" t="n">
        <v>267458</v>
      </c>
      <c r="J1549" t="n">
        <v>-3.7</v>
      </c>
      <c r="K1549" t="n">
        <v>65.40000000000001</v>
      </c>
      <c r="L1549" s="2" t="n">
        <v>225426</v>
      </c>
      <c r="M1549" t="n">
        <v>55.4</v>
      </c>
      <c r="N1549" t="inlineStr">
        <is>
          <t>20260130800429</t>
        </is>
      </c>
      <c r="O1549">
        <f>HYPERLINK("https://dart.fss.or.kr/dsaf001/main.do?rcpNo=20260130800429", "공시열람")</f>
        <v/>
      </c>
    </row>
    <row r="1550">
      <c r="A1550" t="inlineStr">
        <is>
          <t>2026-01-30</t>
        </is>
      </c>
      <c r="B1550" t="inlineStr">
        <is>
          <t>현대제철</t>
        </is>
      </c>
      <c r="C1550" t="inlineStr">
        <is>
          <t>004020</t>
        </is>
      </c>
      <c r="D1550" t="inlineStr">
        <is>
          <t>연결</t>
        </is>
      </c>
      <c r="E1550" t="inlineStr">
        <is>
          <t>2025Q4</t>
        </is>
      </c>
      <c r="F1550" s="2" t="n">
        <v>22733200</v>
      </c>
      <c r="G1550" t="n">
        <v>-2.1</v>
      </c>
      <c r="H1550" t="inlineStr"/>
      <c r="I1550" s="2" t="n">
        <v>219200</v>
      </c>
      <c r="J1550" t="n">
        <v>37.4</v>
      </c>
      <c r="K1550" t="inlineStr"/>
      <c r="L1550" s="2" t="n">
        <v>1400</v>
      </c>
      <c r="M1550" t="inlineStr"/>
      <c r="N1550" t="inlineStr">
        <is>
          <t>20260130800426</t>
        </is>
      </c>
      <c r="O1550">
        <f>HYPERLINK("https://dart.fss.or.kr/dsaf001/main.do?rcpNo=20260130800426", "공시열람")</f>
        <v/>
      </c>
    </row>
    <row r="1551">
      <c r="A1551" t="inlineStr">
        <is>
          <t>2026-01-30</t>
        </is>
      </c>
      <c r="B1551" t="inlineStr">
        <is>
          <t>현대제철</t>
        </is>
      </c>
      <c r="C1551" t="inlineStr">
        <is>
          <t>004020</t>
        </is>
      </c>
      <c r="D1551" t="inlineStr">
        <is>
          <t>별도</t>
        </is>
      </c>
      <c r="E1551" t="inlineStr">
        <is>
          <t>2025Q4</t>
        </is>
      </c>
      <c r="F1551" s="2" t="n">
        <v>17800100</v>
      </c>
      <c r="G1551" t="n">
        <v>-4.4</v>
      </c>
      <c r="H1551" t="inlineStr"/>
      <c r="I1551" s="2" t="n">
        <v>89200</v>
      </c>
      <c r="J1551" t="n">
        <v>494.7</v>
      </c>
      <c r="K1551" t="inlineStr"/>
      <c r="L1551" s="2" t="n">
        <v>-40900</v>
      </c>
      <c r="M1551" t="inlineStr"/>
      <c r="N1551" t="inlineStr">
        <is>
          <t>20260130800417</t>
        </is>
      </c>
      <c r="O1551">
        <f>HYPERLINK("https://dart.fss.or.kr/dsaf001/main.do?rcpNo=20260130800417", "공시열람")</f>
        <v/>
      </c>
    </row>
    <row r="1552">
      <c r="A1552" t="inlineStr">
        <is>
          <t>2026-01-30</t>
        </is>
      </c>
      <c r="B1552" t="inlineStr">
        <is>
          <t>현대오토에버</t>
        </is>
      </c>
      <c r="C1552" t="inlineStr">
        <is>
          <t>307950</t>
        </is>
      </c>
      <c r="D1552" t="inlineStr">
        <is>
          <t>연결</t>
        </is>
      </c>
      <c r="E1552" t="inlineStr">
        <is>
          <t>2025Q4</t>
        </is>
      </c>
      <c r="F1552" s="2" t="n">
        <v>1322747</v>
      </c>
      <c r="G1552" t="n">
        <v>25.5</v>
      </c>
      <c r="H1552" t="n">
        <v>14.1</v>
      </c>
      <c r="I1552" s="2" t="n">
        <v>76466</v>
      </c>
      <c r="J1552" t="n">
        <v>8.1</v>
      </c>
      <c r="K1552" t="n">
        <v>5.3</v>
      </c>
      <c r="L1552" s="2" t="n">
        <v>54367</v>
      </c>
      <c r="M1552" t="n">
        <v>5.1</v>
      </c>
      <c r="N1552" t="inlineStr">
        <is>
          <t>20260130800391</t>
        </is>
      </c>
      <c r="O1552">
        <f>HYPERLINK("https://dart.fss.or.kr/dsaf001/main.do?rcpNo=20260130800391", "공시열람")</f>
        <v/>
      </c>
    </row>
    <row r="1553">
      <c r="A1553" t="inlineStr">
        <is>
          <t>2026-01-30</t>
        </is>
      </c>
      <c r="B1553" t="inlineStr">
        <is>
          <t>LG전자</t>
        </is>
      </c>
      <c r="C1553" t="inlineStr">
        <is>
          <t>066570</t>
        </is>
      </c>
      <c r="D1553" t="inlineStr">
        <is>
          <t>연결</t>
        </is>
      </c>
      <c r="E1553" t="inlineStr">
        <is>
          <t>2025Q4</t>
        </is>
      </c>
      <c r="F1553" s="2" t="n">
        <v>23852200</v>
      </c>
      <c r="G1553" t="n">
        <v>9</v>
      </c>
      <c r="H1553" t="n">
        <v>4.8</v>
      </c>
      <c r="I1553" s="2" t="n">
        <v>-109000</v>
      </c>
      <c r="J1553" t="inlineStr"/>
      <c r="K1553" t="inlineStr"/>
      <c r="L1553" s="2" t="n">
        <v>-725900</v>
      </c>
      <c r="M1553" t="n">
        <v>-1.7</v>
      </c>
      <c r="N1553" t="inlineStr">
        <is>
          <t>20260130800462</t>
        </is>
      </c>
      <c r="O1553">
        <f>HYPERLINK("https://dart.fss.or.kr/dsaf001/main.do?rcpNo=20260130800462", "공시열람")</f>
        <v/>
      </c>
    </row>
    <row r="1554">
      <c r="A1554" t="inlineStr">
        <is>
          <t>2026-01-29</t>
        </is>
      </c>
      <c r="B1554" t="inlineStr">
        <is>
          <t>금호석유화학</t>
        </is>
      </c>
      <c r="C1554" t="inlineStr">
        <is>
          <t>011780</t>
        </is>
      </c>
      <c r="D1554" t="inlineStr">
        <is>
          <t>연결</t>
        </is>
      </c>
      <c r="E1554" t="inlineStr">
        <is>
          <t>2025Q4</t>
        </is>
      </c>
      <c r="F1554" s="2" t="n">
        <v>1589713</v>
      </c>
      <c r="G1554" t="n">
        <v>-3.29</v>
      </c>
      <c r="H1554" t="n">
        <v>-12.03</v>
      </c>
      <c r="I1554" s="2" t="n">
        <v>1514</v>
      </c>
      <c r="J1554" t="n">
        <v>-98.20999999999999</v>
      </c>
      <c r="K1554" t="n">
        <v>-84.81999999999999</v>
      </c>
      <c r="L1554" s="2" t="n">
        <v>2746</v>
      </c>
      <c r="M1554" t="n">
        <v>-95.52</v>
      </c>
      <c r="N1554" t="inlineStr">
        <is>
          <t>20260129800418</t>
        </is>
      </c>
      <c r="O1554">
        <f>HYPERLINK("https://dart.fss.or.kr/dsaf001/main.do?rcpNo=20260129800418", "공시열람")</f>
        <v/>
      </c>
    </row>
    <row r="1555">
      <c r="A1555" t="inlineStr">
        <is>
          <t>2026-01-29</t>
        </is>
      </c>
      <c r="B1555" t="inlineStr">
        <is>
          <t>HS효성</t>
        </is>
      </c>
      <c r="C1555" t="inlineStr">
        <is>
          <t>487570</t>
        </is>
      </c>
      <c r="D1555" t="inlineStr">
        <is>
          <t>연결</t>
        </is>
      </c>
      <c r="E1555" t="inlineStr">
        <is>
          <t>2025Q4</t>
        </is>
      </c>
      <c r="F1555" s="2" t="n">
        <v>332029</v>
      </c>
      <c r="G1555" t="n">
        <v>-8.6</v>
      </c>
      <c r="H1555" t="n">
        <v>-5.3</v>
      </c>
      <c r="I1555" s="2" t="n">
        <v>10734</v>
      </c>
      <c r="J1555" t="n">
        <v>-27.1</v>
      </c>
      <c r="K1555" t="n">
        <v>-1.2</v>
      </c>
      <c r="L1555" s="2" t="n">
        <v>8941</v>
      </c>
      <c r="M1555" t="n">
        <v>386.2</v>
      </c>
      <c r="N1555" t="inlineStr">
        <is>
          <t>20260129800993</t>
        </is>
      </c>
      <c r="O1555">
        <f>HYPERLINK("https://dart.fss.or.kr/dsaf001/main.do?rcpNo=20260129800993", "공시열람")</f>
        <v/>
      </c>
    </row>
    <row r="1556">
      <c r="A1556" t="inlineStr">
        <is>
          <t>2026-01-29</t>
        </is>
      </c>
      <c r="B1556" t="inlineStr">
        <is>
          <t>포스코퓨처엠</t>
        </is>
      </c>
      <c r="C1556" t="inlineStr">
        <is>
          <t>003670</t>
        </is>
      </c>
      <c r="D1556" t="inlineStr">
        <is>
          <t>연결</t>
        </is>
      </c>
      <c r="E1556" t="inlineStr">
        <is>
          <t>2025Q4</t>
        </is>
      </c>
      <c r="F1556" s="2" t="n">
        <v>557569</v>
      </c>
      <c r="G1556" t="n">
        <v>-36.3</v>
      </c>
      <c r="H1556" t="n">
        <v>-22.9</v>
      </c>
      <c r="I1556" s="2" t="n">
        <v>-51766</v>
      </c>
      <c r="J1556" t="inlineStr"/>
      <c r="K1556" t="n">
        <v>-25.4</v>
      </c>
      <c r="L1556" s="2" t="n">
        <v>-23309</v>
      </c>
      <c r="M1556" t="n">
        <v>91.59999999999999</v>
      </c>
      <c r="N1556" t="inlineStr">
        <is>
          <t>20260129800269</t>
        </is>
      </c>
      <c r="O1556">
        <f>HYPERLINK("https://dart.fss.or.kr/dsaf001/main.do?rcpNo=20260129800269", "공시열람")</f>
        <v/>
      </c>
    </row>
    <row r="1557">
      <c r="A1557" t="inlineStr">
        <is>
          <t>2026-01-29</t>
        </is>
      </c>
      <c r="B1557" t="inlineStr">
        <is>
          <t>삼성전자</t>
        </is>
      </c>
      <c r="C1557" t="inlineStr">
        <is>
          <t>005930</t>
        </is>
      </c>
      <c r="D1557" t="inlineStr">
        <is>
          <t>연결</t>
        </is>
      </c>
      <c r="E1557" t="inlineStr">
        <is>
          <t>2025Q4</t>
        </is>
      </c>
      <c r="F1557" s="2" t="n">
        <v>94</v>
      </c>
      <c r="G1557" t="n">
        <v>9.039999999999999</v>
      </c>
      <c r="H1557" t="n">
        <v>23.82</v>
      </c>
      <c r="I1557" s="2" t="n">
        <v>20</v>
      </c>
      <c r="J1557" t="n">
        <v>65</v>
      </c>
      <c r="K1557" t="n">
        <v>209.17</v>
      </c>
      <c r="L1557" s="2" t="inlineStr"/>
      <c r="M1557" t="inlineStr"/>
      <c r="N1557" t="inlineStr">
        <is>
          <t>20260129800008</t>
        </is>
      </c>
      <c r="O1557">
        <f>HYPERLINK("https://dart.fss.or.kr/dsaf001/main.do?rcpNo=20260129800008", "공시열람")</f>
        <v/>
      </c>
    </row>
    <row r="1558">
      <c r="A1558" t="inlineStr">
        <is>
          <t>2026-01-29</t>
        </is>
      </c>
      <c r="B1558" t="inlineStr">
        <is>
          <t>포스코인터내셔널</t>
        </is>
      </c>
      <c r="C1558" t="inlineStr">
        <is>
          <t>047050</t>
        </is>
      </c>
      <c r="D1558" t="inlineStr">
        <is>
          <t>연결</t>
        </is>
      </c>
      <c r="E1558" t="inlineStr">
        <is>
          <t>2025Q4</t>
        </is>
      </c>
      <c r="F1558" s="2" t="n">
        <v>32373600</v>
      </c>
      <c r="G1558" t="n">
        <v>0.1</v>
      </c>
      <c r="H1558" t="inlineStr"/>
      <c r="I1558" s="2" t="n">
        <v>1165300</v>
      </c>
      <c r="J1558" t="n">
        <v>4.3</v>
      </c>
      <c r="K1558" t="inlineStr"/>
      <c r="L1558" s="2" t="n">
        <v>636800</v>
      </c>
      <c r="M1558" t="inlineStr"/>
      <c r="N1558" t="inlineStr">
        <is>
          <t>20260129800026</t>
        </is>
      </c>
      <c r="O1558">
        <f>HYPERLINK("https://dart.fss.or.kr/dsaf001/main.do?rcpNo=20260129800026", "공시열람")</f>
        <v/>
      </c>
    </row>
    <row r="1559">
      <c r="A1559" t="inlineStr">
        <is>
          <t>2026-01-29</t>
        </is>
      </c>
      <c r="B1559" t="inlineStr">
        <is>
          <t>포스코스틸리온</t>
        </is>
      </c>
      <c r="C1559" t="inlineStr">
        <is>
          <t>058430</t>
        </is>
      </c>
      <c r="D1559" t="inlineStr">
        <is>
          <t>별도</t>
        </is>
      </c>
      <c r="E1559" t="inlineStr">
        <is>
          <t>2025Q4</t>
        </is>
      </c>
      <c r="F1559" s="2" t="n">
        <v>273100</v>
      </c>
      <c r="G1559" t="n">
        <v>-0.7</v>
      </c>
      <c r="H1559" t="n">
        <v>-1.1</v>
      </c>
      <c r="I1559" s="2" t="n">
        <v>1200</v>
      </c>
      <c r="J1559" t="n">
        <v>-72.09999999999999</v>
      </c>
      <c r="K1559" t="n">
        <v>-85.7</v>
      </c>
      <c r="L1559" s="2" t="n">
        <v>-100</v>
      </c>
      <c r="M1559" t="inlineStr"/>
      <c r="N1559" t="inlineStr">
        <is>
          <t>20260129800118</t>
        </is>
      </c>
      <c r="O1559">
        <f>HYPERLINK("https://dart.fss.or.kr/dsaf001/main.do?rcpNo=20260129800118", "공시열람")</f>
        <v/>
      </c>
    </row>
    <row r="1560">
      <c r="A1560" t="inlineStr">
        <is>
          <t>2026-01-29</t>
        </is>
      </c>
      <c r="B1560" t="inlineStr">
        <is>
          <t>포스코스틸리온</t>
        </is>
      </c>
      <c r="C1560" t="inlineStr">
        <is>
          <t>058430</t>
        </is>
      </c>
      <c r="D1560" t="inlineStr">
        <is>
          <t>연결</t>
        </is>
      </c>
      <c r="E1560" t="inlineStr">
        <is>
          <t>2025Q4</t>
        </is>
      </c>
      <c r="F1560" s="2" t="n">
        <v>281500</v>
      </c>
      <c r="G1560" t="n">
        <v>-0.4</v>
      </c>
      <c r="H1560" t="n">
        <v>-1.5</v>
      </c>
      <c r="I1560" s="2" t="n">
        <v>2100</v>
      </c>
      <c r="J1560" t="n">
        <v>-58</v>
      </c>
      <c r="K1560" t="n">
        <v>-84.7</v>
      </c>
      <c r="L1560" s="2" t="n">
        <v>100</v>
      </c>
      <c r="M1560" t="n">
        <v>-99.09999999999999</v>
      </c>
      <c r="N1560" t="inlineStr">
        <is>
          <t>20260129800120</t>
        </is>
      </c>
      <c r="O1560">
        <f>HYPERLINK("https://dart.fss.or.kr/dsaf001/main.do?rcpNo=20260129800120", "공시열람")</f>
        <v/>
      </c>
    </row>
    <row r="1561">
      <c r="A1561" t="inlineStr">
        <is>
          <t>2026-01-29</t>
        </is>
      </c>
      <c r="B1561" t="inlineStr">
        <is>
          <t>LG에너지솔루션</t>
        </is>
      </c>
      <c r="C1561" t="inlineStr">
        <is>
          <t>373220</t>
        </is>
      </c>
      <c r="D1561" t="inlineStr">
        <is>
          <t>연결</t>
        </is>
      </c>
      <c r="E1561" t="inlineStr">
        <is>
          <t>2025Q4</t>
        </is>
      </c>
      <c r="F1561" s="2" t="n">
        <v>6141500</v>
      </c>
      <c r="G1561" t="n">
        <v>7.7</v>
      </c>
      <c r="H1561" t="n">
        <v>-4.8</v>
      </c>
      <c r="I1561" s="2" t="n">
        <v>-122000</v>
      </c>
      <c r="J1561" t="n">
        <v>-120.3</v>
      </c>
      <c r="K1561" t="n">
        <v>45.9</v>
      </c>
      <c r="L1561" s="2" t="n">
        <v>-772500</v>
      </c>
      <c r="M1561" t="n">
        <v>-88</v>
      </c>
      <c r="N1561" t="inlineStr">
        <is>
          <t>20260129800140</t>
        </is>
      </c>
      <c r="O1561">
        <f>HYPERLINK("https://dart.fss.or.kr/dsaf001/main.do?rcpNo=20260129800140", "공시열람")</f>
        <v/>
      </c>
    </row>
    <row r="1562">
      <c r="A1562" t="inlineStr">
        <is>
          <t>2026-01-29</t>
        </is>
      </c>
      <c r="B1562" t="inlineStr">
        <is>
          <t>삼성전자</t>
        </is>
      </c>
      <c r="C1562" t="inlineStr">
        <is>
          <t>005930</t>
        </is>
      </c>
      <c r="D1562" t="inlineStr">
        <is>
          <t>연결</t>
        </is>
      </c>
      <c r="E1562" t="inlineStr">
        <is>
          <t>2025Q4</t>
        </is>
      </c>
      <c r="F1562" s="2" t="n">
        <v>93837400</v>
      </c>
      <c r="G1562" t="n">
        <v>9.039999999999999</v>
      </c>
      <c r="H1562" t="n">
        <v>23.82</v>
      </c>
      <c r="I1562" s="2" t="n">
        <v>20073700</v>
      </c>
      <c r="J1562" t="n">
        <v>65</v>
      </c>
      <c r="K1562" t="n">
        <v>209.17</v>
      </c>
      <c r="L1562" s="2" t="n">
        <v>19641700</v>
      </c>
      <c r="M1562" t="n">
        <v>153.3</v>
      </c>
      <c r="N1562" t="inlineStr">
        <is>
          <t>20260129800002</t>
        </is>
      </c>
      <c r="O1562">
        <f>HYPERLINK("https://dart.fss.or.kr/dsaf001/main.do?rcpNo=20260129800002", "공시열람")</f>
        <v/>
      </c>
    </row>
    <row r="1563">
      <c r="A1563" t="inlineStr">
        <is>
          <t>2026-01-29</t>
        </is>
      </c>
      <c r="B1563" t="inlineStr">
        <is>
          <t>포스코퓨처엠</t>
        </is>
      </c>
      <c r="C1563" t="inlineStr">
        <is>
          <t>003670</t>
        </is>
      </c>
      <c r="D1563" t="inlineStr">
        <is>
          <t>별도</t>
        </is>
      </c>
      <c r="E1563" t="inlineStr">
        <is>
          <t>2025Q4</t>
        </is>
      </c>
      <c r="F1563" s="2" t="n">
        <v>507623</v>
      </c>
      <c r="G1563" t="n">
        <v>-35</v>
      </c>
      <c r="H1563" t="n">
        <v>-27.9</v>
      </c>
      <c r="I1563" s="2" t="n">
        <v>-47899</v>
      </c>
      <c r="J1563" t="inlineStr"/>
      <c r="K1563" t="n">
        <v>-64.40000000000001</v>
      </c>
      <c r="L1563" s="2" t="n">
        <v>-24170</v>
      </c>
      <c r="M1563" t="n">
        <v>91.8</v>
      </c>
      <c r="N1563" t="inlineStr">
        <is>
          <t>20260129800268</t>
        </is>
      </c>
      <c r="O1563">
        <f>HYPERLINK("https://dart.fss.or.kr/dsaf001/main.do?rcpNo=20260129800268", "공시열람")</f>
        <v/>
      </c>
    </row>
    <row r="1564">
      <c r="A1564" t="inlineStr">
        <is>
          <t>2026-01-29</t>
        </is>
      </c>
      <c r="B1564" t="inlineStr">
        <is>
          <t>현대글로비스</t>
        </is>
      </c>
      <c r="C1564" t="inlineStr">
        <is>
          <t>086280</t>
        </is>
      </c>
      <c r="D1564" t="inlineStr">
        <is>
          <t>연결</t>
        </is>
      </c>
      <c r="E1564" t="inlineStr">
        <is>
          <t>2025Q4</t>
        </is>
      </c>
      <c r="F1564" s="2" t="n">
        <v>7471998</v>
      </c>
      <c r="G1564" t="n">
        <v>1.6</v>
      </c>
      <c r="H1564" t="n">
        <v>2.5</v>
      </c>
      <c r="I1564" s="2" t="n">
        <v>508257</v>
      </c>
      <c r="J1564" t="n">
        <v>-3</v>
      </c>
      <c r="K1564" t="n">
        <v>10.6</v>
      </c>
      <c r="L1564" s="2" t="n">
        <v>440428</v>
      </c>
      <c r="M1564" t="n">
        <v>356</v>
      </c>
      <c r="N1564" t="inlineStr">
        <is>
          <t>20260129800178</t>
        </is>
      </c>
      <c r="O1564">
        <f>HYPERLINK("https://dart.fss.or.kr/dsaf001/main.do?rcpNo=20260129800178", "공시열람")</f>
        <v/>
      </c>
    </row>
    <row r="1565">
      <c r="A1565" t="inlineStr">
        <is>
          <t>2026-01-29</t>
        </is>
      </c>
      <c r="B1565" t="inlineStr">
        <is>
          <t>포스코엠텍</t>
        </is>
      </c>
      <c r="C1565" t="inlineStr">
        <is>
          <t>009520</t>
        </is>
      </c>
      <c r="D1565" t="inlineStr">
        <is>
          <t>별도</t>
        </is>
      </c>
      <c r="E1565" t="inlineStr">
        <is>
          <t>2025Q4</t>
        </is>
      </c>
      <c r="F1565" s="2" t="n">
        <v>98901</v>
      </c>
      <c r="G1565" t="n">
        <v>19.33</v>
      </c>
      <c r="H1565" t="n">
        <v>3.32</v>
      </c>
      <c r="I1565" s="2" t="n">
        <v>3338</v>
      </c>
      <c r="J1565" t="n">
        <v>92.20999999999999</v>
      </c>
      <c r="K1565" t="n">
        <v>230.69</v>
      </c>
      <c r="L1565" s="2" t="n">
        <v>4448</v>
      </c>
      <c r="M1565" t="inlineStr"/>
      <c r="N1565" t="inlineStr">
        <is>
          <t>20260129900313</t>
        </is>
      </c>
      <c r="O1565">
        <f>HYPERLINK("https://dart.fss.or.kr/dsaf001/main.do?rcpNo=20260129900313", "공시열람")</f>
        <v/>
      </c>
    </row>
    <row r="1566">
      <c r="A1566" t="inlineStr">
        <is>
          <t>2026-01-29</t>
        </is>
      </c>
      <c r="B1566" t="inlineStr">
        <is>
          <t>현대자동차</t>
        </is>
      </c>
      <c r="C1566" t="inlineStr">
        <is>
          <t>005380</t>
        </is>
      </c>
      <c r="D1566" t="inlineStr">
        <is>
          <t>연결</t>
        </is>
      </c>
      <c r="E1566" t="inlineStr">
        <is>
          <t>2025Q4</t>
        </is>
      </c>
      <c r="F1566" s="2" t="n">
        <v>46838586</v>
      </c>
      <c r="G1566" t="n">
        <v>0.3</v>
      </c>
      <c r="H1566" t="n">
        <v>0.5</v>
      </c>
      <c r="I1566" s="2" t="n">
        <v>1695379</v>
      </c>
      <c r="J1566" t="n">
        <v>-33.2</v>
      </c>
      <c r="K1566" t="n">
        <v>-39.9</v>
      </c>
      <c r="L1566" s="2" t="n">
        <v>1184028</v>
      </c>
      <c r="M1566" t="n">
        <v>-52.1</v>
      </c>
      <c r="N1566" t="inlineStr">
        <is>
          <t>20260129800342</t>
        </is>
      </c>
      <c r="O1566">
        <f>HYPERLINK("https://dart.fss.or.kr/dsaf001/main.do?rcpNo=20260129800342", "공시열람")</f>
        <v/>
      </c>
    </row>
    <row r="1567">
      <c r="A1567" t="inlineStr">
        <is>
          <t>2026-01-29</t>
        </is>
      </c>
      <c r="B1567" t="inlineStr">
        <is>
          <t>POSCO홀딩스</t>
        </is>
      </c>
      <c r="C1567" t="inlineStr">
        <is>
          <t>005490</t>
        </is>
      </c>
      <c r="D1567" t="inlineStr">
        <is>
          <t>별도</t>
        </is>
      </c>
      <c r="E1567" t="inlineStr">
        <is>
          <t>2025Q4</t>
        </is>
      </c>
      <c r="F1567" s="2" t="n">
        <v>35</v>
      </c>
      <c r="G1567" t="n">
        <v>-6.8</v>
      </c>
      <c r="H1567" t="inlineStr"/>
      <c r="I1567" s="2" t="n">
        <v>2</v>
      </c>
      <c r="J1567" t="n">
        <v>21.1</v>
      </c>
      <c r="K1567" t="inlineStr"/>
      <c r="L1567" s="2" t="n">
        <v>1</v>
      </c>
      <c r="M1567" t="inlineStr"/>
      <c r="N1567" t="inlineStr">
        <is>
          <t>20260129800407</t>
        </is>
      </c>
      <c r="O1567">
        <f>HYPERLINK("https://dart.fss.or.kr/dsaf001/main.do?rcpNo=20260129800407", "공시열람")</f>
        <v/>
      </c>
    </row>
    <row r="1568">
      <c r="A1568" t="inlineStr">
        <is>
          <t>2026-01-29</t>
        </is>
      </c>
      <c r="B1568" t="inlineStr">
        <is>
          <t>POSCO홀딩스</t>
        </is>
      </c>
      <c r="C1568" t="inlineStr">
        <is>
          <t>005490</t>
        </is>
      </c>
      <c r="D1568" t="inlineStr">
        <is>
          <t>연결</t>
        </is>
      </c>
      <c r="E1568" t="inlineStr">
        <is>
          <t>2025Q4</t>
        </is>
      </c>
      <c r="F1568" s="2" t="n">
        <v>69</v>
      </c>
      <c r="G1568" t="n">
        <v>-5</v>
      </c>
      <c r="H1568" t="inlineStr"/>
      <c r="I1568" s="2" t="n">
        <v>2</v>
      </c>
      <c r="J1568" t="n">
        <v>-15.7</v>
      </c>
      <c r="K1568" t="inlineStr"/>
      <c r="L1568" s="2" t="n">
        <v>0</v>
      </c>
      <c r="M1568" t="inlineStr"/>
      <c r="N1568" t="inlineStr">
        <is>
          <t>20260129800417</t>
        </is>
      </c>
      <c r="O1568">
        <f>HYPERLINK("https://dart.fss.or.kr/dsaf001/main.do?rcpNo=20260129800417", "공시열람")</f>
        <v/>
      </c>
    </row>
    <row r="1569">
      <c r="A1569" t="inlineStr">
        <is>
          <t>2026-01-29</t>
        </is>
      </c>
      <c r="B1569" t="inlineStr">
        <is>
          <t>대덕전자</t>
        </is>
      </c>
      <c r="C1569" t="inlineStr">
        <is>
          <t>353200</t>
        </is>
      </c>
      <c r="D1569" t="inlineStr">
        <is>
          <t>연결</t>
        </is>
      </c>
      <c r="E1569" t="inlineStr">
        <is>
          <t>2025Q4</t>
        </is>
      </c>
      <c r="F1569" s="2" t="n">
        <v>317888</v>
      </c>
      <c r="G1569" t="n">
        <v>11.1</v>
      </c>
      <c r="H1569" t="n">
        <v>54</v>
      </c>
      <c r="I1569" s="2" t="n">
        <v>28997</v>
      </c>
      <c r="J1569" t="n">
        <v>18.6</v>
      </c>
      <c r="K1569" t="inlineStr"/>
      <c r="L1569" s="2" t="n">
        <v>26765</v>
      </c>
      <c r="M1569" t="n">
        <v>510.5</v>
      </c>
      <c r="N1569" t="inlineStr">
        <is>
          <t>20260129800602</t>
        </is>
      </c>
      <c r="O1569">
        <f>HYPERLINK("https://dart.fss.or.kr/dsaf001/main.do?rcpNo=20260129800602", "공시열람")</f>
        <v/>
      </c>
    </row>
    <row r="1570">
      <c r="A1570" t="inlineStr">
        <is>
          <t>2026-01-29</t>
        </is>
      </c>
      <c r="B1570" t="inlineStr">
        <is>
          <t>에스원</t>
        </is>
      </c>
      <c r="C1570" t="inlineStr">
        <is>
          <t>012750</t>
        </is>
      </c>
      <c r="D1570" t="inlineStr">
        <is>
          <t>연결</t>
        </is>
      </c>
      <c r="E1570" t="inlineStr">
        <is>
          <t>2025Q4</t>
        </is>
      </c>
      <c r="F1570" s="2" t="n">
        <v>783896</v>
      </c>
      <c r="G1570" t="n">
        <v>12.19</v>
      </c>
      <c r="H1570" t="n">
        <v>2.67</v>
      </c>
      <c r="I1570" s="2" t="n">
        <v>55833</v>
      </c>
      <c r="J1570" t="n">
        <v>-10.13</v>
      </c>
      <c r="K1570" t="n">
        <v>16.63</v>
      </c>
      <c r="L1570" s="2" t="n">
        <v>36154</v>
      </c>
      <c r="M1570" t="n">
        <v>-5.8</v>
      </c>
      <c r="N1570" t="inlineStr">
        <is>
          <t>20260129800601</t>
        </is>
      </c>
      <c r="O1570">
        <f>HYPERLINK("https://dart.fss.or.kr/dsaf001/main.do?rcpNo=20260129800601", "공시열람")</f>
        <v/>
      </c>
    </row>
    <row r="1571">
      <c r="A1571" t="inlineStr">
        <is>
          <t>2026-01-29</t>
        </is>
      </c>
      <c r="B1571" t="inlineStr">
        <is>
          <t>LG화학</t>
        </is>
      </c>
      <c r="C1571" t="inlineStr">
        <is>
          <t>051910</t>
        </is>
      </c>
      <c r="D1571" t="inlineStr">
        <is>
          <t>연결</t>
        </is>
      </c>
      <c r="E1571" t="inlineStr">
        <is>
          <t>2025Q4</t>
        </is>
      </c>
      <c r="F1571" s="2" t="n">
        <v>11197100</v>
      </c>
      <c r="G1571" t="n">
        <v>0</v>
      </c>
      <c r="H1571" t="n">
        <v>-8.800000000000001</v>
      </c>
      <c r="I1571" s="2" t="n">
        <v>-413300</v>
      </c>
      <c r="J1571" t="inlineStr"/>
      <c r="K1571" t="n">
        <v>-58.3</v>
      </c>
      <c r="L1571" s="2" t="n">
        <v>-1572800</v>
      </c>
      <c r="M1571" t="n">
        <v>-74.90000000000001</v>
      </c>
      <c r="N1571" t="inlineStr">
        <is>
          <t>20260129800610</t>
        </is>
      </c>
      <c r="O1571">
        <f>HYPERLINK("https://dart.fss.or.kr/dsaf001/main.do?rcpNo=20260129800610", "공시열람")</f>
        <v/>
      </c>
    </row>
    <row r="1572">
      <c r="A1572" t="inlineStr">
        <is>
          <t>2026-01-29</t>
        </is>
      </c>
      <c r="B1572" t="inlineStr">
        <is>
          <t>현대차증권</t>
        </is>
      </c>
      <c r="C1572" t="inlineStr">
        <is>
          <t>001500</t>
        </is>
      </c>
      <c r="D1572" t="inlineStr">
        <is>
          <t>연결</t>
        </is>
      </c>
      <c r="E1572" t="inlineStr">
        <is>
          <t>2025Q4</t>
        </is>
      </c>
      <c r="F1572" s="2" t="n">
        <v>456918</v>
      </c>
      <c r="G1572" t="n">
        <v>87.3</v>
      </c>
      <c r="H1572" t="n">
        <v>-27.9</v>
      </c>
      <c r="I1572" s="2" t="n">
        <v>4047</v>
      </c>
      <c r="J1572" t="n">
        <v>-71.3</v>
      </c>
      <c r="K1572" t="n">
        <v>-46.4</v>
      </c>
      <c r="L1572" s="2" t="n">
        <v>5503</v>
      </c>
      <c r="M1572" t="n">
        <v>1518.5</v>
      </c>
      <c r="N1572" t="inlineStr">
        <is>
          <t>20260129800890</t>
        </is>
      </c>
      <c r="O1572">
        <f>HYPERLINK("https://dart.fss.or.kr/dsaf001/main.do?rcpNo=20260129800890", "공시열람")</f>
        <v/>
      </c>
    </row>
    <row r="1573">
      <c r="A1573" t="inlineStr">
        <is>
          <t>2026-01-28</t>
        </is>
      </c>
      <c r="B1573" t="inlineStr">
        <is>
          <t>SK이노베이션</t>
        </is>
      </c>
      <c r="C1573" t="inlineStr">
        <is>
          <t>096770</t>
        </is>
      </c>
      <c r="D1573" t="inlineStr">
        <is>
          <t>연결</t>
        </is>
      </c>
      <c r="E1573" t="inlineStr">
        <is>
          <t>2025Q4</t>
        </is>
      </c>
      <c r="F1573" s="2" t="n">
        <v>19671327</v>
      </c>
      <c r="G1573" t="n">
        <v>-3.7</v>
      </c>
      <c r="H1573" t="n">
        <v>1.9</v>
      </c>
      <c r="I1573" s="2" t="n">
        <v>294748</v>
      </c>
      <c r="J1573" t="n">
        <v>-49.7</v>
      </c>
      <c r="K1573" t="n">
        <v>67.59999999999999</v>
      </c>
      <c r="L1573" s="2" t="n">
        <v>-4154018</v>
      </c>
      <c r="M1573" t="n">
        <v>-296.7</v>
      </c>
      <c r="N1573" t="inlineStr">
        <is>
          <t>20260128800063</t>
        </is>
      </c>
      <c r="O1573">
        <f>HYPERLINK("https://dart.fss.or.kr/dsaf001/main.do?rcpNo=20260128800063", "공시열람")</f>
        <v/>
      </c>
    </row>
    <row r="1574">
      <c r="A1574" t="inlineStr">
        <is>
          <t>2026-01-28</t>
        </is>
      </c>
      <c r="B1574" t="inlineStr">
        <is>
          <t>현대모비스</t>
        </is>
      </c>
      <c r="C1574" t="inlineStr">
        <is>
          <t>012330</t>
        </is>
      </c>
      <c r="D1574" t="inlineStr">
        <is>
          <t>연결</t>
        </is>
      </c>
      <c r="E1574" t="inlineStr">
        <is>
          <t>2025Q4</t>
        </is>
      </c>
      <c r="F1574" s="2" t="n">
        <v>15397920</v>
      </c>
      <c r="G1574" t="n">
        <v>2.43</v>
      </c>
      <c r="H1574" t="n">
        <v>4.67</v>
      </c>
      <c r="I1574" s="2" t="n">
        <v>930474</v>
      </c>
      <c r="J1574" t="n">
        <v>19.25</v>
      </c>
      <c r="K1574" t="n">
        <v>-5.64</v>
      </c>
      <c r="L1574" s="2" t="n">
        <v>768080</v>
      </c>
      <c r="M1574" t="n">
        <v>-39.94</v>
      </c>
      <c r="N1574" t="inlineStr">
        <is>
          <t>20260128800107</t>
        </is>
      </c>
      <c r="O1574">
        <f>HYPERLINK("https://dart.fss.or.kr/dsaf001/main.do?rcpNo=20260128800107", "공시열람")</f>
        <v/>
      </c>
    </row>
    <row r="1575">
      <c r="A1575" t="inlineStr">
        <is>
          <t>2026-01-28</t>
        </is>
      </c>
      <c r="B1575" t="inlineStr">
        <is>
          <t>SK하이닉스</t>
        </is>
      </c>
      <c r="C1575" t="inlineStr">
        <is>
          <t>000660</t>
        </is>
      </c>
      <c r="D1575" t="inlineStr">
        <is>
          <t>연결</t>
        </is>
      </c>
      <c r="E1575" t="inlineStr">
        <is>
          <t>2025Q4</t>
        </is>
      </c>
      <c r="F1575" s="2" t="n">
        <v>32826654</v>
      </c>
      <c r="G1575" t="n">
        <v>34.3</v>
      </c>
      <c r="H1575" t="n">
        <v>66.09999999999999</v>
      </c>
      <c r="I1575" s="2" t="n">
        <v>19169573</v>
      </c>
      <c r="J1575" t="n">
        <v>68.40000000000001</v>
      </c>
      <c r="K1575" t="n">
        <v>137.2</v>
      </c>
      <c r="L1575" s="2" t="n">
        <v>15245953</v>
      </c>
      <c r="M1575" t="n">
        <v>90.40000000000001</v>
      </c>
      <c r="N1575" t="inlineStr">
        <is>
          <t>20260128800709</t>
        </is>
      </c>
      <c r="O1575">
        <f>HYPERLINK("https://dart.fss.or.kr/dsaf001/main.do?rcpNo=20260128800709", "공시열람")</f>
        <v/>
      </c>
    </row>
    <row r="1576">
      <c r="A1576" t="inlineStr">
        <is>
          <t>2026-01-28</t>
        </is>
      </c>
      <c r="B1576" t="inlineStr">
        <is>
          <t>다올투자증권</t>
        </is>
      </c>
      <c r="C1576" t="inlineStr">
        <is>
          <t>030210</t>
        </is>
      </c>
      <c r="D1576" t="inlineStr">
        <is>
          <t>연결</t>
        </is>
      </c>
      <c r="E1576" t="inlineStr">
        <is>
          <t>2025Q4</t>
        </is>
      </c>
      <c r="F1576" s="2" t="n">
        <v>478413</v>
      </c>
      <c r="G1576" t="n">
        <v>58.96</v>
      </c>
      <c r="H1576" t="n">
        <v>-3.61</v>
      </c>
      <c r="I1576" s="2" t="n">
        <v>-3660</v>
      </c>
      <c r="J1576" t="inlineStr"/>
      <c r="K1576" t="n">
        <v>91.86</v>
      </c>
      <c r="L1576" s="2" t="n">
        <v>673</v>
      </c>
      <c r="M1576" t="inlineStr"/>
      <c r="N1576" t="inlineStr">
        <is>
          <t>20260128800579</t>
        </is>
      </c>
      <c r="O1576">
        <f>HYPERLINK("https://dart.fss.or.kr/dsaf001/main.do?rcpNo=20260128800579", "공시열람")</f>
        <v/>
      </c>
    </row>
    <row r="1577">
      <c r="A1577" t="inlineStr">
        <is>
          <t>2026-01-28</t>
        </is>
      </c>
      <c r="B1577" t="inlineStr">
        <is>
          <t>LG생활건강</t>
        </is>
      </c>
      <c r="C1577" t="inlineStr">
        <is>
          <t>051900</t>
        </is>
      </c>
      <c r="D1577" t="inlineStr">
        <is>
          <t>연결</t>
        </is>
      </c>
      <c r="E1577" t="inlineStr">
        <is>
          <t>2025Q4</t>
        </is>
      </c>
      <c r="F1577" s="2" t="n">
        <v>1472800</v>
      </c>
      <c r="G1577" t="n">
        <v>-6.78</v>
      </c>
      <c r="H1577" t="n">
        <v>-8.52</v>
      </c>
      <c r="I1577" s="2" t="n">
        <v>-72700</v>
      </c>
      <c r="J1577" t="inlineStr"/>
      <c r="K1577" t="inlineStr"/>
      <c r="L1577" s="2" t="n">
        <v>-251200</v>
      </c>
      <c r="M1577" t="n">
        <v>-179.33</v>
      </c>
      <c r="N1577" t="inlineStr">
        <is>
          <t>20260128800520</t>
        </is>
      </c>
      <c r="O1577">
        <f>HYPERLINK("https://dart.fss.or.kr/dsaf001/main.do?rcpNo=20260128800520", "공시열람")</f>
        <v/>
      </c>
    </row>
    <row r="1578">
      <c r="A1578" t="inlineStr">
        <is>
          <t>2026-01-28</t>
        </is>
      </c>
      <c r="B1578" t="inlineStr">
        <is>
          <t>삼성물산</t>
        </is>
      </c>
      <c r="C1578" t="inlineStr">
        <is>
          <t>028260</t>
        </is>
      </c>
      <c r="D1578" t="inlineStr">
        <is>
          <t>연결</t>
        </is>
      </c>
      <c r="E1578" t="inlineStr">
        <is>
          <t>2025Q4</t>
        </is>
      </c>
      <c r="F1578" s="2" t="n">
        <v>10832433</v>
      </c>
      <c r="G1578" t="n">
        <v>6.7</v>
      </c>
      <c r="H1578" t="n">
        <v>8.4</v>
      </c>
      <c r="I1578" s="2" t="n">
        <v>822283</v>
      </c>
      <c r="J1578" t="n">
        <v>-17.2</v>
      </c>
      <c r="K1578" t="n">
        <v>29.6</v>
      </c>
      <c r="L1578" s="2" t="n">
        <v>1558290</v>
      </c>
      <c r="M1578" t="n">
        <v>137.6</v>
      </c>
      <c r="N1578" t="inlineStr">
        <is>
          <t>20260128800501</t>
        </is>
      </c>
      <c r="O1578">
        <f>HYPERLINK("https://dart.fss.or.kr/dsaf001/main.do?rcpNo=20260128800501", "공시열람")</f>
        <v/>
      </c>
    </row>
    <row r="1579">
      <c r="A1579" t="inlineStr">
        <is>
          <t>2026-01-28</t>
        </is>
      </c>
      <c r="B1579" t="inlineStr">
        <is>
          <t>롯데이노베이트</t>
        </is>
      </c>
      <c r="C1579" t="inlineStr">
        <is>
          <t>286940</t>
        </is>
      </c>
      <c r="D1579" t="inlineStr">
        <is>
          <t>연결</t>
        </is>
      </c>
      <c r="E1579" t="inlineStr">
        <is>
          <t>2025Q4</t>
        </is>
      </c>
      <c r="F1579" s="2" t="n">
        <v>327257</v>
      </c>
      <c r="G1579" t="n">
        <v>17.9</v>
      </c>
      <c r="H1579" t="n">
        <v>-0.6</v>
      </c>
      <c r="I1579" s="2" t="n">
        <v>9794</v>
      </c>
      <c r="J1579" t="n">
        <v>47.9</v>
      </c>
      <c r="K1579" t="n">
        <v>271.8</v>
      </c>
      <c r="L1579" s="2" t="n">
        <v>-6998</v>
      </c>
      <c r="M1579" t="n">
        <v>-63.7</v>
      </c>
      <c r="N1579" t="inlineStr">
        <is>
          <t>20260128800884</t>
        </is>
      </c>
      <c r="O1579">
        <f>HYPERLINK("https://dart.fss.or.kr/dsaf001/main.do?rcpNo=20260128800884", "공시열람")</f>
        <v/>
      </c>
    </row>
    <row r="1580">
      <c r="A1580" t="inlineStr">
        <is>
          <t>2026-01-28</t>
        </is>
      </c>
      <c r="B1580" t="inlineStr">
        <is>
          <t>강원랜드</t>
        </is>
      </c>
      <c r="C1580" t="inlineStr">
        <is>
          <t>035250</t>
        </is>
      </c>
      <c r="D1580" t="inlineStr">
        <is>
          <t>연결</t>
        </is>
      </c>
      <c r="E1580" t="inlineStr">
        <is>
          <t>2025Q4</t>
        </is>
      </c>
      <c r="F1580" s="2" t="n">
        <v>365446</v>
      </c>
      <c r="G1580" t="n">
        <v>-4.9</v>
      </c>
      <c r="H1580" t="n">
        <v>6</v>
      </c>
      <c r="I1580" s="2" t="n">
        <v>29697</v>
      </c>
      <c r="J1580" t="n">
        <v>-59.2</v>
      </c>
      <c r="K1580" t="n">
        <v>-30.5</v>
      </c>
      <c r="L1580" s="2" t="n">
        <v>66017</v>
      </c>
      <c r="M1580" t="n">
        <v>-41.2</v>
      </c>
      <c r="N1580" t="inlineStr">
        <is>
          <t>20260128800493</t>
        </is>
      </c>
      <c r="O1580">
        <f>HYPERLINK("https://dart.fss.or.kr/dsaf001/main.do?rcpNo=20260128800493", "공시열람")</f>
        <v/>
      </c>
    </row>
    <row r="1581">
      <c r="A1581" t="inlineStr">
        <is>
          <t>2026-01-28</t>
        </is>
      </c>
      <c r="B1581" t="inlineStr">
        <is>
          <t>SK아이이테크놀로지</t>
        </is>
      </c>
      <c r="C1581" t="inlineStr">
        <is>
          <t>361610</t>
        </is>
      </c>
      <c r="D1581" t="inlineStr">
        <is>
          <t>연결</t>
        </is>
      </c>
      <c r="E1581" t="inlineStr">
        <is>
          <t>2025Q4</t>
        </is>
      </c>
      <c r="F1581" s="2" t="n">
        <v>41828</v>
      </c>
      <c r="G1581" t="n">
        <v>-47.11</v>
      </c>
      <c r="H1581" t="n">
        <v>-29.41</v>
      </c>
      <c r="I1581" s="2" t="n">
        <v>-75741</v>
      </c>
      <c r="J1581" t="n">
        <v>-60.39</v>
      </c>
      <c r="K1581" t="n">
        <v>17.6</v>
      </c>
      <c r="L1581" s="2" t="n">
        <v>-130629</v>
      </c>
      <c r="M1581" t="n">
        <v>-30.57</v>
      </c>
      <c r="N1581" t="inlineStr">
        <is>
          <t>20260128800490</t>
        </is>
      </c>
      <c r="O1581">
        <f>HYPERLINK("https://dart.fss.or.kr/dsaf001/main.do?rcpNo=20260128800490", "공시열람")</f>
        <v/>
      </c>
    </row>
    <row r="1582">
      <c r="A1582" t="inlineStr">
        <is>
          <t>2026-01-28</t>
        </is>
      </c>
      <c r="B1582" t="inlineStr">
        <is>
          <t>포스코DX</t>
        </is>
      </c>
      <c r="C1582" t="inlineStr">
        <is>
          <t>022100</t>
        </is>
      </c>
      <c r="D1582" t="inlineStr">
        <is>
          <t>연결</t>
        </is>
      </c>
      <c r="E1582" t="inlineStr">
        <is>
          <t>2025Q4</t>
        </is>
      </c>
      <c r="F1582" s="2" t="n">
        <v>260814</v>
      </c>
      <c r="G1582" t="n">
        <v>6.6</v>
      </c>
      <c r="H1582" t="n">
        <v>-27.9</v>
      </c>
      <c r="I1582" s="2" t="n">
        <v>-1217</v>
      </c>
      <c r="J1582" t="inlineStr"/>
      <c r="K1582" t="inlineStr"/>
      <c r="L1582" s="2" t="n">
        <v>-988</v>
      </c>
      <c r="M1582" t="inlineStr"/>
      <c r="N1582" t="inlineStr">
        <is>
          <t>20260128800465</t>
        </is>
      </c>
      <c r="O1582">
        <f>HYPERLINK("https://dart.fss.or.kr/dsaf001/main.do?rcpNo=20260128800465", "공시열람")</f>
        <v/>
      </c>
    </row>
    <row r="1583">
      <c r="A1583" t="inlineStr">
        <is>
          <t>2026-01-28</t>
        </is>
      </c>
      <c r="B1583" t="inlineStr">
        <is>
          <t>라온피플</t>
        </is>
      </c>
      <c r="C1583" t="inlineStr">
        <is>
          <t>300120</t>
        </is>
      </c>
      <c r="D1583" t="inlineStr">
        <is>
          <t>별도</t>
        </is>
      </c>
      <c r="E1583" t="inlineStr">
        <is>
          <t>2025Q4</t>
        </is>
      </c>
      <c r="F1583" s="2" t="n">
        <v>4113</v>
      </c>
      <c r="G1583" t="n">
        <v>74.09999999999999</v>
      </c>
      <c r="H1583" t="n">
        <v>7.39</v>
      </c>
      <c r="I1583" s="2" t="n">
        <v>757</v>
      </c>
      <c r="J1583" t="inlineStr"/>
      <c r="K1583" t="inlineStr"/>
      <c r="L1583" s="2" t="inlineStr"/>
      <c r="M1583" t="inlineStr"/>
      <c r="N1583" t="inlineStr">
        <is>
          <t>20260128900329</t>
        </is>
      </c>
      <c r="O1583">
        <f>HYPERLINK("https://dart.fss.or.kr/dsaf001/main.do?rcpNo=20260128900329", "공시열람")</f>
        <v/>
      </c>
    </row>
    <row r="1584">
      <c r="A1584" t="inlineStr">
        <is>
          <t>2026-01-28</t>
        </is>
      </c>
      <c r="B1584" t="inlineStr">
        <is>
          <t>기아</t>
        </is>
      </c>
      <c r="C1584" t="inlineStr">
        <is>
          <t>000270</t>
        </is>
      </c>
      <c r="D1584" t="inlineStr">
        <is>
          <t>연결</t>
        </is>
      </c>
      <c r="E1584" t="inlineStr">
        <is>
          <t>2025Q4</t>
        </is>
      </c>
      <c r="F1584" s="2" t="n">
        <v>28087737</v>
      </c>
      <c r="G1584" t="n">
        <v>-2.1</v>
      </c>
      <c r="H1584" t="n">
        <v>3.5</v>
      </c>
      <c r="I1584" s="2" t="n">
        <v>1842543</v>
      </c>
      <c r="J1584" t="n">
        <v>26</v>
      </c>
      <c r="K1584" t="n">
        <v>-32.2</v>
      </c>
      <c r="L1584" s="2" t="n">
        <v>1470902</v>
      </c>
      <c r="M1584" t="n">
        <v>-15.5</v>
      </c>
      <c r="N1584" t="inlineStr">
        <is>
          <t>20260128800295</t>
        </is>
      </c>
      <c r="O1584">
        <f>HYPERLINK("https://dart.fss.or.kr/dsaf001/main.do?rcpNo=20260128800295", "공시열람")</f>
        <v/>
      </c>
    </row>
    <row r="1585">
      <c r="A1585" t="inlineStr">
        <is>
          <t>2026-01-28</t>
        </is>
      </c>
      <c r="B1585" t="inlineStr">
        <is>
          <t>LG디스플레이</t>
        </is>
      </c>
      <c r="C1585" t="inlineStr">
        <is>
          <t>034220</t>
        </is>
      </c>
      <c r="D1585" t="inlineStr">
        <is>
          <t>연결</t>
        </is>
      </c>
      <c r="E1585" t="inlineStr">
        <is>
          <t>2025Q4</t>
        </is>
      </c>
      <c r="F1585" s="2" t="n">
        <v>7200850</v>
      </c>
      <c r="G1585" t="n">
        <v>4</v>
      </c>
      <c r="H1585" t="n">
        <v>-8</v>
      </c>
      <c r="I1585" s="2" t="n">
        <v>168509</v>
      </c>
      <c r="J1585" t="n">
        <v>-61</v>
      </c>
      <c r="K1585" t="n">
        <v>103</v>
      </c>
      <c r="L1585" s="2" t="n">
        <v>-351179</v>
      </c>
      <c r="M1585" t="n">
        <v>58</v>
      </c>
      <c r="N1585" t="inlineStr">
        <is>
          <t>20260128800271</t>
        </is>
      </c>
      <c r="O1585">
        <f>HYPERLINK("https://dart.fss.or.kr/dsaf001/main.do?rcpNo=20260128800271", "공시열람")</f>
        <v/>
      </c>
    </row>
    <row r="1586">
      <c r="A1586" t="inlineStr">
        <is>
          <t>2026-01-28</t>
        </is>
      </c>
      <c r="B1586" t="inlineStr">
        <is>
          <t>NI스틸</t>
        </is>
      </c>
      <c r="C1586" t="inlineStr">
        <is>
          <t>008260</t>
        </is>
      </c>
      <c r="D1586" t="inlineStr">
        <is>
          <t>별도</t>
        </is>
      </c>
      <c r="E1586" t="inlineStr">
        <is>
          <t>2025Q4</t>
        </is>
      </c>
      <c r="F1586" s="2" t="n">
        <v>65843</v>
      </c>
      <c r="G1586" t="n">
        <v>0.99</v>
      </c>
      <c r="H1586" t="n">
        <v>5.54</v>
      </c>
      <c r="I1586" s="2" t="n">
        <v>7952</v>
      </c>
      <c r="J1586" t="n">
        <v>-2.97</v>
      </c>
      <c r="K1586" t="n">
        <v>36.89</v>
      </c>
      <c r="L1586" s="2" t="n">
        <v>5139</v>
      </c>
      <c r="M1586" t="n">
        <v>46.04</v>
      </c>
      <c r="N1586" t="inlineStr">
        <is>
          <t>20260128800212</t>
        </is>
      </c>
      <c r="O1586">
        <f>HYPERLINK("https://dart.fss.or.kr/dsaf001/main.do?rcpNo=20260128800212", "공시열람")</f>
        <v/>
      </c>
    </row>
    <row r="1587">
      <c r="A1587" t="inlineStr">
        <is>
          <t>2026-01-27</t>
        </is>
      </c>
      <c r="B1587" t="inlineStr">
        <is>
          <t>LG씨엔에스</t>
        </is>
      </c>
      <c r="C1587" t="inlineStr">
        <is>
          <t>064400</t>
        </is>
      </c>
      <c r="D1587" t="inlineStr">
        <is>
          <t>연결</t>
        </is>
      </c>
      <c r="E1587" t="inlineStr">
        <is>
          <t>2025Q4</t>
        </is>
      </c>
      <c r="F1587" s="2" t="n">
        <v>1935660</v>
      </c>
      <c r="G1587" t="n">
        <v>27.2</v>
      </c>
      <c r="H1587" t="n">
        <v>-4.4</v>
      </c>
      <c r="I1587" s="2" t="n">
        <v>215969</v>
      </c>
      <c r="J1587" t="n">
        <v>79.7</v>
      </c>
      <c r="K1587" t="n">
        <v>7.9</v>
      </c>
      <c r="L1587" s="2" t="n">
        <v>180633</v>
      </c>
      <c r="M1587" t="n">
        <v>36.6</v>
      </c>
      <c r="N1587" t="inlineStr">
        <is>
          <t>20260127800088</t>
        </is>
      </c>
      <c r="O1587">
        <f>HYPERLINK("https://dart.fss.or.kr/dsaf001/main.do?rcpNo=20260127800088", "공시열람")</f>
        <v/>
      </c>
    </row>
    <row r="1588">
      <c r="A1588" t="inlineStr">
        <is>
          <t>2026-01-27</t>
        </is>
      </c>
      <c r="B1588" t="inlineStr">
        <is>
          <t>국도화학</t>
        </is>
      </c>
      <c r="C1588" t="inlineStr">
        <is>
          <t>007690</t>
        </is>
      </c>
      <c r="D1588" t="inlineStr">
        <is>
          <t>연결</t>
        </is>
      </c>
      <c r="E1588" t="inlineStr">
        <is>
          <t>2025Q4</t>
        </is>
      </c>
      <c r="F1588" s="2" t="n">
        <v>373257</v>
      </c>
      <c r="G1588" t="n">
        <v>5.3</v>
      </c>
      <c r="H1588" t="n">
        <v>14.3</v>
      </c>
      <c r="I1588" s="2" t="n">
        <v>12666</v>
      </c>
      <c r="J1588" t="n">
        <v>17.7</v>
      </c>
      <c r="K1588" t="n">
        <v>93.90000000000001</v>
      </c>
      <c r="L1588" s="2" t="n">
        <v>4282</v>
      </c>
      <c r="M1588" t="n">
        <v>-22.2</v>
      </c>
      <c r="N1588" t="inlineStr">
        <is>
          <t>20260127800746</t>
        </is>
      </c>
      <c r="O1588">
        <f>HYPERLINK("https://dart.fss.or.kr/dsaf001/main.do?rcpNo=20260127800746", "공시열람")</f>
        <v/>
      </c>
    </row>
    <row r="1589">
      <c r="A1589" t="inlineStr">
        <is>
          <t>2026-01-27</t>
        </is>
      </c>
      <c r="B1589" t="inlineStr">
        <is>
          <t>네오팜</t>
        </is>
      </c>
      <c r="C1589" t="inlineStr">
        <is>
          <t>092730</t>
        </is>
      </c>
      <c r="D1589" t="inlineStr">
        <is>
          <t>연결</t>
        </is>
      </c>
      <c r="E1589" t="inlineStr">
        <is>
          <t>2025Q4</t>
        </is>
      </c>
      <c r="F1589" s="2" t="n">
        <v>36397</v>
      </c>
      <c r="G1589" t="n">
        <v>13</v>
      </c>
      <c r="H1589" t="n">
        <v>7</v>
      </c>
      <c r="I1589" s="2" t="n">
        <v>7215</v>
      </c>
      <c r="J1589" t="n">
        <v>6.6</v>
      </c>
      <c r="K1589" t="n">
        <v>8.199999999999999</v>
      </c>
      <c r="L1589" s="2" t="n">
        <v>6842</v>
      </c>
      <c r="M1589" t="n">
        <v>1.6</v>
      </c>
      <c r="N1589" t="inlineStr">
        <is>
          <t>20260127900433</t>
        </is>
      </c>
      <c r="O1589">
        <f>HYPERLINK("https://dart.fss.or.kr/dsaf001/main.do?rcpNo=20260127900433", "공시열람")</f>
        <v/>
      </c>
    </row>
    <row r="1590">
      <c r="A1590" t="inlineStr">
        <is>
          <t>2026-01-27</t>
        </is>
      </c>
      <c r="B1590" t="inlineStr">
        <is>
          <t>엘에스일렉트릭</t>
        </is>
      </c>
      <c r="C1590" t="inlineStr">
        <is>
          <t>010120</t>
        </is>
      </c>
      <c r="D1590" t="inlineStr">
        <is>
          <t>연결</t>
        </is>
      </c>
      <c r="E1590" t="inlineStr">
        <is>
          <t>2025Q4</t>
        </is>
      </c>
      <c r="F1590" s="2" t="n">
        <v>1520827</v>
      </c>
      <c r="G1590" t="n">
        <v>25.04</v>
      </c>
      <c r="H1590" t="n">
        <v>11.86</v>
      </c>
      <c r="I1590" s="2" t="n">
        <v>130249</v>
      </c>
      <c r="J1590" t="n">
        <v>29.23</v>
      </c>
      <c r="K1590" t="n">
        <v>8.630000000000001</v>
      </c>
      <c r="L1590" s="2" t="n">
        <v>79544</v>
      </c>
      <c r="M1590" t="n">
        <v>26.75</v>
      </c>
      <c r="N1590" t="inlineStr">
        <is>
          <t>20260127800176</t>
        </is>
      </c>
      <c r="O1590">
        <f>HYPERLINK("https://dart.fss.or.kr/dsaf001/main.do?rcpNo=20260127800176", "공시열람")</f>
        <v/>
      </c>
    </row>
    <row r="1591">
      <c r="A1591" t="inlineStr">
        <is>
          <t>2026-01-27</t>
        </is>
      </c>
      <c r="B1591" t="inlineStr">
        <is>
          <t>한솔로지스틱스</t>
        </is>
      </c>
      <c r="C1591" t="inlineStr">
        <is>
          <t>009180</t>
        </is>
      </c>
      <c r="D1591" t="inlineStr">
        <is>
          <t>연결</t>
        </is>
      </c>
      <c r="E1591" t="inlineStr">
        <is>
          <t>2025Q4</t>
        </is>
      </c>
      <c r="F1591" s="2" t="n">
        <v>152887</v>
      </c>
      <c r="G1591" t="n">
        <v>-9.800000000000001</v>
      </c>
      <c r="H1591" t="n">
        <v>-10.5</v>
      </c>
      <c r="I1591" s="2" t="n">
        <v>2480</v>
      </c>
      <c r="J1591" t="n">
        <v>-59.4</v>
      </c>
      <c r="K1591" t="inlineStr"/>
      <c r="L1591" s="2" t="n">
        <v>691</v>
      </c>
      <c r="M1591" t="inlineStr"/>
      <c r="N1591" t="inlineStr">
        <is>
          <t>20260127800833</t>
        </is>
      </c>
      <c r="O1591">
        <f>HYPERLINK("https://dart.fss.or.kr/dsaf001/main.do?rcpNo=20260127800833", "공시열람")</f>
        <v/>
      </c>
    </row>
    <row r="1592">
      <c r="A1592" t="inlineStr">
        <is>
          <t>2026-01-26</t>
        </is>
      </c>
      <c r="B1592" t="inlineStr">
        <is>
          <t>프로티아</t>
        </is>
      </c>
      <c r="C1592" t="inlineStr">
        <is>
          <t>303360</t>
        </is>
      </c>
      <c r="D1592" t="inlineStr">
        <is>
          <t>별도</t>
        </is>
      </c>
      <c r="E1592" t="inlineStr">
        <is>
          <t>2025Q4</t>
        </is>
      </c>
      <c r="F1592" s="2" t="n">
        <v>4546</v>
      </c>
      <c r="G1592" t="n">
        <v>12.7</v>
      </c>
      <c r="H1592" t="n">
        <v>54.2</v>
      </c>
      <c r="I1592" s="2" t="n">
        <v>1108</v>
      </c>
      <c r="J1592" t="n">
        <v>-5.7</v>
      </c>
      <c r="K1592" t="n">
        <v>100.5</v>
      </c>
      <c r="L1592" s="2" t="n">
        <v>1336</v>
      </c>
      <c r="M1592" t="n">
        <v>32.5</v>
      </c>
      <c r="N1592" t="inlineStr">
        <is>
          <t>20260126900734</t>
        </is>
      </c>
      <c r="O1592">
        <f>HYPERLINK("https://dart.fss.or.kr/dsaf001/main.do?rcpNo=20260126900734", "공시열람")</f>
        <v/>
      </c>
    </row>
    <row r="1593">
      <c r="A1593" t="inlineStr">
        <is>
          <t>2026-01-26</t>
        </is>
      </c>
      <c r="B1593" t="inlineStr">
        <is>
          <t>RFHIC</t>
        </is>
      </c>
      <c r="C1593" t="inlineStr">
        <is>
          <t>218410</t>
        </is>
      </c>
      <c r="D1593" t="inlineStr">
        <is>
          <t>연결</t>
        </is>
      </c>
      <c r="E1593" t="inlineStr">
        <is>
          <t>2025Q4</t>
        </is>
      </c>
      <c r="F1593" s="2" t="n">
        <v>68614</v>
      </c>
      <c r="G1593" t="n">
        <v>69.43000000000001</v>
      </c>
      <c r="H1593" t="n">
        <v>77.51000000000001</v>
      </c>
      <c r="I1593" s="2" t="n">
        <v>11078</v>
      </c>
      <c r="J1593" t="n">
        <v>50.46</v>
      </c>
      <c r="K1593" t="n">
        <v>349.86</v>
      </c>
      <c r="L1593" s="2" t="n">
        <v>15123</v>
      </c>
      <c r="M1593" t="inlineStr"/>
      <c r="N1593" t="inlineStr">
        <is>
          <t>20260126900461</t>
        </is>
      </c>
      <c r="O1593">
        <f>HYPERLINK("https://dart.fss.or.kr/dsaf001/main.do?rcpNo=20260126900461", "공시열람")</f>
        <v/>
      </c>
    </row>
    <row r="1594">
      <c r="A1594" t="inlineStr">
        <is>
          <t>2026-01-26</t>
        </is>
      </c>
      <c r="B1594" t="inlineStr">
        <is>
          <t>S-Oil</t>
        </is>
      </c>
      <c r="C1594" t="inlineStr">
        <is>
          <t>010950</t>
        </is>
      </c>
      <c r="D1594" t="inlineStr">
        <is>
          <t>연결</t>
        </is>
      </c>
      <c r="E1594" t="inlineStr">
        <is>
          <t>2025Q4</t>
        </is>
      </c>
      <c r="F1594" s="2" t="n">
        <v>8792553</v>
      </c>
      <c r="G1594" t="n">
        <v>4.5</v>
      </c>
      <c r="H1594" t="n">
        <v>-1.4</v>
      </c>
      <c r="I1594" s="2" t="n">
        <v>424468</v>
      </c>
      <c r="J1594" t="n">
        <v>85.2</v>
      </c>
      <c r="K1594" t="n">
        <v>90.90000000000001</v>
      </c>
      <c r="L1594" s="2" t="n">
        <v>265013</v>
      </c>
      <c r="M1594" t="inlineStr"/>
      <c r="N1594" t="inlineStr">
        <is>
          <t>20260126800097</t>
        </is>
      </c>
      <c r="O1594">
        <f>HYPERLINK("https://dart.fss.or.kr/dsaf001/main.do?rcpNo=20260126800097", "공시열람")</f>
        <v/>
      </c>
    </row>
    <row r="1595">
      <c r="A1595" t="inlineStr">
        <is>
          <t>2026-01-26</t>
        </is>
      </c>
      <c r="B1595" t="inlineStr">
        <is>
          <t>그래피</t>
        </is>
      </c>
      <c r="C1595" t="inlineStr">
        <is>
          <t>318060</t>
        </is>
      </c>
      <c r="D1595" t="inlineStr">
        <is>
          <t>연결</t>
        </is>
      </c>
      <c r="E1595" t="inlineStr">
        <is>
          <t>2025Q4</t>
        </is>
      </c>
      <c r="F1595" s="2" t="n">
        <v>10383</v>
      </c>
      <c r="G1595" t="n">
        <v>201.9</v>
      </c>
      <c r="H1595" t="n">
        <v>53.4</v>
      </c>
      <c r="I1595" s="2" t="n">
        <v>-1112</v>
      </c>
      <c r="J1595" t="n">
        <v>70.09999999999999</v>
      </c>
      <c r="K1595" t="n">
        <v>-5.2</v>
      </c>
      <c r="L1595" s="2" t="n">
        <v>-1193</v>
      </c>
      <c r="M1595" t="n">
        <v>-80.40000000000001</v>
      </c>
      <c r="N1595" t="inlineStr">
        <is>
          <t>20260126900729</t>
        </is>
      </c>
      <c r="O1595">
        <f>HYPERLINK("https://dart.fss.or.kr/dsaf001/main.do?rcpNo=20260126900729", "공시열람")</f>
        <v/>
      </c>
    </row>
    <row r="1596">
      <c r="A1596" t="inlineStr">
        <is>
          <t>2026-01-26</t>
        </is>
      </c>
      <c r="B1596" t="inlineStr">
        <is>
          <t>자이에스앤디</t>
        </is>
      </c>
      <c r="C1596" t="inlineStr">
        <is>
          <t>317400</t>
        </is>
      </c>
      <c r="D1596" t="inlineStr">
        <is>
          <t>연결</t>
        </is>
      </c>
      <c r="E1596" t="inlineStr">
        <is>
          <t>2025Q4</t>
        </is>
      </c>
      <c r="F1596" s="2" t="n">
        <v>334968</v>
      </c>
      <c r="G1596" t="n">
        <v>-16.88</v>
      </c>
      <c r="H1596" t="n">
        <v>-10.55</v>
      </c>
      <c r="I1596" s="2" t="n">
        <v>-2527</v>
      </c>
      <c r="J1596" t="inlineStr"/>
      <c r="K1596" t="n">
        <v>-41.49</v>
      </c>
      <c r="L1596" s="2" t="n">
        <v>3424</v>
      </c>
      <c r="M1596" t="n">
        <v>361.46</v>
      </c>
      <c r="N1596" t="inlineStr">
        <is>
          <t>20260126800332</t>
        </is>
      </c>
      <c r="O1596">
        <f>HYPERLINK("https://dart.fss.or.kr/dsaf001/main.do?rcpNo=20260126800332", "공시열람")</f>
        <v/>
      </c>
    </row>
    <row r="1597">
      <c r="A1597" t="inlineStr">
        <is>
          <t>2026-01-26</t>
        </is>
      </c>
      <c r="B1597" t="inlineStr">
        <is>
          <t>RF시스템즈</t>
        </is>
      </c>
      <c r="C1597" t="inlineStr">
        <is>
          <t>474610</t>
        </is>
      </c>
      <c r="D1597" t="inlineStr">
        <is>
          <t>별도</t>
        </is>
      </c>
      <c r="E1597" t="inlineStr">
        <is>
          <t>2025Q4</t>
        </is>
      </c>
      <c r="F1597" s="2" t="n">
        <v>13520</v>
      </c>
      <c r="G1597" t="n">
        <v>77.87</v>
      </c>
      <c r="H1597" t="n">
        <v>19.1</v>
      </c>
      <c r="I1597" s="2" t="n">
        <v>1565</v>
      </c>
      <c r="J1597" t="n">
        <v>155.42</v>
      </c>
      <c r="K1597" t="n">
        <v>20.39</v>
      </c>
      <c r="L1597" s="2" t="n">
        <v>1763</v>
      </c>
      <c r="M1597" t="inlineStr"/>
      <c r="N1597" t="inlineStr">
        <is>
          <t>20260126900351</t>
        </is>
      </c>
      <c r="O1597">
        <f>HYPERLINK("https://dart.fss.or.kr/dsaf001/main.do?rcpNo=20260126900351", "공시열람")</f>
        <v/>
      </c>
    </row>
    <row r="1598">
      <c r="A1598" t="inlineStr">
        <is>
          <t>2026-01-26</t>
        </is>
      </c>
      <c r="B1598" t="inlineStr">
        <is>
          <t>유니드</t>
        </is>
      </c>
      <c r="C1598" t="inlineStr">
        <is>
          <t>014830</t>
        </is>
      </c>
      <c r="D1598" t="inlineStr">
        <is>
          <t>연결</t>
        </is>
      </c>
      <c r="E1598" t="inlineStr">
        <is>
          <t>2025Q4</t>
        </is>
      </c>
      <c r="F1598" s="2" t="n">
        <v>346334</v>
      </c>
      <c r="G1598" t="n">
        <v>5.28</v>
      </c>
      <c r="H1598" t="n">
        <v>25.71</v>
      </c>
      <c r="I1598" s="2" t="n">
        <v>7631</v>
      </c>
      <c r="J1598" t="n">
        <v>-59.51</v>
      </c>
      <c r="K1598" t="n">
        <v>-38.72</v>
      </c>
      <c r="L1598" s="2" t="n">
        <v>1888</v>
      </c>
      <c r="M1598" t="n">
        <v>-75.14</v>
      </c>
      <c r="N1598" t="inlineStr">
        <is>
          <t>20260126800391</t>
        </is>
      </c>
      <c r="O1598">
        <f>HYPERLINK("https://dart.fss.or.kr/dsaf001/main.do?rcpNo=20260126800391", "공시열람")</f>
        <v/>
      </c>
    </row>
    <row r="1599">
      <c r="A1599" t="inlineStr">
        <is>
          <t>2026-01-26</t>
        </is>
      </c>
      <c r="B1599" t="inlineStr">
        <is>
          <t>녹십자엠에스</t>
        </is>
      </c>
      <c r="C1599" t="inlineStr">
        <is>
          <t>142280</t>
        </is>
      </c>
      <c r="D1599" t="inlineStr">
        <is>
          <t>연결</t>
        </is>
      </c>
      <c r="E1599" t="inlineStr">
        <is>
          <t>2025Q4</t>
        </is>
      </c>
      <c r="F1599" s="2" t="n">
        <v>25048</v>
      </c>
      <c r="G1599" t="n">
        <v>-5.3</v>
      </c>
      <c r="H1599" t="n">
        <v>-9.699999999999999</v>
      </c>
      <c r="I1599" s="2" t="n">
        <v>390</v>
      </c>
      <c r="J1599" t="n">
        <v>-58.7</v>
      </c>
      <c r="K1599" t="n">
        <v>-59.8</v>
      </c>
      <c r="L1599" s="2" t="n">
        <v>289</v>
      </c>
      <c r="M1599" t="n">
        <v>-86.5</v>
      </c>
      <c r="N1599" t="inlineStr">
        <is>
          <t>20260126901033</t>
        </is>
      </c>
      <c r="O1599">
        <f>HYPERLINK("https://dart.fss.or.kr/dsaf001/main.do?rcpNo=20260126901033", "공시열람")</f>
        <v/>
      </c>
    </row>
    <row r="1600">
      <c r="A1600" t="inlineStr">
        <is>
          <t>2026-01-26</t>
        </is>
      </c>
      <c r="B1600" t="inlineStr">
        <is>
          <t>LG이노텍</t>
        </is>
      </c>
      <c r="C1600" t="inlineStr">
        <is>
          <t>011070</t>
        </is>
      </c>
      <c r="D1600" t="inlineStr">
        <is>
          <t>연결</t>
        </is>
      </c>
      <c r="E1600" t="inlineStr">
        <is>
          <t>2025Q4</t>
        </is>
      </c>
      <c r="F1600" s="2" t="n">
        <v>7609757</v>
      </c>
      <c r="G1600" t="n">
        <v>41.7</v>
      </c>
      <c r="H1600" t="n">
        <v>14.8</v>
      </c>
      <c r="I1600" s="2" t="n">
        <v>324750</v>
      </c>
      <c r="J1600" t="n">
        <v>59.4</v>
      </c>
      <c r="K1600" t="n">
        <v>31</v>
      </c>
      <c r="L1600" s="2" t="n">
        <v>135937</v>
      </c>
      <c r="M1600" t="n">
        <v>27.1</v>
      </c>
      <c r="N1600" t="inlineStr">
        <is>
          <t>20260126800920</t>
        </is>
      </c>
      <c r="O1600">
        <f>HYPERLINK("https://dart.fss.or.kr/dsaf001/main.do?rcpNo=20260126800920", "공시열람")</f>
        <v/>
      </c>
    </row>
    <row r="1601">
      <c r="A1601" t="inlineStr">
        <is>
          <t>2026-01-26</t>
        </is>
      </c>
      <c r="B1601" t="inlineStr">
        <is>
          <t>애경산업</t>
        </is>
      </c>
      <c r="C1601" t="inlineStr">
        <is>
          <t>018250</t>
        </is>
      </c>
      <c r="D1601" t="inlineStr">
        <is>
          <t>연결</t>
        </is>
      </c>
      <c r="E1601" t="inlineStr">
        <is>
          <t>2025Q4</t>
        </is>
      </c>
      <c r="F1601" s="2" t="n">
        <v>162885</v>
      </c>
      <c r="G1601" t="n">
        <v>-3.8</v>
      </c>
      <c r="H1601" t="n">
        <v>-4.8</v>
      </c>
      <c r="I1601" s="2" t="n">
        <v>-3354</v>
      </c>
      <c r="J1601" t="inlineStr"/>
      <c r="K1601" t="inlineStr"/>
      <c r="L1601" s="2" t="n">
        <v>-2496</v>
      </c>
      <c r="M1601" t="inlineStr"/>
      <c r="N1601" t="inlineStr">
        <is>
          <t>20260126800753</t>
        </is>
      </c>
      <c r="O1601">
        <f>HYPERLINK("https://dart.fss.or.kr/dsaf001/main.do?rcpNo=20260126800753", "공시열람")</f>
        <v/>
      </c>
    </row>
    <row r="1602">
      <c r="A1602" t="inlineStr">
        <is>
          <t>2026-01-26</t>
        </is>
      </c>
      <c r="B1602" t="inlineStr">
        <is>
          <t>RF머트리얼즈</t>
        </is>
      </c>
      <c r="C1602" t="inlineStr">
        <is>
          <t>327260</t>
        </is>
      </c>
      <c r="D1602" t="inlineStr">
        <is>
          <t>연결</t>
        </is>
      </c>
      <c r="E1602" t="inlineStr">
        <is>
          <t>2025Q4</t>
        </is>
      </c>
      <c r="F1602" s="2" t="n">
        <v>20946</v>
      </c>
      <c r="G1602" t="n">
        <v>43.58</v>
      </c>
      <c r="H1602" t="n">
        <v>40.82</v>
      </c>
      <c r="I1602" s="2" t="n">
        <v>2717</v>
      </c>
      <c r="J1602" t="n">
        <v>43.66</v>
      </c>
      <c r="K1602" t="n">
        <v>553.9299999999999</v>
      </c>
      <c r="L1602" s="2" t="n">
        <v>5184</v>
      </c>
      <c r="M1602" t="inlineStr"/>
      <c r="N1602" t="inlineStr">
        <is>
          <t>20260126900477</t>
        </is>
      </c>
      <c r="O1602">
        <f>HYPERLINK("https://dart.fss.or.kr/dsaf001/main.do?rcpNo=20260126900477", "공시열람")</f>
        <v/>
      </c>
    </row>
    <row r="1603">
      <c r="A1603" t="inlineStr">
        <is>
          <t>2026-01-26</t>
        </is>
      </c>
      <c r="B1603" t="inlineStr">
        <is>
          <t>해성디에스</t>
        </is>
      </c>
      <c r="C1603" t="inlineStr">
        <is>
          <t>195870</t>
        </is>
      </c>
      <c r="D1603" t="inlineStr">
        <is>
          <t>연결</t>
        </is>
      </c>
      <c r="E1603" t="inlineStr">
        <is>
          <t>2025Q4</t>
        </is>
      </c>
      <c r="F1603" s="2" t="n">
        <v>179900</v>
      </c>
      <c r="G1603" t="n">
        <v>0.8</v>
      </c>
      <c r="H1603" t="n">
        <v>23.9</v>
      </c>
      <c r="I1603" s="2" t="n">
        <v>21800</v>
      </c>
      <c r="J1603" t="n">
        <v>35.3</v>
      </c>
      <c r="K1603" t="n">
        <v>247.8</v>
      </c>
      <c r="L1603" s="2" t="n">
        <v>9300</v>
      </c>
      <c r="M1603" t="n">
        <v>-23.7</v>
      </c>
      <c r="N1603" t="inlineStr">
        <is>
          <t>20260126800572</t>
        </is>
      </c>
      <c r="O1603">
        <f>HYPERLINK("https://dart.fss.or.kr/dsaf001/main.do?rcpNo=20260126800572", "공시열람")</f>
        <v/>
      </c>
    </row>
    <row r="1604">
      <c r="A1604" t="inlineStr">
        <is>
          <t>2026-01-26</t>
        </is>
      </c>
      <c r="B1604" t="inlineStr">
        <is>
          <t>삼성에피스홀딩스</t>
        </is>
      </c>
      <c r="C1604" t="inlineStr">
        <is>
          <t>0126Z0</t>
        </is>
      </c>
      <c r="D1604" t="inlineStr">
        <is>
          <t>연결</t>
        </is>
      </c>
      <c r="E1604" t="inlineStr">
        <is>
          <t>2025Q4</t>
        </is>
      </c>
      <c r="F1604" s="2" t="n">
        <v>429371</v>
      </c>
      <c r="G1604" t="n">
        <v>-2.6</v>
      </c>
      <c r="H1604" t="n">
        <v>8.1</v>
      </c>
      <c r="I1604" s="2" t="n">
        <v>29180</v>
      </c>
      <c r="J1604" t="n">
        <v>-77.40000000000001</v>
      </c>
      <c r="K1604" t="n">
        <v>-59.6</v>
      </c>
      <c r="L1604" s="2" t="n">
        <v>93998</v>
      </c>
      <c r="M1604" t="n">
        <v>30.5</v>
      </c>
      <c r="N1604" t="inlineStr">
        <is>
          <t>20260126800610</t>
        </is>
      </c>
      <c r="O1604">
        <f>HYPERLINK("https://dart.fss.or.kr/dsaf001/main.do?rcpNo=20260126800610", "공시열람")</f>
        <v/>
      </c>
    </row>
    <row r="1605">
      <c r="A1605" t="inlineStr">
        <is>
          <t>2026-01-26</t>
        </is>
      </c>
      <c r="B1605" t="inlineStr">
        <is>
          <t>삼성에피스홀딩스</t>
        </is>
      </c>
      <c r="C1605" t="inlineStr">
        <is>
          <t>0126Z0</t>
        </is>
      </c>
      <c r="D1605" t="inlineStr">
        <is>
          <t>연결</t>
        </is>
      </c>
      <c r="E1605" t="inlineStr">
        <is>
          <t>2025Q4</t>
        </is>
      </c>
      <c r="F1605" s="2" t="n">
        <v>251690</v>
      </c>
      <c r="G1605" t="inlineStr"/>
      <c r="H1605" t="inlineStr"/>
      <c r="I1605" s="2" t="n">
        <v>-63641</v>
      </c>
      <c r="J1605" t="inlineStr"/>
      <c r="K1605" t="inlineStr"/>
      <c r="L1605" s="2" t="n">
        <v>-31383</v>
      </c>
      <c r="M1605" t="inlineStr"/>
      <c r="N1605" t="inlineStr">
        <is>
          <t>20260126800613</t>
        </is>
      </c>
      <c r="O1605">
        <f>HYPERLINK("https://dart.fss.or.kr/dsaf001/main.do?rcpNo=20260126800613", "공시열람")</f>
        <v/>
      </c>
    </row>
    <row r="1606">
      <c r="A1606" t="inlineStr">
        <is>
          <t>2026-01-26</t>
        </is>
      </c>
      <c r="B1606" t="inlineStr">
        <is>
          <t>유니드</t>
        </is>
      </c>
      <c r="C1606" t="inlineStr">
        <is>
          <t>014830</t>
        </is>
      </c>
      <c r="D1606" t="inlineStr">
        <is>
          <t>연결</t>
        </is>
      </c>
      <c r="E1606" t="inlineStr">
        <is>
          <t>2025Q4</t>
        </is>
      </c>
      <c r="F1606" s="2" t="n">
        <v>346334</v>
      </c>
      <c r="G1606" t="n">
        <v>5.28</v>
      </c>
      <c r="H1606" t="n">
        <v>25.71</v>
      </c>
      <c r="I1606" s="2" t="n">
        <v>7631</v>
      </c>
      <c r="J1606" t="n">
        <v>-59.51</v>
      </c>
      <c r="K1606" t="n">
        <v>-38.72</v>
      </c>
      <c r="L1606" s="2" t="n">
        <v>1888</v>
      </c>
      <c r="M1606" t="n">
        <v>-75.14</v>
      </c>
      <c r="N1606" t="inlineStr">
        <is>
          <t>20260126800330</t>
        </is>
      </c>
      <c r="O1606">
        <f>HYPERLINK("https://dart.fss.or.kr/dsaf001/main.do?rcpNo=20260126800330", "공시열람")</f>
        <v/>
      </c>
    </row>
    <row r="1607">
      <c r="A1607" t="inlineStr">
        <is>
          <t>2026-01-23</t>
        </is>
      </c>
      <c r="B1607" t="inlineStr">
        <is>
          <t>효성 ITX</t>
        </is>
      </c>
      <c r="C1607" t="inlineStr">
        <is>
          <t>094280</t>
        </is>
      </c>
      <c r="D1607" t="inlineStr">
        <is>
          <t>연결</t>
        </is>
      </c>
      <c r="E1607" t="inlineStr">
        <is>
          <t>2025Q4</t>
        </is>
      </c>
      <c r="F1607" s="2" t="n">
        <v>145684</v>
      </c>
      <c r="G1607" t="n">
        <v>17.31</v>
      </c>
      <c r="H1607" t="n">
        <v>5.82</v>
      </c>
      <c r="I1607" s="2" t="n">
        <v>6556</v>
      </c>
      <c r="J1607" t="n">
        <v>52.63</v>
      </c>
      <c r="K1607" t="n">
        <v>12.88</v>
      </c>
      <c r="L1607" s="2" t="n">
        <v>5791</v>
      </c>
      <c r="M1607" t="n">
        <v>97.75</v>
      </c>
      <c r="N1607" t="inlineStr">
        <is>
          <t>20260123800511</t>
        </is>
      </c>
      <c r="O1607">
        <f>HYPERLINK("https://dart.fss.or.kr/dsaf001/main.do?rcpNo=20260123800511", "공시열람")</f>
        <v/>
      </c>
    </row>
    <row r="1608">
      <c r="A1608" t="inlineStr">
        <is>
          <t>2026-01-23</t>
        </is>
      </c>
      <c r="B1608" t="inlineStr">
        <is>
          <t>GS글로벌</t>
        </is>
      </c>
      <c r="C1608" t="inlineStr">
        <is>
          <t>001250</t>
        </is>
      </c>
      <c r="D1608" t="inlineStr">
        <is>
          <t>연결</t>
        </is>
      </c>
      <c r="E1608" t="inlineStr">
        <is>
          <t>2025Q4</t>
        </is>
      </c>
      <c r="F1608" s="2" t="n">
        <v>1067748</v>
      </c>
      <c r="G1608" t="n">
        <v>12.9</v>
      </c>
      <c r="H1608" t="n">
        <v>-2.2</v>
      </c>
      <c r="I1608" s="2" t="n">
        <v>10097</v>
      </c>
      <c r="J1608" t="n">
        <v>56.5</v>
      </c>
      <c r="K1608" t="n">
        <v>-32.4</v>
      </c>
      <c r="L1608" s="2" t="n">
        <v>-5727</v>
      </c>
      <c r="M1608" t="inlineStr"/>
      <c r="N1608" t="inlineStr">
        <is>
          <t>20260123800336</t>
        </is>
      </c>
      <c r="O1608">
        <f>HYPERLINK("https://dart.fss.or.kr/dsaf001/main.do?rcpNo=20260123800336", "공시열람")</f>
        <v/>
      </c>
    </row>
    <row r="1609">
      <c r="A1609" t="inlineStr">
        <is>
          <t>2026-01-23</t>
        </is>
      </c>
      <c r="B1609" t="inlineStr">
        <is>
          <t>동국씨엠</t>
        </is>
      </c>
      <c r="C1609" t="inlineStr">
        <is>
          <t>460850</t>
        </is>
      </c>
      <c r="D1609" t="inlineStr">
        <is>
          <t>별도</t>
        </is>
      </c>
      <c r="E1609" t="inlineStr">
        <is>
          <t>2025Q4</t>
        </is>
      </c>
      <c r="F1609" s="2" t="n">
        <v>460167</v>
      </c>
      <c r="G1609" t="n">
        <v>-5.14</v>
      </c>
      <c r="H1609" t="n">
        <v>-9.09</v>
      </c>
      <c r="I1609" s="2" t="n">
        <v>-3819</v>
      </c>
      <c r="J1609" t="n">
        <v>26.3</v>
      </c>
      <c r="K1609" t="inlineStr"/>
      <c r="L1609" s="2" t="n">
        <v>-8565</v>
      </c>
      <c r="M1609" t="inlineStr"/>
      <c r="N1609" t="inlineStr">
        <is>
          <t>20260123800296</t>
        </is>
      </c>
      <c r="O1609">
        <f>HYPERLINK("https://dart.fss.or.kr/dsaf001/main.do?rcpNo=20260123800296", "공시열람")</f>
        <v/>
      </c>
    </row>
    <row r="1610">
      <c r="A1610" t="inlineStr">
        <is>
          <t>2026-01-23</t>
        </is>
      </c>
      <c r="B1610" t="inlineStr">
        <is>
          <t>삼성E&amp;A</t>
        </is>
      </c>
      <c r="C1610" t="inlineStr">
        <is>
          <t>028050</t>
        </is>
      </c>
      <c r="D1610" t="inlineStr">
        <is>
          <t>연결</t>
        </is>
      </c>
      <c r="E1610" t="inlineStr">
        <is>
          <t>2025Q4</t>
        </is>
      </c>
      <c r="F1610" s="2" t="n">
        <v>2757182</v>
      </c>
      <c r="G1610" t="n">
        <v>38.2</v>
      </c>
      <c r="H1610" t="n">
        <v>6.9</v>
      </c>
      <c r="I1610" s="2" t="n">
        <v>277372</v>
      </c>
      <c r="J1610" t="n">
        <v>57.1</v>
      </c>
      <c r="K1610" t="n">
        <v>-6.2</v>
      </c>
      <c r="L1610" s="2" t="n">
        <v>192007</v>
      </c>
      <c r="M1610" t="n">
        <v>72.90000000000001</v>
      </c>
      <c r="N1610" t="inlineStr">
        <is>
          <t>20260123800221</t>
        </is>
      </c>
      <c r="O1610">
        <f>HYPERLINK("https://dart.fss.or.kr/dsaf001/main.do?rcpNo=20260123800221", "공시열람")</f>
        <v/>
      </c>
    </row>
    <row r="1611">
      <c r="A1611" t="inlineStr">
        <is>
          <t>2026-01-23</t>
        </is>
      </c>
      <c r="B1611" t="inlineStr">
        <is>
          <t>삼성전기</t>
        </is>
      </c>
      <c r="C1611" t="inlineStr">
        <is>
          <t>009150</t>
        </is>
      </c>
      <c r="D1611" t="inlineStr">
        <is>
          <t>연결</t>
        </is>
      </c>
      <c r="E1611" t="inlineStr">
        <is>
          <t>2025Q4</t>
        </is>
      </c>
      <c r="F1611" s="2" t="n">
        <v>2902145</v>
      </c>
      <c r="G1611" t="n">
        <v>0.5</v>
      </c>
      <c r="H1611" t="n">
        <v>16.4</v>
      </c>
      <c r="I1611" s="2" t="n">
        <v>239496</v>
      </c>
      <c r="J1611" t="n">
        <v>-8</v>
      </c>
      <c r="K1611" t="n">
        <v>108.2</v>
      </c>
      <c r="L1611" s="2" t="n">
        <v>227300</v>
      </c>
      <c r="M1611" t="n">
        <v>7.6</v>
      </c>
      <c r="N1611" t="inlineStr">
        <is>
          <t>20260123800202</t>
        </is>
      </c>
      <c r="O1611">
        <f>HYPERLINK("https://dart.fss.or.kr/dsaf001/main.do?rcpNo=20260123800202", "공시열람")</f>
        <v/>
      </c>
    </row>
    <row r="1612">
      <c r="A1612" t="inlineStr">
        <is>
          <t>2026-01-23</t>
        </is>
      </c>
      <c r="B1612" t="inlineStr">
        <is>
          <t>한솔제지</t>
        </is>
      </c>
      <c r="C1612" t="inlineStr">
        <is>
          <t>213500</t>
        </is>
      </c>
      <c r="D1612" t="inlineStr">
        <is>
          <t>별도</t>
        </is>
      </c>
      <c r="E1612" t="inlineStr">
        <is>
          <t>2025Q4</t>
        </is>
      </c>
      <c r="F1612" s="2" t="n">
        <v>562180</v>
      </c>
      <c r="G1612" t="n">
        <v>9.6</v>
      </c>
      <c r="H1612" t="n">
        <v>1.1</v>
      </c>
      <c r="I1612" s="2" t="n">
        <v>13940</v>
      </c>
      <c r="J1612" t="inlineStr"/>
      <c r="K1612" t="inlineStr"/>
      <c r="L1612" s="2" t="n">
        <v>2633</v>
      </c>
      <c r="M1612" t="inlineStr"/>
      <c r="N1612" t="inlineStr">
        <is>
          <t>20260123800096</t>
        </is>
      </c>
      <c r="O1612">
        <f>HYPERLINK("https://dart.fss.or.kr/dsaf001/main.do?rcpNo=20260123800096", "공시열람")</f>
        <v/>
      </c>
    </row>
    <row r="1613">
      <c r="A1613" t="inlineStr">
        <is>
          <t>2026-01-22</t>
        </is>
      </c>
      <c r="B1613" t="inlineStr">
        <is>
          <t>삼성에스디에스</t>
        </is>
      </c>
      <c r="C1613" t="inlineStr">
        <is>
          <t>018260</t>
        </is>
      </c>
      <c r="D1613" t="inlineStr">
        <is>
          <t>연결</t>
        </is>
      </c>
      <c r="E1613" t="inlineStr">
        <is>
          <t>2025Q4</t>
        </is>
      </c>
      <c r="F1613" s="2" t="n">
        <v>3536803</v>
      </c>
      <c r="G1613" t="n">
        <v>4.3</v>
      </c>
      <c r="H1613" t="n">
        <v>-2.9</v>
      </c>
      <c r="I1613" s="2" t="n">
        <v>226101</v>
      </c>
      <c r="J1613" t="n">
        <v>-2.7</v>
      </c>
      <c r="K1613" t="n">
        <v>6.9</v>
      </c>
      <c r="L1613" s="2" t="n">
        <v>187906</v>
      </c>
      <c r="M1613" t="n">
        <v>-4.3</v>
      </c>
      <c r="N1613" t="inlineStr">
        <is>
          <t>20260122800108</t>
        </is>
      </c>
      <c r="O1613">
        <f>HYPERLINK("https://dart.fss.or.kr/dsaf001/main.do?rcpNo=20260122800108", "공시열람")</f>
        <v/>
      </c>
    </row>
    <row r="1614">
      <c r="A1614" t="inlineStr">
        <is>
          <t>2026-01-22</t>
        </is>
      </c>
      <c r="B1614" t="inlineStr">
        <is>
          <t>지역난방공사</t>
        </is>
      </c>
      <c r="C1614" t="inlineStr">
        <is>
          <t>071320</t>
        </is>
      </c>
      <c r="D1614" t="inlineStr">
        <is>
          <t>별도</t>
        </is>
      </c>
      <c r="E1614" t="inlineStr">
        <is>
          <t>2025Q4</t>
        </is>
      </c>
      <c r="F1614" s="2" t="inlineStr"/>
      <c r="G1614" t="inlineStr"/>
      <c r="H1614" t="inlineStr"/>
      <c r="I1614" s="2" t="inlineStr"/>
      <c r="J1614" t="inlineStr"/>
      <c r="K1614" t="inlineStr"/>
      <c r="L1614" s="2" t="inlineStr"/>
      <c r="M1614" t="inlineStr"/>
      <c r="N1614" t="inlineStr">
        <is>
          <t>20260122800409</t>
        </is>
      </c>
      <c r="O1614">
        <f>HYPERLINK("https://dart.fss.or.kr/dsaf001/main.do?rcpNo=20260122800409", "공시열람")</f>
        <v/>
      </c>
    </row>
    <row r="1615">
      <c r="A1615" t="inlineStr">
        <is>
          <t>2026-01-21</t>
        </is>
      </c>
      <c r="B1615" t="inlineStr">
        <is>
          <t>티앤알바이오팹</t>
        </is>
      </c>
      <c r="C1615" t="inlineStr">
        <is>
          <t>246710</t>
        </is>
      </c>
      <c r="D1615" t="inlineStr">
        <is>
          <t>연결</t>
        </is>
      </c>
      <c r="E1615" t="inlineStr">
        <is>
          <t>2025Q4</t>
        </is>
      </c>
      <c r="F1615" s="2" t="n">
        <v>7483</v>
      </c>
      <c r="G1615" t="n">
        <v>7.61</v>
      </c>
      <c r="H1615" t="n">
        <v>508.87</v>
      </c>
      <c r="I1615" s="2" t="inlineStr"/>
      <c r="J1615" t="inlineStr"/>
      <c r="K1615" t="inlineStr"/>
      <c r="L1615" s="2" t="inlineStr"/>
      <c r="M1615" t="inlineStr"/>
      <c r="N1615" t="inlineStr">
        <is>
          <t>20260121900206</t>
        </is>
      </c>
      <c r="O1615">
        <f>HYPERLINK("https://dart.fss.or.kr/dsaf001/main.do?rcpNo=20260121900206", "공시열람")</f>
        <v/>
      </c>
    </row>
    <row r="1616">
      <c r="A1616" t="inlineStr">
        <is>
          <t>2026-01-21</t>
        </is>
      </c>
      <c r="B1616" t="inlineStr">
        <is>
          <t>HD현대중공업</t>
        </is>
      </c>
      <c r="C1616" t="inlineStr">
        <is>
          <t>329180</t>
        </is>
      </c>
      <c r="D1616" t="inlineStr">
        <is>
          <t>별도</t>
        </is>
      </c>
      <c r="E1616" t="inlineStr">
        <is>
          <t>2025Q4</t>
        </is>
      </c>
      <c r="F1616" s="2" t="inlineStr"/>
      <c r="G1616" t="inlineStr"/>
      <c r="H1616" t="inlineStr"/>
      <c r="I1616" s="2" t="inlineStr"/>
      <c r="J1616" t="inlineStr"/>
      <c r="K1616" t="inlineStr"/>
      <c r="L1616" s="2" t="inlineStr"/>
      <c r="M1616" t="inlineStr"/>
      <c r="N1616" t="inlineStr">
        <is>
          <t>20260121800509</t>
        </is>
      </c>
      <c r="O1616">
        <f>HYPERLINK("https://dart.fss.or.kr/dsaf001/main.do?rcpNo=20260121800509", "공시열람")</f>
        <v/>
      </c>
    </row>
    <row r="1617">
      <c r="A1617" t="inlineStr">
        <is>
          <t>2026-01-21</t>
        </is>
      </c>
      <c r="B1617" t="inlineStr">
        <is>
          <t>아바텍</t>
        </is>
      </c>
      <c r="C1617" t="inlineStr">
        <is>
          <t>149950</t>
        </is>
      </c>
      <c r="D1617" t="inlineStr">
        <is>
          <t>별도</t>
        </is>
      </c>
      <c r="E1617" t="inlineStr">
        <is>
          <t>2025Q4</t>
        </is>
      </c>
      <c r="F1617" s="2" t="n">
        <v>21733</v>
      </c>
      <c r="G1617" t="n">
        <v>-4.75</v>
      </c>
      <c r="H1617" t="n">
        <v>39.52</v>
      </c>
      <c r="I1617" s="2" t="n">
        <v>2701</v>
      </c>
      <c r="J1617" t="n">
        <v>-18.23</v>
      </c>
      <c r="K1617" t="inlineStr"/>
      <c r="L1617" s="2" t="n">
        <v>2457</v>
      </c>
      <c r="M1617" t="inlineStr"/>
      <c r="N1617" t="inlineStr">
        <is>
          <t>20260121900478</t>
        </is>
      </c>
      <c r="O1617">
        <f>HYPERLINK("https://dart.fss.or.kr/dsaf001/main.do?rcpNo=20260121900478", "공시열람")</f>
        <v/>
      </c>
    </row>
    <row r="1618">
      <c r="A1618" t="inlineStr">
        <is>
          <t>2026-01-21</t>
        </is>
      </c>
      <c r="B1618" t="inlineStr">
        <is>
          <t>한올바이오파마</t>
        </is>
      </c>
      <c r="C1618" t="inlineStr">
        <is>
          <t>009420</t>
        </is>
      </c>
      <c r="D1618" t="inlineStr">
        <is>
          <t>연결</t>
        </is>
      </c>
      <c r="E1618" t="inlineStr">
        <is>
          <t>2025Q4</t>
        </is>
      </c>
      <c r="F1618" s="2" t="n">
        <v>37549</v>
      </c>
      <c r="G1618" t="n">
        <v>-8</v>
      </c>
      <c r="H1618" t="n">
        <v>3.1</v>
      </c>
      <c r="I1618" s="2" t="n">
        <v>-2016</v>
      </c>
      <c r="J1618" t="inlineStr"/>
      <c r="K1618" t="inlineStr"/>
      <c r="L1618" s="2" t="n">
        <v>-6248</v>
      </c>
      <c r="M1618" t="inlineStr"/>
      <c r="N1618" t="inlineStr">
        <is>
          <t>20260121800631</t>
        </is>
      </c>
      <c r="O1618">
        <f>HYPERLINK("https://dart.fss.or.kr/dsaf001/main.do?rcpNo=20260121800631", "공시열람")</f>
        <v/>
      </c>
    </row>
    <row r="1619">
      <c r="A1619" t="inlineStr">
        <is>
          <t>2026-01-21</t>
        </is>
      </c>
      <c r="B1619" t="inlineStr">
        <is>
          <t>HD한국조선해양</t>
        </is>
      </c>
      <c r="C1619" t="inlineStr">
        <is>
          <t>009540</t>
        </is>
      </c>
      <c r="D1619" t="inlineStr">
        <is>
          <t>별도</t>
        </is>
      </c>
      <c r="E1619" t="inlineStr">
        <is>
          <t>2025Q4</t>
        </is>
      </c>
      <c r="F1619" s="2" t="inlineStr"/>
      <c r="G1619" t="inlineStr"/>
      <c r="H1619" t="inlineStr"/>
      <c r="I1619" s="2" t="inlineStr"/>
      <c r="J1619" t="inlineStr"/>
      <c r="K1619" t="inlineStr"/>
      <c r="L1619" s="2" t="inlineStr"/>
      <c r="M1619" t="inlineStr"/>
      <c r="N1619" t="inlineStr">
        <is>
          <t>20260121800496</t>
        </is>
      </c>
      <c r="O1619">
        <f>HYPERLINK("https://dart.fss.or.kr/dsaf001/main.do?rcpNo=20260121800496", "공시열람")</f>
        <v/>
      </c>
    </row>
    <row r="1620">
      <c r="A1620" t="inlineStr">
        <is>
          <t>2026-01-21</t>
        </is>
      </c>
      <c r="B1620" t="inlineStr">
        <is>
          <t>HD한국조선해양</t>
        </is>
      </c>
      <c r="C1620" t="inlineStr">
        <is>
          <t>009540</t>
        </is>
      </c>
      <c r="D1620" t="inlineStr">
        <is>
          <t>별도</t>
        </is>
      </c>
      <c r="E1620" t="inlineStr">
        <is>
          <t>2025Q4</t>
        </is>
      </c>
      <c r="F1620" s="2" t="inlineStr"/>
      <c r="G1620" t="inlineStr"/>
      <c r="H1620" t="inlineStr"/>
      <c r="I1620" s="2" t="inlineStr"/>
      <c r="J1620" t="inlineStr"/>
      <c r="K1620" t="inlineStr"/>
      <c r="L1620" s="2" t="inlineStr"/>
      <c r="M1620" t="inlineStr"/>
      <c r="N1620" t="inlineStr">
        <is>
          <t>20260121800493</t>
        </is>
      </c>
      <c r="O1620">
        <f>HYPERLINK("https://dart.fss.or.kr/dsaf001/main.do?rcpNo=20260121800493", "공시열람")</f>
        <v/>
      </c>
    </row>
    <row r="1621">
      <c r="A1621" t="inlineStr">
        <is>
          <t>2026-01-21</t>
        </is>
      </c>
      <c r="B1621" t="inlineStr">
        <is>
          <t>삼성바이오로직스</t>
        </is>
      </c>
      <c r="C1621" t="inlineStr">
        <is>
          <t>207940</t>
        </is>
      </c>
      <c r="D1621" t="inlineStr">
        <is>
          <t>연결</t>
        </is>
      </c>
      <c r="E1621" t="inlineStr">
        <is>
          <t>2025Q4</t>
        </is>
      </c>
      <c r="F1621" s="2" t="n">
        <v>1285706</v>
      </c>
      <c r="G1621" t="n">
        <v>2.2</v>
      </c>
      <c r="H1621" t="n">
        <v>35.3</v>
      </c>
      <c r="I1621" s="2" t="n">
        <v>528251</v>
      </c>
      <c r="J1621" t="n">
        <v>-16.6</v>
      </c>
      <c r="K1621" t="n">
        <v>67.8</v>
      </c>
      <c r="L1621" s="2" t="n">
        <v>453050</v>
      </c>
      <c r="M1621" t="n">
        <v>74.09999999999999</v>
      </c>
      <c r="N1621" t="inlineStr">
        <is>
          <t>20260121800492</t>
        </is>
      </c>
      <c r="O1621">
        <f>HYPERLINK("https://dart.fss.or.kr/dsaf001/main.do?rcpNo=20260121800492", "공시열람")</f>
        <v/>
      </c>
    </row>
    <row r="1622">
      <c r="A1622" t="inlineStr">
        <is>
          <t>2026-01-19</t>
        </is>
      </c>
      <c r="B1622" t="inlineStr">
        <is>
          <t>조이시티</t>
        </is>
      </c>
      <c r="C1622" t="inlineStr">
        <is>
          <t>067000</t>
        </is>
      </c>
      <c r="D1622" t="inlineStr">
        <is>
          <t>연결</t>
        </is>
      </c>
      <c r="E1622" t="inlineStr">
        <is>
          <t>2025Q4</t>
        </is>
      </c>
      <c r="F1622" s="2" t="n">
        <v>47994</v>
      </c>
      <c r="G1622" t="n">
        <v>81.2</v>
      </c>
      <c r="H1622" t="n">
        <v>44.2</v>
      </c>
      <c r="I1622" s="2" t="n">
        <v>2701</v>
      </c>
      <c r="J1622" t="inlineStr"/>
      <c r="K1622" t="n">
        <v>32.7</v>
      </c>
      <c r="L1622" s="2" t="n">
        <v>-6007</v>
      </c>
      <c r="M1622" t="n">
        <v>46</v>
      </c>
      <c r="N1622" t="inlineStr">
        <is>
          <t>20260119900711</t>
        </is>
      </c>
      <c r="O1622">
        <f>HYPERLINK("https://dart.fss.or.kr/dsaf001/main.do?rcpNo=20260119900711", "공시열람")</f>
        <v/>
      </c>
    </row>
    <row r="1623">
      <c r="A1623" t="inlineStr">
        <is>
          <t>2026-01-16</t>
        </is>
      </c>
      <c r="B1623" t="inlineStr">
        <is>
          <t>젠큐릭스</t>
        </is>
      </c>
      <c r="C1623" t="inlineStr">
        <is>
          <t>229000</t>
        </is>
      </c>
      <c r="D1623" t="inlineStr">
        <is>
          <t>별도</t>
        </is>
      </c>
      <c r="E1623" t="inlineStr">
        <is>
          <t>2025Q4</t>
        </is>
      </c>
      <c r="F1623" s="2" t="n">
        <v>2112</v>
      </c>
      <c r="G1623" t="n">
        <v>22.2</v>
      </c>
      <c r="H1623" t="n">
        <v>-8.9</v>
      </c>
      <c r="I1623" s="2" t="n">
        <v>-1578</v>
      </c>
      <c r="J1623" t="n">
        <v>3.3</v>
      </c>
      <c r="K1623" t="n">
        <v>-24.1</v>
      </c>
      <c r="L1623" s="2" t="n">
        <v>-1065</v>
      </c>
      <c r="M1623" t="inlineStr"/>
      <c r="N1623" t="inlineStr">
        <is>
          <t>20260116900258</t>
        </is>
      </c>
      <c r="O1623">
        <f>HYPERLINK("https://dart.fss.or.kr/dsaf001/main.do?rcpNo=20260116900258", "공시열람")</f>
        <v/>
      </c>
    </row>
    <row r="1624">
      <c r="A1624" t="inlineStr">
        <is>
          <t>2026-01-15</t>
        </is>
      </c>
      <c r="B1624" t="inlineStr">
        <is>
          <t>코나아이</t>
        </is>
      </c>
      <c r="C1624" t="inlineStr">
        <is>
          <t>052400</t>
        </is>
      </c>
      <c r="D1624" t="inlineStr">
        <is>
          <t>연결</t>
        </is>
      </c>
      <c r="E1624" t="inlineStr">
        <is>
          <t>2025Q4</t>
        </is>
      </c>
      <c r="F1624" s="2" t="n">
        <v>89064</v>
      </c>
      <c r="G1624" t="n">
        <v>-4.5</v>
      </c>
      <c r="H1624" t="n">
        <v>48.3</v>
      </c>
      <c r="I1624" s="2" t="n">
        <v>30043</v>
      </c>
      <c r="J1624" t="n">
        <v>-0.4</v>
      </c>
      <c r="K1624" t="n">
        <v>395.3</v>
      </c>
      <c r="L1624" s="2" t="inlineStr"/>
      <c r="M1624" t="inlineStr"/>
      <c r="N1624" t="inlineStr">
        <is>
          <t>20260115900149</t>
        </is>
      </c>
      <c r="O1624">
        <f>HYPERLINK("https://dart.fss.or.kr/dsaf001/main.do?rcpNo=20260115900149", "공시열람")</f>
        <v/>
      </c>
    </row>
    <row r="1625">
      <c r="A1625" t="inlineStr">
        <is>
          <t>2026-01-15</t>
        </is>
      </c>
      <c r="B1625" t="inlineStr">
        <is>
          <t>한국가스공사</t>
        </is>
      </c>
      <c r="C1625" t="inlineStr">
        <is>
          <t>036460</t>
        </is>
      </c>
      <c r="D1625" t="inlineStr">
        <is>
          <t>별도</t>
        </is>
      </c>
      <c r="E1625" t="inlineStr">
        <is>
          <t>2025Q4</t>
        </is>
      </c>
      <c r="F1625" s="2" t="inlineStr"/>
      <c r="G1625" t="inlineStr"/>
      <c r="H1625" t="inlineStr"/>
      <c r="I1625" s="2" t="inlineStr"/>
      <c r="J1625" t="inlineStr"/>
      <c r="K1625" t="inlineStr"/>
      <c r="L1625" s="2" t="inlineStr"/>
      <c r="M1625" t="inlineStr"/>
      <c r="N1625" t="inlineStr">
        <is>
          <t>20260115800100</t>
        </is>
      </c>
      <c r="O1625">
        <f>HYPERLINK("https://dart.fss.or.kr/dsaf001/main.do?rcpNo=20260115800100", "공시열람")</f>
        <v/>
      </c>
    </row>
    <row r="1626">
      <c r="A1626" t="inlineStr">
        <is>
          <t>2026-01-15</t>
        </is>
      </c>
      <c r="B1626" t="inlineStr">
        <is>
          <t>대한항공</t>
        </is>
      </c>
      <c r="C1626" t="inlineStr">
        <is>
          <t>003490</t>
        </is>
      </c>
      <c r="D1626" t="inlineStr">
        <is>
          <t>별도</t>
        </is>
      </c>
      <c r="E1626" t="inlineStr">
        <is>
          <t>2025Q4</t>
        </is>
      </c>
      <c r="F1626" s="2" t="n">
        <v>4551600</v>
      </c>
      <c r="G1626" t="n">
        <v>13.5</v>
      </c>
      <c r="H1626" t="n">
        <v>13</v>
      </c>
      <c r="I1626" s="2" t="n">
        <v>413100</v>
      </c>
      <c r="J1626" t="n">
        <v>9.800000000000001</v>
      </c>
      <c r="K1626" t="n">
        <v>-5.1</v>
      </c>
      <c r="L1626" s="2" t="n">
        <v>284000</v>
      </c>
      <c r="M1626" t="n">
        <v>12.9</v>
      </c>
      <c r="N1626" t="inlineStr">
        <is>
          <t>20260115800338</t>
        </is>
      </c>
      <c r="O1626">
        <f>HYPERLINK("https://dart.fss.or.kr/dsaf001/main.do?rcpNo=20260115800338", "공시열람")</f>
        <v/>
      </c>
    </row>
    <row r="1627">
      <c r="A1627" t="inlineStr">
        <is>
          <t>2026-01-14</t>
        </is>
      </c>
      <c r="B1627" t="inlineStr">
        <is>
          <t>서울반도체</t>
        </is>
      </c>
      <c r="C1627" t="inlineStr">
        <is>
          <t>046890</t>
        </is>
      </c>
      <c r="D1627" t="inlineStr">
        <is>
          <t>연결</t>
        </is>
      </c>
      <c r="E1627" t="inlineStr">
        <is>
          <t>2025Q4</t>
        </is>
      </c>
      <c r="F1627" s="2" t="n">
        <v>270364</v>
      </c>
      <c r="G1627" t="n">
        <v>5.2</v>
      </c>
      <c r="H1627" t="n">
        <v>1.8</v>
      </c>
      <c r="I1627" s="2" t="inlineStr"/>
      <c r="J1627" t="inlineStr"/>
      <c r="K1627" t="inlineStr"/>
      <c r="L1627" s="2" t="inlineStr"/>
      <c r="M1627" t="inlineStr"/>
      <c r="N1627" t="inlineStr">
        <is>
          <t>20260114900403</t>
        </is>
      </c>
      <c r="O1627">
        <f>HYPERLINK("https://dart.fss.or.kr/dsaf001/main.do?rcpNo=20260114900403", "공시열람")</f>
        <v/>
      </c>
    </row>
    <row r="1628">
      <c r="A1628" t="inlineStr">
        <is>
          <t>2026-01-14</t>
        </is>
      </c>
      <c r="B1628" t="inlineStr">
        <is>
          <t>서울바이오시스</t>
        </is>
      </c>
      <c r="C1628" t="inlineStr">
        <is>
          <t>092190</t>
        </is>
      </c>
      <c r="D1628" t="inlineStr">
        <is>
          <t>연결</t>
        </is>
      </c>
      <c r="E1628" t="inlineStr">
        <is>
          <t>2025Q4</t>
        </is>
      </c>
      <c r="F1628" s="2" t="n">
        <v>221056</v>
      </c>
      <c r="G1628" t="n">
        <v>17.9</v>
      </c>
      <c r="H1628" t="n">
        <v>23.6</v>
      </c>
      <c r="I1628" s="2" t="inlineStr"/>
      <c r="J1628" t="inlineStr"/>
      <c r="K1628" t="inlineStr"/>
      <c r="L1628" s="2" t="inlineStr"/>
      <c r="M1628" t="inlineStr"/>
      <c r="N1628" t="inlineStr">
        <is>
          <t>20260114900357</t>
        </is>
      </c>
      <c r="O1628">
        <f>HYPERLINK("https://dart.fss.or.kr/dsaf001/main.do?rcpNo=20260114900357", "공시열람")</f>
        <v/>
      </c>
    </row>
    <row r="1629">
      <c r="A1629" t="inlineStr">
        <is>
          <t>2026-01-12</t>
        </is>
      </c>
      <c r="B1629" t="inlineStr">
        <is>
          <t>메카로</t>
        </is>
      </c>
      <c r="C1629" t="inlineStr">
        <is>
          <t>241770</t>
        </is>
      </c>
      <c r="D1629" t="inlineStr">
        <is>
          <t>연결</t>
        </is>
      </c>
      <c r="E1629" t="inlineStr">
        <is>
          <t>2025Q4</t>
        </is>
      </c>
      <c r="F1629" s="2" t="n">
        <v>24450</v>
      </c>
      <c r="G1629" t="n">
        <v>-5.07</v>
      </c>
      <c r="H1629" t="n">
        <v>16.18</v>
      </c>
      <c r="I1629" s="2" t="inlineStr"/>
      <c r="J1629" t="inlineStr"/>
      <c r="K1629" t="inlineStr"/>
      <c r="L1629" s="2" t="inlineStr"/>
      <c r="M1629" t="inlineStr"/>
      <c r="N1629" t="inlineStr">
        <is>
          <t>20260112900206</t>
        </is>
      </c>
      <c r="O1629">
        <f>HYPERLINK("https://dart.fss.or.kr/dsaf001/main.do?rcpNo=20260112900206", "공시열람")</f>
        <v/>
      </c>
    </row>
    <row r="1630">
      <c r="A1630" t="inlineStr">
        <is>
          <t>2026-01-09</t>
        </is>
      </c>
      <c r="B1630" t="inlineStr">
        <is>
          <t>광주신세계</t>
        </is>
      </c>
      <c r="C1630" t="inlineStr">
        <is>
          <t>037710</t>
        </is>
      </c>
      <c r="D1630" t="inlineStr">
        <is>
          <t>별도</t>
        </is>
      </c>
      <c r="E1630" t="inlineStr">
        <is>
          <t>2025Q4</t>
        </is>
      </c>
      <c r="F1630" s="2" t="n">
        <v>17473</v>
      </c>
      <c r="G1630" t="n">
        <v>-2.5</v>
      </c>
      <c r="H1630" t="n">
        <v>-6.5</v>
      </c>
      <c r="I1630" s="2" t="inlineStr"/>
      <c r="J1630" t="inlineStr"/>
      <c r="K1630" t="inlineStr"/>
      <c r="L1630" s="2" t="inlineStr"/>
      <c r="M1630" t="inlineStr"/>
      <c r="N1630" t="inlineStr">
        <is>
          <t>20260109800484</t>
        </is>
      </c>
      <c r="O1630">
        <f>HYPERLINK("https://dart.fss.or.kr/dsaf001/main.do?rcpNo=20260109800484", "공시열람")</f>
        <v/>
      </c>
    </row>
    <row r="1631">
      <c r="A1631" t="inlineStr">
        <is>
          <t>2026-01-09</t>
        </is>
      </c>
      <c r="B1631" t="inlineStr">
        <is>
          <t>LG전자</t>
        </is>
      </c>
      <c r="C1631" t="inlineStr">
        <is>
          <t>066570</t>
        </is>
      </c>
      <c r="D1631" t="inlineStr">
        <is>
          <t>연결</t>
        </is>
      </c>
      <c r="E1631" t="inlineStr">
        <is>
          <t>2025Q4</t>
        </is>
      </c>
      <c r="F1631" s="2" t="n">
        <v>23853800</v>
      </c>
      <c r="G1631" t="n">
        <v>9.1</v>
      </c>
      <c r="H1631" t="n">
        <v>4.8</v>
      </c>
      <c r="I1631" s="2" t="n">
        <v>-109400</v>
      </c>
      <c r="J1631" t="inlineStr"/>
      <c r="K1631" t="inlineStr"/>
      <c r="L1631" s="2" t="inlineStr"/>
      <c r="M1631" t="inlineStr"/>
      <c r="N1631" t="inlineStr">
        <is>
          <t>20260109800125</t>
        </is>
      </c>
      <c r="O1631">
        <f>HYPERLINK("https://dart.fss.or.kr/dsaf001/main.do?rcpNo=20260109800125", "공시열람")</f>
        <v/>
      </c>
    </row>
    <row r="1632">
      <c r="A1632" t="inlineStr">
        <is>
          <t>2026-01-09</t>
        </is>
      </c>
      <c r="B1632" t="inlineStr">
        <is>
          <t>LG에너지솔루션</t>
        </is>
      </c>
      <c r="C1632" t="inlineStr">
        <is>
          <t>373220</t>
        </is>
      </c>
      <c r="D1632" t="inlineStr">
        <is>
          <t>연결</t>
        </is>
      </c>
      <c r="E1632" t="inlineStr">
        <is>
          <t>2025Q4</t>
        </is>
      </c>
      <c r="F1632" s="2" t="n">
        <v>6141500</v>
      </c>
      <c r="G1632" t="n">
        <v>7.7</v>
      </c>
      <c r="H1632" t="n">
        <v>-4.8</v>
      </c>
      <c r="I1632" s="2" t="n">
        <v>-122000</v>
      </c>
      <c r="J1632" t="n">
        <v>-120.3</v>
      </c>
      <c r="K1632" t="n">
        <v>45.9</v>
      </c>
      <c r="L1632" s="2" t="inlineStr"/>
      <c r="M1632" t="inlineStr"/>
      <c r="N1632" t="inlineStr">
        <is>
          <t>20260109800185</t>
        </is>
      </c>
      <c r="O1632">
        <f>HYPERLINK("https://dart.fss.or.kr/dsaf001/main.do?rcpNo=20260109800185", "공시열람")</f>
        <v/>
      </c>
    </row>
    <row r="1633">
      <c r="A1633" t="inlineStr">
        <is>
          <t>2026-01-09</t>
        </is>
      </c>
      <c r="B1633" t="inlineStr">
        <is>
          <t>한진</t>
        </is>
      </c>
      <c r="C1633" t="inlineStr">
        <is>
          <t>002320</t>
        </is>
      </c>
      <c r="D1633" t="inlineStr">
        <is>
          <t>연결</t>
        </is>
      </c>
      <c r="E1633" t="inlineStr">
        <is>
          <t>2025Q4</t>
        </is>
      </c>
      <c r="F1633" s="2" t="n">
        <v>787800</v>
      </c>
      <c r="G1633" t="n">
        <v>-1.4</v>
      </c>
      <c r="H1633" t="n">
        <v>-3</v>
      </c>
      <c r="I1633" s="2" t="n">
        <v>16300</v>
      </c>
      <c r="J1633" t="n">
        <v>-47.1</v>
      </c>
      <c r="K1633" t="inlineStr"/>
      <c r="L1633" s="2" t="inlineStr"/>
      <c r="M1633" t="inlineStr"/>
      <c r="N1633" t="inlineStr">
        <is>
          <t>20260109800555</t>
        </is>
      </c>
      <c r="O1633">
        <f>HYPERLINK("https://dart.fss.or.kr/dsaf001/main.do?rcpNo=20260109800555", "공시열람")</f>
        <v/>
      </c>
    </row>
    <row r="1634">
      <c r="A1634" t="inlineStr">
        <is>
          <t>2026-01-09</t>
        </is>
      </c>
      <c r="B1634" t="inlineStr">
        <is>
          <t>이마트</t>
        </is>
      </c>
      <c r="C1634" t="inlineStr">
        <is>
          <t>139480</t>
        </is>
      </c>
      <c r="D1634" t="inlineStr">
        <is>
          <t>별도</t>
        </is>
      </c>
      <c r="E1634" t="inlineStr">
        <is>
          <t>2025Q4</t>
        </is>
      </c>
      <c r="F1634" s="2" t="n">
        <v>1364200</v>
      </c>
      <c r="G1634" t="n">
        <v>4</v>
      </c>
      <c r="H1634" t="n">
        <v>3.6</v>
      </c>
      <c r="I1634" s="2" t="inlineStr"/>
      <c r="J1634" t="inlineStr"/>
      <c r="K1634" t="inlineStr"/>
      <c r="L1634" s="2" t="inlineStr"/>
      <c r="M1634" t="inlineStr"/>
      <c r="N1634" t="inlineStr">
        <is>
          <t>20260109800182</t>
        </is>
      </c>
      <c r="O1634">
        <f>HYPERLINK("https://dart.fss.or.kr/dsaf001/main.do?rcpNo=20260109800182", "공시열람")</f>
        <v/>
      </c>
    </row>
    <row r="1635">
      <c r="A1635" t="inlineStr">
        <is>
          <t>2026-01-09</t>
        </is>
      </c>
      <c r="B1635" t="inlineStr">
        <is>
          <t>신세계</t>
        </is>
      </c>
      <c r="C1635" t="inlineStr">
        <is>
          <t>004170</t>
        </is>
      </c>
      <c r="D1635" t="inlineStr">
        <is>
          <t>별도</t>
        </is>
      </c>
      <c r="E1635" t="inlineStr">
        <is>
          <t>2025Q4</t>
        </is>
      </c>
      <c r="F1635" s="2" t="n">
        <v>201960</v>
      </c>
      <c r="G1635" t="n">
        <v>8.6</v>
      </c>
      <c r="H1635" t="n">
        <v>0.4</v>
      </c>
      <c r="I1635" s="2" t="inlineStr"/>
      <c r="J1635" t="inlineStr"/>
      <c r="K1635" t="inlineStr"/>
      <c r="L1635" s="2" t="inlineStr"/>
      <c r="M1635" t="inlineStr"/>
      <c r="N1635" t="inlineStr">
        <is>
          <t>20260109800340</t>
        </is>
      </c>
      <c r="O1635">
        <f>HYPERLINK("https://dart.fss.or.kr/dsaf001/main.do?rcpNo=20260109800340", "공시열람")</f>
        <v/>
      </c>
    </row>
    <row r="1636">
      <c r="A1636" t="inlineStr">
        <is>
          <t>2026-01-08</t>
        </is>
      </c>
      <c r="B1636" t="inlineStr">
        <is>
          <t>현대건설</t>
        </is>
      </c>
      <c r="C1636" t="inlineStr">
        <is>
          <t>000720</t>
        </is>
      </c>
      <c r="D1636" t="inlineStr">
        <is>
          <t>별도</t>
        </is>
      </c>
      <c r="E1636" t="inlineStr">
        <is>
          <t>2025Q4</t>
        </is>
      </c>
      <c r="F1636" s="2" t="inlineStr"/>
      <c r="G1636" t="inlineStr"/>
      <c r="H1636" t="inlineStr"/>
      <c r="I1636" s="2" t="inlineStr"/>
      <c r="J1636" t="inlineStr"/>
      <c r="K1636" t="inlineStr"/>
      <c r="L1636" s="2" t="inlineStr"/>
      <c r="M1636" t="inlineStr"/>
      <c r="N1636" t="inlineStr">
        <is>
          <t>20260108800515</t>
        </is>
      </c>
      <c r="O1636">
        <f>HYPERLINK("https://dart.fss.or.kr/dsaf001/main.do?rcpNo=20260108800515", "공시열람")</f>
        <v/>
      </c>
    </row>
    <row r="1637">
      <c r="A1637" t="inlineStr">
        <is>
          <t>2026-01-08</t>
        </is>
      </c>
      <c r="B1637" t="inlineStr">
        <is>
          <t>삼성전자</t>
        </is>
      </c>
      <c r="C1637" t="inlineStr">
        <is>
          <t>005930</t>
        </is>
      </c>
      <c r="D1637" t="inlineStr">
        <is>
          <t>연결</t>
        </is>
      </c>
      <c r="E1637" t="inlineStr">
        <is>
          <t>2025Q4</t>
        </is>
      </c>
      <c r="F1637" s="2" t="n">
        <v>93</v>
      </c>
      <c r="G1637" t="n">
        <v>8.06</v>
      </c>
      <c r="H1637" t="n">
        <v>22.71</v>
      </c>
      <c r="I1637" s="2" t="n">
        <v>20</v>
      </c>
      <c r="J1637" t="n">
        <v>64.34</v>
      </c>
      <c r="K1637" t="n">
        <v>208.17</v>
      </c>
      <c r="L1637" s="2" t="inlineStr"/>
      <c r="M1637" t="inlineStr"/>
      <c r="N1637" t="inlineStr">
        <is>
          <t>20260108800001</t>
        </is>
      </c>
      <c r="O1637">
        <f>HYPERLINK("https://dart.fss.or.kr/dsaf001/main.do?rcpNo=20260108800001", "공시열람")</f>
        <v/>
      </c>
    </row>
    <row r="1638">
      <c r="A1638" t="inlineStr">
        <is>
          <t>2026-01-06</t>
        </is>
      </c>
      <c r="B1638" t="inlineStr">
        <is>
          <t>소프트캠프</t>
        </is>
      </c>
      <c r="C1638" t="inlineStr">
        <is>
          <t>258790</t>
        </is>
      </c>
      <c r="D1638" t="inlineStr">
        <is>
          <t>별도</t>
        </is>
      </c>
      <c r="E1638" t="inlineStr">
        <is>
          <t>2025Q4</t>
        </is>
      </c>
      <c r="F1638" s="2" t="n">
        <v>9414</v>
      </c>
      <c r="G1638" t="n">
        <v>48.5</v>
      </c>
      <c r="H1638" t="n">
        <v>59.1</v>
      </c>
      <c r="I1638" s="2" t="n">
        <v>2730</v>
      </c>
      <c r="J1638" t="n">
        <v>294.2</v>
      </c>
      <c r="K1638" t="n">
        <v>104.2</v>
      </c>
      <c r="L1638" s="2" t="n">
        <v>1521</v>
      </c>
      <c r="M1638" t="n">
        <v>75.59999999999999</v>
      </c>
      <c r="N1638" t="inlineStr">
        <is>
          <t>20260106900126</t>
        </is>
      </c>
      <c r="O1638">
        <f>HYPERLINK("https://dart.fss.or.kr/dsaf001/main.do?rcpNo=20260106900126", "공시열람")</f>
        <v/>
      </c>
    </row>
    <row r="1639">
      <c r="A1639" t="inlineStr">
        <is>
          <t>2026-01-05</t>
        </is>
      </c>
      <c r="B1639" t="inlineStr">
        <is>
          <t>기아</t>
        </is>
      </c>
      <c r="C1639" t="inlineStr">
        <is>
          <t>000270</t>
        </is>
      </c>
      <c r="D1639" t="inlineStr">
        <is>
          <t>별도</t>
        </is>
      </c>
      <c r="E1639" t="inlineStr">
        <is>
          <t>2025Q4</t>
        </is>
      </c>
      <c r="F1639" s="2" t="inlineStr"/>
      <c r="G1639" t="inlineStr"/>
      <c r="H1639" t="inlineStr"/>
      <c r="I1639" s="2" t="inlineStr"/>
      <c r="J1639" t="inlineStr"/>
      <c r="K1639" t="inlineStr"/>
      <c r="L1639" s="2" t="inlineStr"/>
      <c r="M1639" t="inlineStr"/>
      <c r="N1639" t="inlineStr">
        <is>
          <t>20260105800230</t>
        </is>
      </c>
      <c r="O1639">
        <f>HYPERLINK("https://dart.fss.or.kr/dsaf001/main.do?rcpNo=20260105800230", "공시열람")</f>
        <v/>
      </c>
    </row>
    <row r="1640">
      <c r="A1640" t="inlineStr">
        <is>
          <t>2026-01-05</t>
        </is>
      </c>
      <c r="B1640" t="inlineStr">
        <is>
          <t>HD한국조선해양</t>
        </is>
      </c>
      <c r="C1640" t="inlineStr">
        <is>
          <t>009540</t>
        </is>
      </c>
      <c r="D1640" t="inlineStr">
        <is>
          <t>별도</t>
        </is>
      </c>
      <c r="E1640" t="inlineStr">
        <is>
          <t>2025Q4</t>
        </is>
      </c>
      <c r="F1640" s="2" t="inlineStr"/>
      <c r="G1640" t="inlineStr"/>
      <c r="H1640" t="inlineStr"/>
      <c r="I1640" s="2" t="inlineStr"/>
      <c r="J1640" t="inlineStr"/>
      <c r="K1640" t="inlineStr"/>
      <c r="L1640" s="2" t="inlineStr"/>
      <c r="M1640" t="inlineStr"/>
      <c r="N1640" t="inlineStr">
        <is>
          <t>20260105800695</t>
        </is>
      </c>
      <c r="O1640">
        <f>HYPERLINK("https://dart.fss.or.kr/dsaf001/main.do?rcpNo=20260105800695", "공시열람")</f>
        <v/>
      </c>
    </row>
    <row r="1641">
      <c r="A1641" t="inlineStr">
        <is>
          <t>2026-01-05</t>
        </is>
      </c>
      <c r="B1641" t="inlineStr">
        <is>
          <t>현대자동차</t>
        </is>
      </c>
      <c r="C1641" t="inlineStr">
        <is>
          <t>005380</t>
        </is>
      </c>
      <c r="D1641" t="inlineStr">
        <is>
          <t>별도</t>
        </is>
      </c>
      <c r="E1641" t="inlineStr">
        <is>
          <t>2025Q4</t>
        </is>
      </c>
      <c r="F1641" s="2" t="inlineStr"/>
      <c r="G1641" t="inlineStr"/>
      <c r="H1641" t="inlineStr"/>
      <c r="I1641" s="2" t="inlineStr"/>
      <c r="J1641" t="inlineStr"/>
      <c r="K1641" t="inlineStr"/>
      <c r="L1641" s="2" t="inlineStr"/>
      <c r="M1641" t="inlineStr"/>
      <c r="N1641" t="inlineStr">
        <is>
          <t>20260105800378</t>
        </is>
      </c>
      <c r="O1641">
        <f>HYPERLINK("https://dart.fss.or.kr/dsaf001/main.do?rcpNo=20260105800378", "공시열람")</f>
        <v/>
      </c>
    </row>
    <row r="1642">
      <c r="A1642" t="inlineStr">
        <is>
          <t>2026-01-05</t>
        </is>
      </c>
      <c r="B1642" t="inlineStr">
        <is>
          <t>파라다이스</t>
        </is>
      </c>
      <c r="C1642" t="inlineStr">
        <is>
          <t>034230</t>
        </is>
      </c>
      <c r="D1642" t="inlineStr">
        <is>
          <t>연결</t>
        </is>
      </c>
      <c r="E1642" t="inlineStr">
        <is>
          <t>2025Q4</t>
        </is>
      </c>
      <c r="F1642" s="2" t="inlineStr"/>
      <c r="G1642" t="inlineStr"/>
      <c r="H1642" t="inlineStr"/>
      <c r="I1642" s="2" t="inlineStr"/>
      <c r="J1642" t="inlineStr"/>
      <c r="K1642" t="inlineStr"/>
      <c r="L1642" s="2" t="inlineStr"/>
      <c r="M1642" t="inlineStr"/>
      <c r="N1642" t="inlineStr">
        <is>
          <t>20260105800568</t>
        </is>
      </c>
      <c r="O1642">
        <f>HYPERLINK("https://dart.fss.or.kr/dsaf001/main.do?rcpNo=20260105800568", "공시열람")</f>
        <v/>
      </c>
    </row>
    <row r="1643">
      <c r="A1643" t="inlineStr">
        <is>
          <t>2026-01-05</t>
        </is>
      </c>
      <c r="B1643" t="inlineStr">
        <is>
          <t>GKL</t>
        </is>
      </c>
      <c r="C1643" t="inlineStr">
        <is>
          <t>114090</t>
        </is>
      </c>
      <c r="D1643" t="inlineStr">
        <is>
          <t>별도</t>
        </is>
      </c>
      <c r="E1643" t="inlineStr">
        <is>
          <t>2025Q4</t>
        </is>
      </c>
      <c r="F1643" s="2" t="inlineStr"/>
      <c r="G1643" t="inlineStr"/>
      <c r="H1643" t="inlineStr"/>
      <c r="I1643" s="2" t="inlineStr"/>
      <c r="J1643" t="inlineStr"/>
      <c r="K1643" t="inlineStr"/>
      <c r="L1643" s="2" t="inlineStr"/>
      <c r="M1643" t="inlineStr"/>
      <c r="N1643" t="inlineStr">
        <is>
          <t>20260105800333</t>
        </is>
      </c>
      <c r="O1643">
        <f>HYPERLINK("https://dart.fss.or.kr/dsaf001/main.do?rcpNo=20260105800333", "공시열람")</f>
        <v/>
      </c>
    </row>
    <row r="1644">
      <c r="A1644" t="inlineStr">
        <is>
          <t>2026-01-05</t>
        </is>
      </c>
      <c r="B1644" t="inlineStr">
        <is>
          <t>KG모빌리티</t>
        </is>
      </c>
      <c r="C1644" t="inlineStr">
        <is>
          <t>003620</t>
        </is>
      </c>
      <c r="D1644" t="inlineStr">
        <is>
          <t>별도</t>
        </is>
      </c>
      <c r="E1644" t="inlineStr">
        <is>
          <t>2025Q4</t>
        </is>
      </c>
      <c r="F1644" s="2" t="inlineStr"/>
      <c r="G1644" t="inlineStr"/>
      <c r="H1644" t="inlineStr"/>
      <c r="I1644" s="2" t="inlineStr"/>
      <c r="J1644" t="inlineStr"/>
      <c r="K1644" t="inlineStr"/>
      <c r="L1644" s="2" t="inlineStr"/>
      <c r="M1644" t="inlineStr"/>
      <c r="N1644" t="inlineStr">
        <is>
          <t>20260105800299</t>
        </is>
      </c>
      <c r="O1644">
        <f>HYPERLINK("https://dart.fss.or.kr/dsaf001/main.do?rcpNo=20260105800299", "공시열람")</f>
        <v/>
      </c>
    </row>
    <row r="1645">
      <c r="A1645" t="inlineStr">
        <is>
          <t>2026-01-02</t>
        </is>
      </c>
      <c r="B1645" t="inlineStr">
        <is>
          <t>롯데관광개발</t>
        </is>
      </c>
      <c r="C1645" t="inlineStr">
        <is>
          <t>032350</t>
        </is>
      </c>
      <c r="D1645" t="inlineStr">
        <is>
          <t>연결</t>
        </is>
      </c>
      <c r="E1645" t="inlineStr">
        <is>
          <t>2025Q4</t>
        </is>
      </c>
      <c r="F1645" s="2" t="inlineStr"/>
      <c r="G1645" t="inlineStr"/>
      <c r="H1645" t="inlineStr"/>
      <c r="I1645" s="2" t="inlineStr"/>
      <c r="J1645" t="inlineStr"/>
      <c r="K1645" t="inlineStr"/>
      <c r="L1645" s="2" t="inlineStr"/>
      <c r="M1645" t="inlineStr"/>
      <c r="N1645" t="inlineStr">
        <is>
          <t>20260102800724</t>
        </is>
      </c>
      <c r="O1645">
        <f>HYPERLINK("https://dart.fss.or.kr/dsaf001/main.do?rcpNo=20260102800724", "공시열람")</f>
        <v/>
      </c>
    </row>
    <row r="1646">
      <c r="A1646" t="inlineStr">
        <is>
          <t>2025-11-14</t>
        </is>
      </c>
      <c r="B1646" t="inlineStr">
        <is>
          <t>메리츠금융지주</t>
        </is>
      </c>
      <c r="C1646" t="inlineStr">
        <is>
          <t>138040</t>
        </is>
      </c>
      <c r="D1646" t="inlineStr">
        <is>
          <t>별도</t>
        </is>
      </c>
      <c r="E1646" t="inlineStr">
        <is>
          <t>2025Q3</t>
        </is>
      </c>
      <c r="F1646" s="2" t="n">
        <v>3038448</v>
      </c>
      <c r="G1646" t="n">
        <v>-5</v>
      </c>
      <c r="H1646" t="n">
        <v>8.5</v>
      </c>
      <c r="I1646" s="2" t="n">
        <v>624853</v>
      </c>
      <c r="J1646" t="n">
        <v>-11.6</v>
      </c>
      <c r="K1646" t="n">
        <v>-6.3</v>
      </c>
      <c r="L1646" s="2" t="n">
        <v>463821</v>
      </c>
      <c r="M1646" t="n">
        <v>-6.3</v>
      </c>
      <c r="N1646" t="inlineStr">
        <is>
          <t>20251114801520</t>
        </is>
      </c>
      <c r="O1646">
        <f>HYPERLINK("https://dart.fss.or.kr/dsaf001/main.do?rcpNo=20251114801520", "공시열람")</f>
        <v/>
      </c>
    </row>
    <row r="1647">
      <c r="A1647" t="inlineStr">
        <is>
          <t>2025-11-14</t>
        </is>
      </c>
      <c r="B1647" t="inlineStr">
        <is>
          <t>DB손해보험</t>
        </is>
      </c>
      <c r="C1647" t="inlineStr">
        <is>
          <t>005830</t>
        </is>
      </c>
      <c r="D1647" t="inlineStr">
        <is>
          <t>별도</t>
        </is>
      </c>
      <c r="E1647" t="inlineStr">
        <is>
          <t>2025Q3</t>
        </is>
      </c>
      <c r="F1647" s="2" t="n">
        <v>4700146</v>
      </c>
      <c r="G1647" t="n">
        <v>-14.8</v>
      </c>
      <c r="H1647" t="n">
        <v>7.6</v>
      </c>
      <c r="I1647" s="2" t="n">
        <v>403206</v>
      </c>
      <c r="J1647" t="n">
        <v>-34.2</v>
      </c>
      <c r="K1647" t="n">
        <v>-33.5</v>
      </c>
      <c r="L1647" s="2" t="n">
        <v>293000</v>
      </c>
      <c r="M1647" t="n">
        <v>-35.4</v>
      </c>
      <c r="N1647" t="inlineStr">
        <is>
          <t>20251114800662</t>
        </is>
      </c>
      <c r="O1647">
        <f>HYPERLINK("https://dart.fss.or.kr/dsaf001/main.do?rcpNo=20251114800662", "공시열람")</f>
        <v/>
      </c>
    </row>
    <row r="1648">
      <c r="A1648" t="inlineStr">
        <is>
          <t>2025-11-14</t>
        </is>
      </c>
      <c r="B1648" t="inlineStr">
        <is>
          <t>미래에셋생명</t>
        </is>
      </c>
      <c r="C1648" t="inlineStr">
        <is>
          <t>085620</t>
        </is>
      </c>
      <c r="D1648" t="inlineStr">
        <is>
          <t>연결</t>
        </is>
      </c>
      <c r="E1648" t="inlineStr">
        <is>
          <t>2025Q3</t>
        </is>
      </c>
      <c r="F1648" s="2" t="n">
        <v>1254900</v>
      </c>
      <c r="G1648" t="n">
        <v>-22.45</v>
      </c>
      <c r="H1648" t="n">
        <v>94.09999999999999</v>
      </c>
      <c r="I1648" s="2" t="n">
        <v>61774</v>
      </c>
      <c r="J1648" t="n">
        <v>-5.02</v>
      </c>
      <c r="K1648" t="n">
        <v>1303.95</v>
      </c>
      <c r="L1648" s="2" t="n">
        <v>49756</v>
      </c>
      <c r="M1648" t="n">
        <v>2661.15</v>
      </c>
      <c r="N1648" t="inlineStr">
        <is>
          <t>20251114800263</t>
        </is>
      </c>
      <c r="O1648">
        <f>HYPERLINK("https://dart.fss.or.kr/dsaf001/main.do?rcpNo=20251114800263", "공시열람")</f>
        <v/>
      </c>
    </row>
    <row r="1649">
      <c r="A1649" t="inlineStr">
        <is>
          <t>2025-11-14</t>
        </is>
      </c>
      <c r="B1649" t="inlineStr">
        <is>
          <t>코리안리</t>
        </is>
      </c>
      <c r="C1649" t="inlineStr">
        <is>
          <t>003690</t>
        </is>
      </c>
      <c r="D1649" t="inlineStr">
        <is>
          <t>별도</t>
        </is>
      </c>
      <c r="E1649" t="inlineStr">
        <is>
          <t>2025Q3</t>
        </is>
      </c>
      <c r="F1649" s="2" t="n">
        <v>1436069</v>
      </c>
      <c r="G1649" t="n">
        <v>-26.4</v>
      </c>
      <c r="H1649" t="n">
        <v>-6.6</v>
      </c>
      <c r="I1649" s="2" t="n">
        <v>144768</v>
      </c>
      <c r="J1649" t="n">
        <v>6.5</v>
      </c>
      <c r="K1649" t="n">
        <v>34.7</v>
      </c>
      <c r="L1649" s="2" t="n">
        <v>74174</v>
      </c>
      <c r="M1649" t="n">
        <v>10.7</v>
      </c>
      <c r="N1649" t="inlineStr">
        <is>
          <t>20251114802411</t>
        </is>
      </c>
      <c r="O1649">
        <f>HYPERLINK("https://dart.fss.or.kr/dsaf001/main.do?rcpNo=20251114802411", "공시열람")</f>
        <v/>
      </c>
    </row>
    <row r="1650">
      <c r="A1650" t="inlineStr">
        <is>
          <t>2025-11-14</t>
        </is>
      </c>
      <c r="B1650" t="inlineStr">
        <is>
          <t>미래에셋생명</t>
        </is>
      </c>
      <c r="C1650" t="inlineStr">
        <is>
          <t>085620</t>
        </is>
      </c>
      <c r="D1650" t="inlineStr">
        <is>
          <t>별도</t>
        </is>
      </c>
      <c r="E1650" t="inlineStr">
        <is>
          <t>2025Q3</t>
        </is>
      </c>
      <c r="F1650" s="2" t="n">
        <v>1218392</v>
      </c>
      <c r="G1650" t="n">
        <v>-22.59</v>
      </c>
      <c r="H1650" t="n">
        <v>97.03</v>
      </c>
      <c r="I1650" s="2" t="n">
        <v>58852</v>
      </c>
      <c r="J1650" t="n">
        <v>-9.09</v>
      </c>
      <c r="K1650" t="n">
        <v>1612.31</v>
      </c>
      <c r="L1650" s="2" t="n">
        <v>46524</v>
      </c>
      <c r="M1650" t="n">
        <v>4343.55</v>
      </c>
      <c r="N1650" t="inlineStr">
        <is>
          <t>20251114800261</t>
        </is>
      </c>
      <c r="O1650">
        <f>HYPERLINK("https://dart.fss.or.kr/dsaf001/main.do?rcpNo=20251114800261", "공시열람")</f>
        <v/>
      </c>
    </row>
    <row r="1651">
      <c r="A1651" t="inlineStr">
        <is>
          <t>2025-11-14</t>
        </is>
      </c>
      <c r="B1651" t="inlineStr">
        <is>
          <t>현대해상</t>
        </is>
      </c>
      <c r="C1651" t="inlineStr">
        <is>
          <t>001450</t>
        </is>
      </c>
      <c r="D1651" t="inlineStr">
        <is>
          <t>별도</t>
        </is>
      </c>
      <c r="E1651" t="inlineStr">
        <is>
          <t>2025Q3</t>
        </is>
      </c>
      <c r="F1651" s="2" t="n">
        <v>4279483</v>
      </c>
      <c r="G1651" t="n">
        <v>-12.2</v>
      </c>
      <c r="H1651" t="n">
        <v>14.4</v>
      </c>
      <c r="I1651" s="2" t="n">
        <v>245446</v>
      </c>
      <c r="J1651" t="n">
        <v>-28.6</v>
      </c>
      <c r="K1651" t="n">
        <v>-16.1</v>
      </c>
      <c r="L1651" s="2" t="n">
        <v>183181</v>
      </c>
      <c r="M1651" t="n">
        <v>-14.2</v>
      </c>
      <c r="N1651" t="inlineStr">
        <is>
          <t>20251114800224</t>
        </is>
      </c>
      <c r="O1651">
        <f>HYPERLINK("https://dart.fss.or.kr/dsaf001/main.do?rcpNo=20251114800224", "공시열람")</f>
        <v/>
      </c>
    </row>
    <row r="1652">
      <c r="A1652" t="inlineStr">
        <is>
          <t>2025-11-14</t>
        </is>
      </c>
      <c r="B1652" t="inlineStr">
        <is>
          <t>트리니티항공</t>
        </is>
      </c>
      <c r="C1652" t="inlineStr">
        <is>
          <t>091810</t>
        </is>
      </c>
      <c r="D1652" t="inlineStr">
        <is>
          <t>연결</t>
        </is>
      </c>
      <c r="E1652" t="inlineStr">
        <is>
          <t>2025Q3</t>
        </is>
      </c>
      <c r="F1652" s="2" t="n">
        <v>449769</v>
      </c>
      <c r="G1652" t="n">
        <v>19</v>
      </c>
      <c r="H1652" t="n">
        <v>13.9</v>
      </c>
      <c r="I1652" s="2" t="n">
        <v>-95504</v>
      </c>
      <c r="J1652" t="n">
        <v>-21.9</v>
      </c>
      <c r="K1652" t="n">
        <v>-1503.2</v>
      </c>
      <c r="L1652" s="2" t="n">
        <v>-124722</v>
      </c>
      <c r="M1652" t="n">
        <v>-5621.2</v>
      </c>
      <c r="N1652" t="inlineStr">
        <is>
          <t>20251114800012</t>
        </is>
      </c>
      <c r="O1652">
        <f>HYPERLINK("https://dart.fss.or.kr/dsaf001/main.do?rcpNo=20251114800012", "공시열람")</f>
        <v/>
      </c>
    </row>
    <row r="1653">
      <c r="A1653" t="inlineStr">
        <is>
          <t>2025-11-14</t>
        </is>
      </c>
      <c r="B1653" t="inlineStr">
        <is>
          <t>한국가스공사</t>
        </is>
      </c>
      <c r="C1653" t="inlineStr">
        <is>
          <t>036460</t>
        </is>
      </c>
      <c r="D1653" t="inlineStr">
        <is>
          <t>별도</t>
        </is>
      </c>
      <c r="E1653" t="inlineStr">
        <is>
          <t>2025Q3</t>
        </is>
      </c>
      <c r="F1653" s="2" t="inlineStr"/>
      <c r="G1653" t="inlineStr"/>
      <c r="H1653" t="inlineStr"/>
      <c r="I1653" s="2" t="inlineStr"/>
      <c r="J1653" t="inlineStr"/>
      <c r="K1653" t="inlineStr"/>
      <c r="L1653" s="2" t="inlineStr"/>
      <c r="M1653" t="inlineStr"/>
      <c r="N1653" t="inlineStr">
        <is>
          <t>20251114800309</t>
        </is>
      </c>
      <c r="O1653">
        <f>HYPERLINK("https://dart.fss.or.kr/dsaf001/main.do?rcpNo=20251114800309", "공시열람")</f>
        <v/>
      </c>
    </row>
    <row r="1654">
      <c r="A1654" t="inlineStr">
        <is>
          <t>2025-11-14</t>
        </is>
      </c>
      <c r="B1654" t="inlineStr">
        <is>
          <t>메리츠금융지주</t>
        </is>
      </c>
      <c r="C1654" t="inlineStr">
        <is>
          <t>138040</t>
        </is>
      </c>
      <c r="D1654" t="inlineStr">
        <is>
          <t>연결</t>
        </is>
      </c>
      <c r="E1654" t="inlineStr">
        <is>
          <t>2025Q3</t>
        </is>
      </c>
      <c r="F1654" s="2" t="n">
        <v>7370496</v>
      </c>
      <c r="G1654" t="n">
        <v>-21.2</v>
      </c>
      <c r="H1654" t="n">
        <v>-32.4</v>
      </c>
      <c r="I1654" s="2" t="n">
        <v>862313</v>
      </c>
      <c r="J1654" t="n">
        <v>-9.199999999999999</v>
      </c>
      <c r="K1654" t="n">
        <v>-4.4</v>
      </c>
      <c r="L1654" s="2" t="n">
        <v>668390</v>
      </c>
      <c r="M1654" t="n">
        <v>1.9</v>
      </c>
      <c r="N1654" t="inlineStr">
        <is>
          <t>20251114801586</t>
        </is>
      </c>
      <c r="O1654">
        <f>HYPERLINK("https://dart.fss.or.kr/dsaf001/main.do?rcpNo=20251114801586", "공시열람")</f>
        <v/>
      </c>
    </row>
    <row r="1655">
      <c r="A1655" t="inlineStr">
        <is>
          <t>2025-11-14</t>
        </is>
      </c>
      <c r="B1655" t="inlineStr">
        <is>
          <t>메리츠금융지주</t>
        </is>
      </c>
      <c r="C1655" t="inlineStr">
        <is>
          <t>138040</t>
        </is>
      </c>
      <c r="D1655" t="inlineStr">
        <is>
          <t>연결</t>
        </is>
      </c>
      <c r="E1655" t="inlineStr">
        <is>
          <t>2025Q3</t>
        </is>
      </c>
      <c r="F1655" s="2" t="n">
        <v>4997776</v>
      </c>
      <c r="G1655" t="n">
        <v>-24.2</v>
      </c>
      <c r="H1655" t="n">
        <v>-38.9</v>
      </c>
      <c r="I1655" s="2" t="n">
        <v>253027</v>
      </c>
      <c r="J1655" t="n">
        <v>-15.8</v>
      </c>
      <c r="K1655" t="n">
        <v>4.1</v>
      </c>
      <c r="L1655" s="2" t="n">
        <v>200048</v>
      </c>
      <c r="M1655" t="n">
        <v>14.1</v>
      </c>
      <c r="N1655" t="inlineStr">
        <is>
          <t>20251114801557</t>
        </is>
      </c>
      <c r="O1655">
        <f>HYPERLINK("https://dart.fss.or.kr/dsaf001/main.do?rcpNo=20251114801557", "공시열람")</f>
        <v/>
      </c>
    </row>
    <row r="1656">
      <c r="A1656" t="inlineStr">
        <is>
          <t>2025-11-13</t>
        </is>
      </c>
      <c r="B1656" t="inlineStr">
        <is>
          <t>클리오</t>
        </is>
      </c>
      <c r="C1656" t="inlineStr">
        <is>
          <t>237880</t>
        </is>
      </c>
      <c r="D1656" t="inlineStr">
        <is>
          <t>연결</t>
        </is>
      </c>
      <c r="E1656" t="inlineStr">
        <is>
          <t>2025Q3</t>
        </is>
      </c>
      <c r="F1656" s="2" t="n">
        <v>83816</v>
      </c>
      <c r="G1656" t="n">
        <v>2.1</v>
      </c>
      <c r="H1656" t="n">
        <v>-4.3</v>
      </c>
      <c r="I1656" s="2" t="n">
        <v>4720</v>
      </c>
      <c r="J1656" t="n">
        <v>34.1</v>
      </c>
      <c r="K1656" t="n">
        <v>-26.3</v>
      </c>
      <c r="L1656" s="2" t="n">
        <v>5484</v>
      </c>
      <c r="M1656" t="n">
        <v>-9</v>
      </c>
      <c r="N1656" t="inlineStr">
        <is>
          <t>20251113900581</t>
        </is>
      </c>
      <c r="O1656">
        <f>HYPERLINK("https://dart.fss.or.kr/dsaf001/main.do?rcpNo=20251113900581", "공시열람")</f>
        <v/>
      </c>
    </row>
    <row r="1657">
      <c r="A1657" t="inlineStr">
        <is>
          <t>2025-11-13</t>
        </is>
      </c>
      <c r="B1657" t="inlineStr">
        <is>
          <t>코렌텍</t>
        </is>
      </c>
      <c r="C1657" t="inlineStr">
        <is>
          <t>104540</t>
        </is>
      </c>
      <c r="D1657" t="inlineStr">
        <is>
          <t>연결</t>
        </is>
      </c>
      <c r="E1657" t="inlineStr">
        <is>
          <t>2025Q3</t>
        </is>
      </c>
      <c r="F1657" s="2" t="n">
        <v>25772</v>
      </c>
      <c r="G1657" t="n">
        <v>10.05</v>
      </c>
      <c r="H1657" t="n">
        <v>30.17</v>
      </c>
      <c r="I1657" s="2" t="n">
        <v>3617</v>
      </c>
      <c r="J1657" t="n">
        <v>164.22</v>
      </c>
      <c r="K1657" t="n">
        <v>223.56</v>
      </c>
      <c r="L1657" s="2" t="n">
        <v>1437</v>
      </c>
      <c r="M1657" t="n">
        <v>315.32</v>
      </c>
      <c r="N1657" t="inlineStr">
        <is>
          <t>20251113901172</t>
        </is>
      </c>
      <c r="O1657">
        <f>HYPERLINK("https://dart.fss.or.kr/dsaf001/main.do?rcpNo=20251113901172", "공시열람")</f>
        <v/>
      </c>
    </row>
    <row r="1658">
      <c r="A1658" t="inlineStr">
        <is>
          <t>2025-11-13</t>
        </is>
      </c>
      <c r="B1658" t="inlineStr">
        <is>
          <t>옵티시스</t>
        </is>
      </c>
      <c r="C1658" t="inlineStr">
        <is>
          <t>109080</t>
        </is>
      </c>
      <c r="D1658" t="inlineStr">
        <is>
          <t>별도</t>
        </is>
      </c>
      <c r="E1658" t="inlineStr">
        <is>
          <t>2025Q3</t>
        </is>
      </c>
      <c r="F1658" s="2" t="n">
        <v>5130</v>
      </c>
      <c r="G1658" t="n">
        <v>-32</v>
      </c>
      <c r="H1658" t="n">
        <v>-9.6</v>
      </c>
      <c r="I1658" s="2" t="n">
        <v>745</v>
      </c>
      <c r="J1658" t="n">
        <v>-54.7</v>
      </c>
      <c r="K1658" t="n">
        <v>-25.3</v>
      </c>
      <c r="L1658" s="2" t="n">
        <v>1274</v>
      </c>
      <c r="M1658" t="n">
        <v>54.2</v>
      </c>
      <c r="N1658" t="inlineStr">
        <is>
          <t>20251113900664</t>
        </is>
      </c>
      <c r="O1658">
        <f>HYPERLINK("https://dart.fss.or.kr/dsaf001/main.do?rcpNo=20251113900664", "공시열람")</f>
        <v/>
      </c>
    </row>
    <row r="1659">
      <c r="A1659" t="inlineStr">
        <is>
          <t>2025-11-13</t>
        </is>
      </c>
      <c r="B1659" t="inlineStr">
        <is>
          <t>LG</t>
        </is>
      </c>
      <c r="C1659" t="inlineStr">
        <is>
          <t>003550</t>
        </is>
      </c>
      <c r="D1659" t="inlineStr">
        <is>
          <t>연결</t>
        </is>
      </c>
      <c r="E1659" t="inlineStr">
        <is>
          <t>2025Q3</t>
        </is>
      </c>
      <c r="F1659" s="2" t="n">
        <v>1996180</v>
      </c>
      <c r="G1659" t="n">
        <v>11</v>
      </c>
      <c r="H1659" t="n">
        <v>2.7</v>
      </c>
      <c r="I1659" s="2" t="n">
        <v>418941</v>
      </c>
      <c r="J1659" t="n">
        <v>51.3</v>
      </c>
      <c r="K1659" t="n">
        <v>-12.1</v>
      </c>
      <c r="L1659" s="2" t="n">
        <v>373412</v>
      </c>
      <c r="M1659" t="n">
        <v>-15.7</v>
      </c>
      <c r="N1659" t="inlineStr">
        <is>
          <t>20251113800458</t>
        </is>
      </c>
      <c r="O1659">
        <f>HYPERLINK("https://dart.fss.or.kr/dsaf001/main.do?rcpNo=20251113800458", "공시열람")</f>
        <v/>
      </c>
    </row>
    <row r="1660">
      <c r="A1660" t="inlineStr">
        <is>
          <t>2025-11-12</t>
        </is>
      </c>
      <c r="B1660" t="inlineStr">
        <is>
          <t>한국가스공사</t>
        </is>
      </c>
      <c r="C1660" t="inlineStr">
        <is>
          <t>036460</t>
        </is>
      </c>
      <c r="D1660" t="inlineStr">
        <is>
          <t>연결</t>
        </is>
      </c>
      <c r="E1660" t="inlineStr">
        <is>
          <t>2025Q3</t>
        </is>
      </c>
      <c r="F1660" s="2" t="n">
        <v>6372167</v>
      </c>
      <c r="G1660" t="n">
        <v>-16.5</v>
      </c>
      <c r="H1660" t="n">
        <v>-21.4</v>
      </c>
      <c r="I1660" s="2" t="n">
        <v>388997</v>
      </c>
      <c r="J1660" t="n">
        <v>-3.9</v>
      </c>
      <c r="K1660" t="n">
        <v>-11.5</v>
      </c>
      <c r="L1660" s="2" t="n">
        <v>86803</v>
      </c>
      <c r="M1660" t="n">
        <v>-44.1</v>
      </c>
      <c r="N1660" t="inlineStr">
        <is>
          <t>20251112800244</t>
        </is>
      </c>
      <c r="O1660">
        <f>HYPERLINK("https://dart.fss.or.kr/dsaf001/main.do?rcpNo=20251112800244", "공시열람")</f>
        <v/>
      </c>
    </row>
    <row r="1661">
      <c r="A1661" t="inlineStr">
        <is>
          <t>2025-11-12</t>
        </is>
      </c>
      <c r="B1661" t="inlineStr">
        <is>
          <t>롯데케미칼</t>
        </is>
      </c>
      <c r="C1661" t="inlineStr">
        <is>
          <t>011170</t>
        </is>
      </c>
      <c r="D1661" t="inlineStr">
        <is>
          <t>연결</t>
        </is>
      </c>
      <c r="E1661" t="inlineStr">
        <is>
          <t>2025Q3</t>
        </is>
      </c>
      <c r="F1661" s="2" t="n">
        <v>4786058</v>
      </c>
      <c r="G1661" t="n">
        <v>14</v>
      </c>
      <c r="H1661" t="n">
        <v>-5.8</v>
      </c>
      <c r="I1661" s="2" t="n">
        <v>-132555</v>
      </c>
      <c r="J1661" t="n">
        <v>45.9</v>
      </c>
      <c r="K1661" t="n">
        <v>68.2</v>
      </c>
      <c r="L1661" s="2" t="n">
        <v>-163570</v>
      </c>
      <c r="M1661" t="n">
        <v>68.2</v>
      </c>
      <c r="N1661" t="inlineStr">
        <is>
          <t>20251112800410</t>
        </is>
      </c>
      <c r="O1661">
        <f>HYPERLINK("https://dart.fss.or.kr/dsaf001/main.do?rcpNo=20251112800410", "공시열람")</f>
        <v/>
      </c>
    </row>
    <row r="1662">
      <c r="A1662" t="inlineStr">
        <is>
          <t>2025-11-12</t>
        </is>
      </c>
      <c r="B1662" t="inlineStr">
        <is>
          <t>쏘카</t>
        </is>
      </c>
      <c r="C1662" t="inlineStr">
        <is>
          <t>403550</t>
        </is>
      </c>
      <c r="D1662" t="inlineStr">
        <is>
          <t>연결</t>
        </is>
      </c>
      <c r="E1662" t="inlineStr">
        <is>
          <t>2025Q3</t>
        </is>
      </c>
      <c r="F1662" s="2" t="n">
        <v>111814</v>
      </c>
      <c r="G1662" t="n">
        <v>13.3</v>
      </c>
      <c r="H1662" t="n">
        <v>-4.4</v>
      </c>
      <c r="I1662" s="2" t="n">
        <v>6815</v>
      </c>
      <c r="J1662" t="n">
        <v>271.4</v>
      </c>
      <c r="K1662" t="n">
        <v>46.6</v>
      </c>
      <c r="L1662" s="2" t="n">
        <v>1592</v>
      </c>
      <c r="M1662" t="n">
        <v>36.9</v>
      </c>
      <c r="N1662" t="inlineStr">
        <is>
          <t>20251112800393</t>
        </is>
      </c>
      <c r="O1662">
        <f>HYPERLINK("https://dart.fss.or.kr/dsaf001/main.do?rcpNo=20251112800393", "공시열람")</f>
        <v/>
      </c>
    </row>
    <row r="1663">
      <c r="A1663" t="inlineStr">
        <is>
          <t>2025-11-12</t>
        </is>
      </c>
      <c r="B1663" t="inlineStr">
        <is>
          <t>JYP Ent.</t>
        </is>
      </c>
      <c r="C1663" t="inlineStr">
        <is>
          <t>035900</t>
        </is>
      </c>
      <c r="D1663" t="inlineStr">
        <is>
          <t>연결</t>
        </is>
      </c>
      <c r="E1663" t="inlineStr">
        <is>
          <t>2025Q3</t>
        </is>
      </c>
      <c r="F1663" s="2" t="n">
        <v>232626</v>
      </c>
      <c r="G1663" t="n">
        <v>7.8</v>
      </c>
      <c r="H1663" t="n">
        <v>36.5</v>
      </c>
      <c r="I1663" s="2" t="n">
        <v>40792</v>
      </c>
      <c r="J1663" t="n">
        <v>-22.9</v>
      </c>
      <c r="K1663" t="n">
        <v>-15.7</v>
      </c>
      <c r="L1663" s="2" t="n">
        <v>27166</v>
      </c>
      <c r="M1663" t="n">
        <v>-30</v>
      </c>
      <c r="N1663" t="inlineStr">
        <is>
          <t>20251112900517</t>
        </is>
      </c>
      <c r="O1663">
        <f>HYPERLINK("https://dart.fss.or.kr/dsaf001/main.do?rcpNo=20251112900517", "공시열람")</f>
        <v/>
      </c>
    </row>
    <row r="1664">
      <c r="A1664" t="inlineStr">
        <is>
          <t>2025-11-12</t>
        </is>
      </c>
      <c r="B1664" t="inlineStr">
        <is>
          <t>KG케미칼</t>
        </is>
      </c>
      <c r="C1664" t="inlineStr">
        <is>
          <t>001390</t>
        </is>
      </c>
      <c r="D1664" t="inlineStr">
        <is>
          <t>연결</t>
        </is>
      </c>
      <c r="E1664" t="inlineStr">
        <is>
          <t>2025Q3</t>
        </is>
      </c>
      <c r="F1664" s="2" t="n">
        <v>2462628</v>
      </c>
      <c r="G1664" t="n">
        <v>12.9</v>
      </c>
      <c r="H1664" t="n">
        <v>14.74</v>
      </c>
      <c r="I1664" s="2" t="n">
        <v>90212</v>
      </c>
      <c r="J1664" t="n">
        <v>14.39</v>
      </c>
      <c r="K1664" t="n">
        <v>1145.85</v>
      </c>
      <c r="L1664" s="2" t="n">
        <v>53148</v>
      </c>
      <c r="M1664" t="n">
        <v>3570.44</v>
      </c>
      <c r="N1664" t="inlineStr">
        <is>
          <t>20251112800755</t>
        </is>
      </c>
      <c r="O1664">
        <f>HYPERLINK("https://dart.fss.or.kr/dsaf001/main.do?rcpNo=20251112800755", "공시열람")</f>
        <v/>
      </c>
    </row>
    <row r="1665">
      <c r="A1665" t="inlineStr">
        <is>
          <t>2025-11-12</t>
        </is>
      </c>
      <c r="B1665" t="inlineStr">
        <is>
          <t>SGC에너지</t>
        </is>
      </c>
      <c r="C1665" t="inlineStr">
        <is>
          <t>005090</t>
        </is>
      </c>
      <c r="D1665" t="inlineStr">
        <is>
          <t>연결</t>
        </is>
      </c>
      <c r="E1665" t="inlineStr">
        <is>
          <t>2025Q3</t>
        </is>
      </c>
      <c r="F1665" s="2" t="n">
        <v>598900</v>
      </c>
      <c r="G1665" t="n">
        <v>-3.2</v>
      </c>
      <c r="H1665" t="n">
        <v>10.6</v>
      </c>
      <c r="I1665" s="2" t="n">
        <v>25400</v>
      </c>
      <c r="J1665" t="n">
        <v>-25.2</v>
      </c>
      <c r="K1665" t="n">
        <v>-42.4</v>
      </c>
      <c r="L1665" s="2" t="n">
        <v>-18500</v>
      </c>
      <c r="M1665" t="inlineStr"/>
      <c r="N1665" t="inlineStr">
        <is>
          <t>20251112800384</t>
        </is>
      </c>
      <c r="O1665">
        <f>HYPERLINK("https://dart.fss.or.kr/dsaf001/main.do?rcpNo=20251112800384", "공시열람")</f>
        <v/>
      </c>
    </row>
    <row r="1666">
      <c r="A1666" t="inlineStr">
        <is>
          <t>2025-11-12</t>
        </is>
      </c>
      <c r="B1666" t="inlineStr">
        <is>
          <t>경동나비엔</t>
        </is>
      </c>
      <c r="C1666" t="inlineStr">
        <is>
          <t>009450</t>
        </is>
      </c>
      <c r="D1666" t="inlineStr">
        <is>
          <t>연결</t>
        </is>
      </c>
      <c r="E1666" t="inlineStr">
        <is>
          <t>2025Q3</t>
        </is>
      </c>
      <c r="F1666" s="2" t="n">
        <v>306026</v>
      </c>
      <c r="G1666" t="n">
        <v>-22</v>
      </c>
      <c r="H1666" t="n">
        <v>-5.2</v>
      </c>
      <c r="I1666" s="2" t="n">
        <v>7993</v>
      </c>
      <c r="J1666" t="n">
        <v>-84.40000000000001</v>
      </c>
      <c r="K1666" t="n">
        <v>-78.3</v>
      </c>
      <c r="L1666" s="2" t="n">
        <v>13961</v>
      </c>
      <c r="M1666" t="n">
        <v>-11.4</v>
      </c>
      <c r="N1666" t="inlineStr">
        <is>
          <t>20251112800315</t>
        </is>
      </c>
      <c r="O1666">
        <f>HYPERLINK("https://dart.fss.or.kr/dsaf001/main.do?rcpNo=20251112800315", "공시열람")</f>
        <v/>
      </c>
    </row>
    <row r="1667">
      <c r="A1667" t="inlineStr">
        <is>
          <t>2025-11-12</t>
        </is>
      </c>
      <c r="B1667" t="inlineStr">
        <is>
          <t>GS글로벌</t>
        </is>
      </c>
      <c r="C1667" t="inlineStr">
        <is>
          <t>001250</t>
        </is>
      </c>
      <c r="D1667" t="inlineStr">
        <is>
          <t>연결</t>
        </is>
      </c>
      <c r="E1667" t="inlineStr">
        <is>
          <t>2025Q3</t>
        </is>
      </c>
      <c r="F1667" s="2" t="n">
        <v>945779</v>
      </c>
      <c r="G1667" t="n">
        <v>-11.9</v>
      </c>
      <c r="H1667" t="n">
        <v>-10.4</v>
      </c>
      <c r="I1667" s="2" t="n">
        <v>6452</v>
      </c>
      <c r="J1667" t="n">
        <v>-67.40000000000001</v>
      </c>
      <c r="K1667" t="n">
        <v>-73.8</v>
      </c>
      <c r="L1667" s="2" t="n">
        <v>-1674</v>
      </c>
      <c r="M1667" t="inlineStr"/>
      <c r="N1667" t="inlineStr">
        <is>
          <t>20251112800295</t>
        </is>
      </c>
      <c r="O1667">
        <f>HYPERLINK("https://dart.fss.or.kr/dsaf001/main.do?rcpNo=20251112800295", "공시열람")</f>
        <v/>
      </c>
    </row>
    <row r="1668">
      <c r="A1668" t="inlineStr">
        <is>
          <t>2025-11-12</t>
        </is>
      </c>
      <c r="B1668" t="inlineStr">
        <is>
          <t>케이티알파</t>
        </is>
      </c>
      <c r="C1668" t="inlineStr">
        <is>
          <t>036030</t>
        </is>
      </c>
      <c r="D1668" t="inlineStr">
        <is>
          <t>별도</t>
        </is>
      </c>
      <c r="E1668" t="inlineStr">
        <is>
          <t>2025Q3</t>
        </is>
      </c>
      <c r="F1668" s="2" t="n">
        <v>96300</v>
      </c>
      <c r="G1668" t="n">
        <v>-3.8</v>
      </c>
      <c r="H1668" t="n">
        <v>4.8</v>
      </c>
      <c r="I1668" s="2" t="n">
        <v>11346</v>
      </c>
      <c r="J1668" t="n">
        <v>-18.5</v>
      </c>
      <c r="K1668" t="n">
        <v>161.3</v>
      </c>
      <c r="L1668" s="2" t="n">
        <v>12795</v>
      </c>
      <c r="M1668" t="n">
        <v>190.9</v>
      </c>
      <c r="N1668" t="inlineStr">
        <is>
          <t>20251112900417</t>
        </is>
      </c>
      <c r="O1668">
        <f>HYPERLINK("https://dart.fss.or.kr/dsaf001/main.do?rcpNo=20251112900417", "공시열람")</f>
        <v/>
      </c>
    </row>
    <row r="1669">
      <c r="A1669" t="inlineStr">
        <is>
          <t>2025-11-12</t>
        </is>
      </c>
      <c r="B1669" t="inlineStr">
        <is>
          <t>아진전자부품</t>
        </is>
      </c>
      <c r="C1669" t="inlineStr">
        <is>
          <t>009320</t>
        </is>
      </c>
      <c r="D1669" t="inlineStr">
        <is>
          <t>별도</t>
        </is>
      </c>
      <c r="E1669" t="inlineStr">
        <is>
          <t>2025Q3</t>
        </is>
      </c>
      <c r="F1669" s="2" t="n">
        <v>41682</v>
      </c>
      <c r="G1669" t="n">
        <v>2.5</v>
      </c>
      <c r="H1669" t="n">
        <v>11.6</v>
      </c>
      <c r="I1669" s="2" t="n">
        <v>1962</v>
      </c>
      <c r="J1669" t="n">
        <v>-33.7</v>
      </c>
      <c r="K1669" t="n">
        <v>36.4</v>
      </c>
      <c r="L1669" s="2" t="n">
        <v>1685</v>
      </c>
      <c r="M1669" t="n">
        <v>128.6</v>
      </c>
      <c r="N1669" t="inlineStr">
        <is>
          <t>20251112800175</t>
        </is>
      </c>
      <c r="O1669">
        <f>HYPERLINK("https://dart.fss.or.kr/dsaf001/main.do?rcpNo=20251112800175", "공시열람")</f>
        <v/>
      </c>
    </row>
    <row r="1670">
      <c r="A1670" t="inlineStr">
        <is>
          <t>2025-11-12</t>
        </is>
      </c>
      <c r="B1670" t="inlineStr">
        <is>
          <t>아이마켓코리아</t>
        </is>
      </c>
      <c r="C1670" t="inlineStr">
        <is>
          <t>122900</t>
        </is>
      </c>
      <c r="D1670" t="inlineStr">
        <is>
          <t>연결</t>
        </is>
      </c>
      <c r="E1670" t="inlineStr">
        <is>
          <t>2025Q3</t>
        </is>
      </c>
      <c r="F1670" s="2" t="n">
        <v>764030</v>
      </c>
      <c r="G1670" t="n">
        <v>3.88</v>
      </c>
      <c r="H1670" t="n">
        <v>-2.57</v>
      </c>
      <c r="I1670" s="2" t="n">
        <v>8180</v>
      </c>
      <c r="J1670" t="n">
        <v>25.08</v>
      </c>
      <c r="K1670" t="n">
        <v>-17</v>
      </c>
      <c r="L1670" s="2" t="n">
        <v>2604</v>
      </c>
      <c r="M1670" t="n">
        <v>-64.69</v>
      </c>
      <c r="N1670" t="inlineStr">
        <is>
          <t>20251112800447</t>
        </is>
      </c>
      <c r="O1670">
        <f>HYPERLINK("https://dart.fss.or.kr/dsaf001/main.do?rcpNo=20251112800447", "공시열람")</f>
        <v/>
      </c>
    </row>
    <row r="1671">
      <c r="A1671" t="inlineStr">
        <is>
          <t>2025-11-12</t>
        </is>
      </c>
      <c r="B1671" t="inlineStr">
        <is>
          <t>고스트스튜디오</t>
        </is>
      </c>
      <c r="C1671" t="inlineStr">
        <is>
          <t>950190</t>
        </is>
      </c>
      <c r="D1671" t="inlineStr">
        <is>
          <t>연결</t>
        </is>
      </c>
      <c r="E1671" t="inlineStr">
        <is>
          <t>2025Q3</t>
        </is>
      </c>
      <c r="F1671" s="2" t="n">
        <v>20903</v>
      </c>
      <c r="G1671" t="n">
        <v>2.4</v>
      </c>
      <c r="H1671" t="n">
        <v>4.1</v>
      </c>
      <c r="I1671" s="2" t="n">
        <v>4264</v>
      </c>
      <c r="J1671" t="n">
        <v>11.2</v>
      </c>
      <c r="K1671" t="n">
        <v>36.1</v>
      </c>
      <c r="L1671" s="2" t="n">
        <v>4337</v>
      </c>
      <c r="M1671" t="n">
        <v>21.1</v>
      </c>
      <c r="N1671" t="inlineStr">
        <is>
          <t>20251112900095</t>
        </is>
      </c>
      <c r="O1671">
        <f>HYPERLINK("https://dart.fss.or.kr/dsaf001/main.do?rcpNo=20251112900095", "공시열람")</f>
        <v/>
      </c>
    </row>
    <row r="1672">
      <c r="A1672" t="inlineStr">
        <is>
          <t>2025-11-12</t>
        </is>
      </c>
      <c r="B1672" t="inlineStr">
        <is>
          <t>미투온</t>
        </is>
      </c>
      <c r="C1672" t="inlineStr">
        <is>
          <t>201490</t>
        </is>
      </c>
      <c r="D1672" t="inlineStr">
        <is>
          <t>연결</t>
        </is>
      </c>
      <c r="E1672" t="inlineStr">
        <is>
          <t>2025Q3</t>
        </is>
      </c>
      <c r="F1672" s="2" t="n">
        <v>22715</v>
      </c>
      <c r="G1672" t="n">
        <v>1.7</v>
      </c>
      <c r="H1672" t="n">
        <v>2.5</v>
      </c>
      <c r="I1672" s="2" t="n">
        <v>3335</v>
      </c>
      <c r="J1672" t="n">
        <v>13.1</v>
      </c>
      <c r="K1672" t="n">
        <v>48.9</v>
      </c>
      <c r="L1672" s="2" t="n">
        <v>3042</v>
      </c>
      <c r="M1672" t="n">
        <v>13.6</v>
      </c>
      <c r="N1672" t="inlineStr">
        <is>
          <t>20251112900091</t>
        </is>
      </c>
      <c r="O1672">
        <f>HYPERLINK("https://dart.fss.or.kr/dsaf001/main.do?rcpNo=20251112900091", "공시열람")</f>
        <v/>
      </c>
    </row>
    <row r="1673">
      <c r="A1673" t="inlineStr">
        <is>
          <t>2025-11-12</t>
        </is>
      </c>
      <c r="B1673" t="inlineStr">
        <is>
          <t>데브시스터즈</t>
        </is>
      </c>
      <c r="C1673" t="inlineStr">
        <is>
          <t>194480</t>
        </is>
      </c>
      <c r="D1673" t="inlineStr">
        <is>
          <t>연결</t>
        </is>
      </c>
      <c r="E1673" t="inlineStr">
        <is>
          <t>2025Q3</t>
        </is>
      </c>
      <c r="F1673" s="2" t="n">
        <v>54876</v>
      </c>
      <c r="G1673" t="n">
        <v>-40.34</v>
      </c>
      <c r="H1673" t="n">
        <v>-23.82</v>
      </c>
      <c r="I1673" s="2" t="n">
        <v>-729</v>
      </c>
      <c r="J1673" t="inlineStr"/>
      <c r="K1673" t="inlineStr"/>
      <c r="L1673" s="2" t="n">
        <v>1639</v>
      </c>
      <c r="M1673" t="n">
        <v>-88.58</v>
      </c>
      <c r="N1673" t="inlineStr">
        <is>
          <t>20251112900047</t>
        </is>
      </c>
      <c r="O1673">
        <f>HYPERLINK("https://dart.fss.or.kr/dsaf001/main.do?rcpNo=20251112900047", "공시열람")</f>
        <v/>
      </c>
    </row>
    <row r="1674">
      <c r="A1674" t="inlineStr">
        <is>
          <t>2025-11-12</t>
        </is>
      </c>
      <c r="B1674" t="inlineStr">
        <is>
          <t>네오위즈</t>
        </is>
      </c>
      <c r="C1674" t="inlineStr">
        <is>
          <t>095660</t>
        </is>
      </c>
      <c r="D1674" t="inlineStr">
        <is>
          <t>연결</t>
        </is>
      </c>
      <c r="E1674" t="inlineStr">
        <is>
          <t>2025Q3</t>
        </is>
      </c>
      <c r="F1674" s="2" t="n">
        <v>127418</v>
      </c>
      <c r="G1674" t="n">
        <v>15.8</v>
      </c>
      <c r="H1674" t="n">
        <v>36.8</v>
      </c>
      <c r="I1674" s="2" t="n">
        <v>26470</v>
      </c>
      <c r="J1674" t="n">
        <v>42.4</v>
      </c>
      <c r="K1674" t="n">
        <v>309.5</v>
      </c>
      <c r="L1674" s="2" t="n">
        <v>25047</v>
      </c>
      <c r="M1674" t="inlineStr"/>
      <c r="N1674" t="inlineStr">
        <is>
          <t>20251112900035</t>
        </is>
      </c>
      <c r="O1674">
        <f>HYPERLINK("https://dart.fss.or.kr/dsaf001/main.do?rcpNo=20251112900035", "공시열람")</f>
        <v/>
      </c>
    </row>
    <row r="1675">
      <c r="A1675" t="inlineStr">
        <is>
          <t>2025-11-12</t>
        </is>
      </c>
      <c r="B1675" t="inlineStr">
        <is>
          <t>펄어비스</t>
        </is>
      </c>
      <c r="C1675" t="inlineStr">
        <is>
          <t>263750</t>
        </is>
      </c>
      <c r="D1675" t="inlineStr">
        <is>
          <t>연결</t>
        </is>
      </c>
      <c r="E1675" t="inlineStr">
        <is>
          <t>2025Q3</t>
        </is>
      </c>
      <c r="F1675" s="2" t="n">
        <v>106818</v>
      </c>
      <c r="G1675" t="n">
        <v>34.3</v>
      </c>
      <c r="H1675" t="n">
        <v>34.4</v>
      </c>
      <c r="I1675" s="2" t="n">
        <v>10618</v>
      </c>
      <c r="J1675" t="inlineStr"/>
      <c r="K1675" t="inlineStr"/>
      <c r="L1675" s="2" t="n">
        <v>28995</v>
      </c>
      <c r="M1675" t="inlineStr"/>
      <c r="N1675" t="inlineStr">
        <is>
          <t>20251112900003</t>
        </is>
      </c>
      <c r="O1675">
        <f>HYPERLINK("https://dart.fss.or.kr/dsaf001/main.do?rcpNo=20251112900003", "공시열람")</f>
        <v/>
      </c>
    </row>
    <row r="1676">
      <c r="A1676" t="inlineStr">
        <is>
          <t>2025-11-12</t>
        </is>
      </c>
      <c r="B1676" t="inlineStr">
        <is>
          <t>SGC E&amp;C</t>
        </is>
      </c>
      <c r="C1676" t="inlineStr">
        <is>
          <t>016250</t>
        </is>
      </c>
      <c r="D1676" t="inlineStr">
        <is>
          <t>연결</t>
        </is>
      </c>
      <c r="E1676" t="inlineStr">
        <is>
          <t>2025Q3</t>
        </is>
      </c>
      <c r="F1676" s="2" t="n">
        <v>325803</v>
      </c>
      <c r="G1676" t="n">
        <v>-3.04</v>
      </c>
      <c r="H1676" t="n">
        <v>29.77</v>
      </c>
      <c r="I1676" s="2" t="n">
        <v>11592</v>
      </c>
      <c r="J1676" t="n">
        <v>-22.43</v>
      </c>
      <c r="K1676" t="n">
        <v>915.95</v>
      </c>
      <c r="L1676" s="2" t="inlineStr"/>
      <c r="M1676" t="inlineStr"/>
      <c r="N1676" t="inlineStr">
        <is>
          <t>20251112900501</t>
        </is>
      </c>
      <c r="O1676">
        <f>HYPERLINK("https://dart.fss.or.kr/dsaf001/main.do?rcpNo=20251112900501", "공시열람")</f>
        <v/>
      </c>
    </row>
    <row r="1677">
      <c r="A1677" t="inlineStr">
        <is>
          <t>2025-11-12</t>
        </is>
      </c>
      <c r="B1677" t="inlineStr">
        <is>
          <t>코오롱인더</t>
        </is>
      </c>
      <c r="C1677" t="inlineStr">
        <is>
          <t>120110</t>
        </is>
      </c>
      <c r="D1677" t="inlineStr">
        <is>
          <t>연결</t>
        </is>
      </c>
      <c r="E1677" t="inlineStr">
        <is>
          <t>2025Q3</t>
        </is>
      </c>
      <c r="F1677" s="2" t="n">
        <v>1180607</v>
      </c>
      <c r="G1677" t="n">
        <v>-6.19</v>
      </c>
      <c r="H1677" t="n">
        <v>3.17</v>
      </c>
      <c r="I1677" s="2" t="n">
        <v>26899</v>
      </c>
      <c r="J1677" t="n">
        <v>-40.63</v>
      </c>
      <c r="K1677" t="n">
        <v>-12.76</v>
      </c>
      <c r="L1677" s="2" t="n">
        <v>10218</v>
      </c>
      <c r="M1677" t="inlineStr"/>
      <c r="N1677" t="inlineStr">
        <is>
          <t>20251112800415</t>
        </is>
      </c>
      <c r="O1677">
        <f>HYPERLINK("https://dart.fss.or.kr/dsaf001/main.do?rcpNo=20251112800415", "공시열람")</f>
        <v/>
      </c>
    </row>
    <row r="1678">
      <c r="A1678" t="inlineStr">
        <is>
          <t>2025-11-12</t>
        </is>
      </c>
      <c r="B1678" t="inlineStr">
        <is>
          <t>KT지니뮤직</t>
        </is>
      </c>
      <c r="C1678" t="inlineStr">
        <is>
          <t>043610</t>
        </is>
      </c>
      <c r="D1678" t="inlineStr">
        <is>
          <t>연결</t>
        </is>
      </c>
      <c r="E1678" t="inlineStr">
        <is>
          <t>2025Q3</t>
        </is>
      </c>
      <c r="F1678" s="2" t="n">
        <v>83048</v>
      </c>
      <c r="G1678" t="n">
        <v>13.04</v>
      </c>
      <c r="H1678" t="n">
        <v>3.54</v>
      </c>
      <c r="I1678" s="2" t="n">
        <v>5700</v>
      </c>
      <c r="J1678" t="n">
        <v>13.48</v>
      </c>
      <c r="K1678" t="n">
        <v>68.04000000000001</v>
      </c>
      <c r="L1678" s="2" t="n">
        <v>3966</v>
      </c>
      <c r="M1678" t="n">
        <v>19.6</v>
      </c>
      <c r="N1678" t="inlineStr">
        <is>
          <t>20251112900352</t>
        </is>
      </c>
      <c r="O1678">
        <f>HYPERLINK("https://dart.fss.or.kr/dsaf001/main.do?rcpNo=20251112900352", "공시열람")</f>
        <v/>
      </c>
    </row>
    <row r="1679">
      <c r="A1679" t="inlineStr">
        <is>
          <t>2025-11-11</t>
        </is>
      </c>
      <c r="B1679" t="inlineStr">
        <is>
          <t>시프트업</t>
        </is>
      </c>
      <c r="C1679" t="inlineStr">
        <is>
          <t>462870</t>
        </is>
      </c>
      <c r="D1679" t="inlineStr">
        <is>
          <t>별도</t>
        </is>
      </c>
      <c r="E1679" t="inlineStr">
        <is>
          <t>2025Q3</t>
        </is>
      </c>
      <c r="F1679" s="2" t="n">
        <v>75499</v>
      </c>
      <c r="G1679" t="n">
        <v>-32.8</v>
      </c>
      <c r="H1679" t="n">
        <v>30.1</v>
      </c>
      <c r="I1679" s="2" t="n">
        <v>49548</v>
      </c>
      <c r="J1679" t="n">
        <v>-27.4</v>
      </c>
      <c r="K1679" t="n">
        <v>39.3</v>
      </c>
      <c r="L1679" s="2" t="n">
        <v>54628</v>
      </c>
      <c r="M1679" t="n">
        <v>132.6</v>
      </c>
      <c r="N1679" t="inlineStr">
        <is>
          <t>20251111800408</t>
        </is>
      </c>
      <c r="O1679">
        <f>HYPERLINK("https://dart.fss.or.kr/dsaf001/main.do?rcpNo=20251111800408", "공시열람")</f>
        <v/>
      </c>
    </row>
    <row r="1680">
      <c r="A1680" t="inlineStr">
        <is>
          <t>2025-11-11</t>
        </is>
      </c>
      <c r="B1680" t="inlineStr">
        <is>
          <t>원익QnC</t>
        </is>
      </c>
      <c r="C1680" t="inlineStr">
        <is>
          <t>074600</t>
        </is>
      </c>
      <c r="D1680" t="inlineStr">
        <is>
          <t>연결</t>
        </is>
      </c>
      <c r="E1680" t="inlineStr">
        <is>
          <t>2025Q3</t>
        </is>
      </c>
      <c r="F1680" s="2" t="n">
        <v>230269</v>
      </c>
      <c r="G1680" t="n">
        <v>-1.1</v>
      </c>
      <c r="H1680" t="n">
        <v>2.3</v>
      </c>
      <c r="I1680" s="2" t="n">
        <v>8000</v>
      </c>
      <c r="J1680" t="n">
        <v>-43.2</v>
      </c>
      <c r="K1680" t="n">
        <v>-73.3</v>
      </c>
      <c r="L1680" s="2" t="n">
        <v>2585</v>
      </c>
      <c r="M1680" t="n">
        <v>-80.2</v>
      </c>
      <c r="N1680" t="inlineStr">
        <is>
          <t>20251111900633</t>
        </is>
      </c>
      <c r="O1680">
        <f>HYPERLINK("https://dart.fss.or.kr/dsaf001/main.do?rcpNo=20251111900633", "공시열람")</f>
        <v/>
      </c>
    </row>
    <row r="1681">
      <c r="A1681" t="inlineStr">
        <is>
          <t>2025-11-11</t>
        </is>
      </c>
      <c r="B1681" t="inlineStr">
        <is>
          <t>이노션</t>
        </is>
      </c>
      <c r="C1681" t="inlineStr">
        <is>
          <t>214320</t>
        </is>
      </c>
      <c r="D1681" t="inlineStr">
        <is>
          <t>연결</t>
        </is>
      </c>
      <c r="E1681" t="inlineStr">
        <is>
          <t>2025Q3</t>
        </is>
      </c>
      <c r="F1681" s="2" t="n">
        <v>491528</v>
      </c>
      <c r="G1681" t="n">
        <v>-5.3</v>
      </c>
      <c r="H1681" t="n">
        <v>-4</v>
      </c>
      <c r="I1681" s="2" t="n">
        <v>51327</v>
      </c>
      <c r="J1681" t="n">
        <v>40.9</v>
      </c>
      <c r="K1681" t="n">
        <v>11.8</v>
      </c>
      <c r="L1681" s="2" t="n">
        <v>33528</v>
      </c>
      <c r="M1681" t="n">
        <v>2.7</v>
      </c>
      <c r="N1681" t="inlineStr">
        <is>
          <t>20251111800144</t>
        </is>
      </c>
      <c r="O1681">
        <f>HYPERLINK("https://dart.fss.or.kr/dsaf001/main.do?rcpNo=20251111800144", "공시열람")</f>
        <v/>
      </c>
    </row>
    <row r="1682">
      <c r="A1682" t="inlineStr">
        <is>
          <t>2025-11-11</t>
        </is>
      </c>
      <c r="B1682" t="inlineStr">
        <is>
          <t>위메이드</t>
        </is>
      </c>
      <c r="C1682" t="inlineStr">
        <is>
          <t>112040</t>
        </is>
      </c>
      <c r="D1682" t="inlineStr">
        <is>
          <t>연결</t>
        </is>
      </c>
      <c r="E1682" t="inlineStr">
        <is>
          <t>2025Q3</t>
        </is>
      </c>
      <c r="F1682" s="2" t="n">
        <v>163648</v>
      </c>
      <c r="G1682" t="n">
        <v>40.1</v>
      </c>
      <c r="H1682" t="n">
        <v>-23.7</v>
      </c>
      <c r="I1682" s="2" t="n">
        <v>26308</v>
      </c>
      <c r="J1682" t="inlineStr"/>
      <c r="K1682" t="n">
        <v>-49.2</v>
      </c>
      <c r="L1682" s="2" t="n">
        <v>57360</v>
      </c>
      <c r="M1682" t="n">
        <v>59.8</v>
      </c>
      <c r="N1682" t="inlineStr">
        <is>
          <t>20251111900415</t>
        </is>
      </c>
      <c r="O1682">
        <f>HYPERLINK("https://dart.fss.or.kr/dsaf001/main.do?rcpNo=20251111900415", "공시열람")</f>
        <v/>
      </c>
    </row>
    <row r="1683">
      <c r="A1683" t="inlineStr">
        <is>
          <t>2025-11-11</t>
        </is>
      </c>
      <c r="B1683" t="inlineStr">
        <is>
          <t>NC</t>
        </is>
      </c>
      <c r="C1683" t="inlineStr">
        <is>
          <t>036570</t>
        </is>
      </c>
      <c r="D1683" t="inlineStr">
        <is>
          <t>연결</t>
        </is>
      </c>
      <c r="E1683" t="inlineStr">
        <is>
          <t>2025Q3</t>
        </is>
      </c>
      <c r="F1683" s="2" t="n">
        <v>360036</v>
      </c>
      <c r="G1683" t="n">
        <v>-5.8</v>
      </c>
      <c r="H1683" t="n">
        <v>-10.4</v>
      </c>
      <c r="I1683" s="2" t="n">
        <v>-7467</v>
      </c>
      <c r="J1683" t="inlineStr"/>
      <c r="K1683" t="n">
        <v>47.8</v>
      </c>
      <c r="L1683" s="2" t="n">
        <v>347360</v>
      </c>
      <c r="M1683" t="inlineStr"/>
      <c r="N1683" t="inlineStr">
        <is>
          <t>20251111800013</t>
        </is>
      </c>
      <c r="O1683">
        <f>HYPERLINK("https://dart.fss.or.kr/dsaf001/main.do?rcpNo=20251111800013", "공시열람")</f>
        <v/>
      </c>
    </row>
    <row r="1684">
      <c r="A1684" t="inlineStr">
        <is>
          <t>2025-11-11</t>
        </is>
      </c>
      <c r="B1684" t="inlineStr">
        <is>
          <t>위메이드플레이</t>
        </is>
      </c>
      <c r="C1684" t="inlineStr">
        <is>
          <t>123420</t>
        </is>
      </c>
      <c r="D1684" t="inlineStr">
        <is>
          <t>연결</t>
        </is>
      </c>
      <c r="E1684" t="inlineStr">
        <is>
          <t>2025Q3</t>
        </is>
      </c>
      <c r="F1684" s="2" t="n">
        <v>31083</v>
      </c>
      <c r="G1684" t="n">
        <v>4.9</v>
      </c>
      <c r="H1684" t="n">
        <v>7.1</v>
      </c>
      <c r="I1684" s="2" t="n">
        <v>3384</v>
      </c>
      <c r="J1684" t="n">
        <v>37.8</v>
      </c>
      <c r="K1684" t="inlineStr"/>
      <c r="L1684" s="2" t="n">
        <v>4203</v>
      </c>
      <c r="M1684" t="inlineStr"/>
      <c r="N1684" t="inlineStr">
        <is>
          <t>20251111900396</t>
        </is>
      </c>
      <c r="O1684">
        <f>HYPERLINK("https://dart.fss.or.kr/dsaf001/main.do?rcpNo=20251111900396", "공시열람")</f>
        <v/>
      </c>
    </row>
    <row r="1685">
      <c r="A1685" t="inlineStr">
        <is>
          <t>2025-11-11</t>
        </is>
      </c>
      <c r="B1685" t="inlineStr">
        <is>
          <t>한국금융지주</t>
        </is>
      </c>
      <c r="C1685" t="inlineStr">
        <is>
          <t>071050</t>
        </is>
      </c>
      <c r="D1685" t="inlineStr">
        <is>
          <t>연결</t>
        </is>
      </c>
      <c r="E1685" t="inlineStr">
        <is>
          <t>2025Q3</t>
        </is>
      </c>
      <c r="F1685" s="2" t="n">
        <v>5988214</v>
      </c>
      <c r="G1685" t="n">
        <v>-14.87</v>
      </c>
      <c r="H1685" t="n">
        <v>0.72</v>
      </c>
      <c r="I1685" s="2" t="n">
        <v>849091</v>
      </c>
      <c r="J1685" t="n">
        <v>45.01</v>
      </c>
      <c r="K1685" t="n">
        <v>133.58</v>
      </c>
      <c r="L1685" s="2" t="n">
        <v>674867</v>
      </c>
      <c r="M1685" t="n">
        <v>114.56</v>
      </c>
      <c r="N1685" t="inlineStr">
        <is>
          <t>20251111800404</t>
        </is>
      </c>
      <c r="O1685">
        <f>HYPERLINK("https://dart.fss.or.kr/dsaf001/main.do?rcpNo=20251111800404", "공시열람")</f>
        <v/>
      </c>
    </row>
    <row r="1686">
      <c r="A1686" t="inlineStr">
        <is>
          <t>2025-11-11</t>
        </is>
      </c>
      <c r="B1686" t="inlineStr">
        <is>
          <t>더블유게임즈</t>
        </is>
      </c>
      <c r="C1686" t="inlineStr">
        <is>
          <t>192080</t>
        </is>
      </c>
      <c r="D1686" t="inlineStr">
        <is>
          <t>연결</t>
        </is>
      </c>
      <c r="E1686" t="inlineStr">
        <is>
          <t>2025Q3</t>
        </is>
      </c>
      <c r="F1686" s="2" t="n">
        <v>186154</v>
      </c>
      <c r="G1686" t="n">
        <v>8.300000000000001</v>
      </c>
      <c r="H1686" t="n">
        <v>20.8</v>
      </c>
      <c r="I1686" s="2" t="n">
        <v>59152</v>
      </c>
      <c r="J1686" t="n">
        <v>8.9</v>
      </c>
      <c r="K1686" t="n">
        <v>-0.5</v>
      </c>
      <c r="L1686" s="2" t="n">
        <v>56396</v>
      </c>
      <c r="M1686" t="n">
        <v>38.1</v>
      </c>
      <c r="N1686" t="inlineStr">
        <is>
          <t>20251111800015</t>
        </is>
      </c>
      <c r="O1686">
        <f>HYPERLINK("https://dart.fss.or.kr/dsaf001/main.do?rcpNo=20251111800015", "공시열람")</f>
        <v/>
      </c>
    </row>
    <row r="1687">
      <c r="A1687" t="inlineStr">
        <is>
          <t>2025-11-11</t>
        </is>
      </c>
      <c r="B1687" t="inlineStr">
        <is>
          <t>콜마홀딩스</t>
        </is>
      </c>
      <c r="C1687" t="inlineStr">
        <is>
          <t>024720</t>
        </is>
      </c>
      <c r="D1687" t="inlineStr">
        <is>
          <t>연결</t>
        </is>
      </c>
      <c r="E1687" t="inlineStr">
        <is>
          <t>2025Q3</t>
        </is>
      </c>
      <c r="F1687" s="2" t="n">
        <v>165525</v>
      </c>
      <c r="G1687" t="n">
        <v>-5.78</v>
      </c>
      <c r="H1687" t="n">
        <v>1.56</v>
      </c>
      <c r="I1687" s="2" t="n">
        <v>16332</v>
      </c>
      <c r="J1687" t="n">
        <v>-0.27</v>
      </c>
      <c r="K1687" t="n">
        <v>142.42</v>
      </c>
      <c r="L1687" s="2" t="n">
        <v>5316</v>
      </c>
      <c r="M1687" t="n">
        <v>6.49</v>
      </c>
      <c r="N1687" t="inlineStr">
        <is>
          <t>20251111800587</t>
        </is>
      </c>
      <c r="O1687">
        <f>HYPERLINK("https://dart.fss.or.kr/dsaf001/main.do?rcpNo=20251111800587", "공시열람")</f>
        <v/>
      </c>
    </row>
    <row r="1688">
      <c r="A1688" t="inlineStr">
        <is>
          <t>2025-11-11</t>
        </is>
      </c>
      <c r="B1688" t="inlineStr">
        <is>
          <t>CJ씨푸드</t>
        </is>
      </c>
      <c r="C1688" t="inlineStr">
        <is>
          <t>011150</t>
        </is>
      </c>
      <c r="D1688" t="inlineStr">
        <is>
          <t>연결</t>
        </is>
      </c>
      <c r="E1688" t="inlineStr">
        <is>
          <t>2025Q3</t>
        </is>
      </c>
      <c r="F1688" s="2" t="n">
        <v>49424</v>
      </c>
      <c r="G1688" t="n">
        <v>16.4</v>
      </c>
      <c r="H1688" t="n">
        <v>-7.8</v>
      </c>
      <c r="I1688" s="2" t="n">
        <v>-635</v>
      </c>
      <c r="J1688" t="n">
        <v>-57.4</v>
      </c>
      <c r="K1688" t="inlineStr"/>
      <c r="L1688" s="2" t="n">
        <v>10</v>
      </c>
      <c r="M1688" t="n">
        <v>-99.5</v>
      </c>
      <c r="N1688" t="inlineStr">
        <is>
          <t>20251111800167</t>
        </is>
      </c>
      <c r="O1688">
        <f>HYPERLINK("https://dart.fss.or.kr/dsaf001/main.do?rcpNo=20251111800167", "공시열람")</f>
        <v/>
      </c>
    </row>
    <row r="1689">
      <c r="A1689" t="inlineStr">
        <is>
          <t>2025-11-11</t>
        </is>
      </c>
      <c r="B1689" t="inlineStr">
        <is>
          <t>더블유게임즈</t>
        </is>
      </c>
      <c r="C1689" t="inlineStr">
        <is>
          <t>192080</t>
        </is>
      </c>
      <c r="D1689" t="inlineStr">
        <is>
          <t>별도</t>
        </is>
      </c>
      <c r="E1689" t="inlineStr">
        <is>
          <t>2025Q3</t>
        </is>
      </c>
      <c r="F1689" s="2" t="n">
        <v>43282</v>
      </c>
      <c r="G1689" t="n">
        <v>-0.9</v>
      </c>
      <c r="H1689" t="n">
        <v>1.5</v>
      </c>
      <c r="I1689" s="2" t="n">
        <v>14139</v>
      </c>
      <c r="J1689" t="n">
        <v>14.7</v>
      </c>
      <c r="K1689" t="n">
        <v>-3.9</v>
      </c>
      <c r="L1689" s="2" t="n">
        <v>16182</v>
      </c>
      <c r="M1689" t="n">
        <v>57.7</v>
      </c>
      <c r="N1689" t="inlineStr">
        <is>
          <t>20251111800011</t>
        </is>
      </c>
      <c r="O1689">
        <f>HYPERLINK("https://dart.fss.or.kr/dsaf001/main.do?rcpNo=20251111800011", "공시열람")</f>
        <v/>
      </c>
    </row>
    <row r="1690">
      <c r="A1690" t="inlineStr">
        <is>
          <t>2025-11-11</t>
        </is>
      </c>
      <c r="B1690" t="inlineStr">
        <is>
          <t>콜마홀딩스</t>
        </is>
      </c>
      <c r="C1690" t="inlineStr">
        <is>
          <t>024720</t>
        </is>
      </c>
      <c r="D1690" t="inlineStr">
        <is>
          <t>별도</t>
        </is>
      </c>
      <c r="E1690" t="inlineStr">
        <is>
          <t>2025Q3</t>
        </is>
      </c>
      <c r="F1690" s="2" t="n">
        <v>11561</v>
      </c>
      <c r="G1690" t="n">
        <v>30.24</v>
      </c>
      <c r="H1690" t="n">
        <v>14.78</v>
      </c>
      <c r="I1690" s="2" t="n">
        <v>577</v>
      </c>
      <c r="J1690" t="inlineStr"/>
      <c r="K1690" t="inlineStr"/>
      <c r="L1690" s="2" t="n">
        <v>-6775</v>
      </c>
      <c r="M1690" t="n">
        <v>-536.15</v>
      </c>
      <c r="N1690" t="inlineStr">
        <is>
          <t>20251111800476</t>
        </is>
      </c>
      <c r="O1690">
        <f>HYPERLINK("https://dart.fss.or.kr/dsaf001/main.do?rcpNo=20251111800476", "공시열람")</f>
        <v/>
      </c>
    </row>
    <row r="1691">
      <c r="A1691" t="inlineStr">
        <is>
          <t>2025-11-11</t>
        </is>
      </c>
      <c r="B1691" t="inlineStr">
        <is>
          <t>가비아</t>
        </is>
      </c>
      <c r="C1691" t="inlineStr">
        <is>
          <t>079940</t>
        </is>
      </c>
      <c r="D1691" t="inlineStr">
        <is>
          <t>연결</t>
        </is>
      </c>
      <c r="E1691" t="inlineStr">
        <is>
          <t>2025Q3</t>
        </is>
      </c>
      <c r="F1691" s="2" t="n">
        <v>80581</v>
      </c>
      <c r="G1691" t="n">
        <v>-0.1</v>
      </c>
      <c r="H1691" t="n">
        <v>22.1</v>
      </c>
      <c r="I1691" s="2" t="n">
        <v>7543</v>
      </c>
      <c r="J1691" t="n">
        <v>-6.2</v>
      </c>
      <c r="K1691" t="n">
        <v>27.5</v>
      </c>
      <c r="L1691" s="2" t="n">
        <v>4655</v>
      </c>
      <c r="M1691" t="n">
        <v>6.9</v>
      </c>
      <c r="N1691" t="inlineStr">
        <is>
          <t>20251111900475</t>
        </is>
      </c>
      <c r="O1691">
        <f>HYPERLINK("https://dart.fss.or.kr/dsaf001/main.do?rcpNo=20251111900475", "공시열람")</f>
        <v/>
      </c>
    </row>
    <row r="1692">
      <c r="A1692" t="inlineStr">
        <is>
          <t>2025-11-11</t>
        </is>
      </c>
      <c r="B1692" t="inlineStr">
        <is>
          <t>컴투스홀딩스</t>
        </is>
      </c>
      <c r="C1692" t="inlineStr">
        <is>
          <t>063080</t>
        </is>
      </c>
      <c r="D1692" t="inlineStr">
        <is>
          <t>연결</t>
        </is>
      </c>
      <c r="E1692" t="inlineStr">
        <is>
          <t>2025Q3</t>
        </is>
      </c>
      <c r="F1692" s="2" t="n">
        <v>19605</v>
      </c>
      <c r="G1692" t="n">
        <v>-28.3</v>
      </c>
      <c r="H1692" t="n">
        <v>-56.6</v>
      </c>
      <c r="I1692" s="2" t="n">
        <v>-3945</v>
      </c>
      <c r="J1692" t="n">
        <v>-79.40000000000001</v>
      </c>
      <c r="K1692" t="n">
        <v>38.1</v>
      </c>
      <c r="L1692" s="2" t="n">
        <v>-5433</v>
      </c>
      <c r="M1692" t="n">
        <v>51.1</v>
      </c>
      <c r="N1692" t="inlineStr">
        <is>
          <t>20251111900501</t>
        </is>
      </c>
      <c r="O1692">
        <f>HYPERLINK("https://dart.fss.or.kr/dsaf001/main.do?rcpNo=20251111900501", "공시열람")</f>
        <v/>
      </c>
    </row>
    <row r="1693">
      <c r="A1693" t="inlineStr">
        <is>
          <t>2025-11-11</t>
        </is>
      </c>
      <c r="B1693" t="inlineStr">
        <is>
          <t>에이치시티</t>
        </is>
      </c>
      <c r="C1693" t="inlineStr">
        <is>
          <t>072990</t>
        </is>
      </c>
      <c r="D1693" t="inlineStr">
        <is>
          <t>연결</t>
        </is>
      </c>
      <c r="E1693" t="inlineStr">
        <is>
          <t>2025Q3</t>
        </is>
      </c>
      <c r="F1693" s="2" t="n">
        <v>28067</v>
      </c>
      <c r="G1693" t="n">
        <v>-3.8</v>
      </c>
      <c r="H1693" t="n">
        <v>16</v>
      </c>
      <c r="I1693" s="2" t="n">
        <v>4452</v>
      </c>
      <c r="J1693" t="n">
        <v>-10.4</v>
      </c>
      <c r="K1693" t="n">
        <v>61.1</v>
      </c>
      <c r="L1693" s="2" t="n">
        <v>3291</v>
      </c>
      <c r="M1693" t="n">
        <v>43.5</v>
      </c>
      <c r="N1693" t="inlineStr">
        <is>
          <t>20251111900447</t>
        </is>
      </c>
      <c r="O1693">
        <f>HYPERLINK("https://dart.fss.or.kr/dsaf001/main.do?rcpNo=20251111900447", "공시열람")</f>
        <v/>
      </c>
    </row>
    <row r="1694">
      <c r="A1694" t="inlineStr">
        <is>
          <t>2025-11-11</t>
        </is>
      </c>
      <c r="B1694" t="inlineStr">
        <is>
          <t>한국금융지주</t>
        </is>
      </c>
      <c r="C1694" t="inlineStr">
        <is>
          <t>071050</t>
        </is>
      </c>
      <c r="D1694" t="inlineStr">
        <is>
          <t>연결</t>
        </is>
      </c>
      <c r="E1694" t="inlineStr">
        <is>
          <t>2025Q3</t>
        </is>
      </c>
      <c r="F1694" s="2" t="n">
        <v>5650914</v>
      </c>
      <c r="G1694" t="n">
        <v>-14.7</v>
      </c>
      <c r="H1694" t="n">
        <v>0.41</v>
      </c>
      <c r="I1694" s="2" t="n">
        <v>835297</v>
      </c>
      <c r="J1694" t="n">
        <v>32.78</v>
      </c>
      <c r="K1694" t="n">
        <v>117.81</v>
      </c>
      <c r="L1694" s="2" t="n">
        <v>650890</v>
      </c>
      <c r="M1694" t="n">
        <v>96.83</v>
      </c>
      <c r="N1694" t="inlineStr">
        <is>
          <t>20251111800406</t>
        </is>
      </c>
      <c r="O1694">
        <f>HYPERLINK("https://dart.fss.or.kr/dsaf001/main.do?rcpNo=20251111800406", "공시열람")</f>
        <v/>
      </c>
    </row>
    <row r="1695">
      <c r="A1695" t="inlineStr">
        <is>
          <t>2025-11-11</t>
        </is>
      </c>
      <c r="B1695" t="inlineStr">
        <is>
          <t>키다리스튜디오</t>
        </is>
      </c>
      <c r="C1695" t="inlineStr">
        <is>
          <t>020120</t>
        </is>
      </c>
      <c r="D1695" t="inlineStr">
        <is>
          <t>연결</t>
        </is>
      </c>
      <c r="E1695" t="inlineStr">
        <is>
          <t>2025Q3</t>
        </is>
      </c>
      <c r="F1695" s="2" t="n">
        <v>52751</v>
      </c>
      <c r="G1695" t="n">
        <v>1.9</v>
      </c>
      <c r="H1695" t="n">
        <v>4.94</v>
      </c>
      <c r="I1695" s="2" t="n">
        <v>3560</v>
      </c>
      <c r="J1695" t="n">
        <v>89.2</v>
      </c>
      <c r="K1695" t="n">
        <v>559.38</v>
      </c>
      <c r="L1695" s="2" t="n">
        <v>3141</v>
      </c>
      <c r="M1695" t="inlineStr"/>
      <c r="N1695" t="inlineStr">
        <is>
          <t>20251111800155</t>
        </is>
      </c>
      <c r="O1695">
        <f>HYPERLINK("https://dart.fss.or.kr/dsaf001/main.do?rcpNo=20251111800155", "공시열람")</f>
        <v/>
      </c>
    </row>
    <row r="1696">
      <c r="A1696" t="inlineStr">
        <is>
          <t>2025-11-11</t>
        </is>
      </c>
      <c r="B1696" t="inlineStr">
        <is>
          <t>CJ제일제당</t>
        </is>
      </c>
      <c r="C1696" t="inlineStr">
        <is>
          <t>097950</t>
        </is>
      </c>
      <c r="D1696" t="inlineStr">
        <is>
          <t>연결</t>
        </is>
      </c>
      <c r="E1696" t="inlineStr">
        <is>
          <t>2025Q3</t>
        </is>
      </c>
      <c r="F1696" s="2" t="n">
        <v>7439500</v>
      </c>
      <c r="G1696" t="n">
        <v>2.8</v>
      </c>
      <c r="H1696" t="n">
        <v>0.3</v>
      </c>
      <c r="I1696" s="2" t="n">
        <v>346503</v>
      </c>
      <c r="J1696" t="n">
        <v>-1.9</v>
      </c>
      <c r="K1696" t="n">
        <v>-16.7</v>
      </c>
      <c r="L1696" s="2" t="n">
        <v>119193</v>
      </c>
      <c r="M1696" t="n">
        <v>-43.8</v>
      </c>
      <c r="N1696" t="inlineStr">
        <is>
          <t>20251111800082</t>
        </is>
      </c>
      <c r="O1696">
        <f>HYPERLINK("https://dart.fss.or.kr/dsaf001/main.do?rcpNo=20251111800082", "공시열람")</f>
        <v/>
      </c>
    </row>
    <row r="1697">
      <c r="A1697" t="inlineStr">
        <is>
          <t>2025-11-11</t>
        </is>
      </c>
      <c r="B1697" t="inlineStr">
        <is>
          <t>디케이락</t>
        </is>
      </c>
      <c r="C1697" t="inlineStr">
        <is>
          <t>105740</t>
        </is>
      </c>
      <c r="D1697" t="inlineStr">
        <is>
          <t>연결</t>
        </is>
      </c>
      <c r="E1697" t="inlineStr">
        <is>
          <t>2025Q3</t>
        </is>
      </c>
      <c r="F1697" s="2" t="n">
        <v>37642</v>
      </c>
      <c r="G1697" t="n">
        <v>22.86</v>
      </c>
      <c r="H1697" t="n">
        <v>52.14</v>
      </c>
      <c r="I1697" s="2" t="n">
        <v>6734</v>
      </c>
      <c r="J1697" t="n">
        <v>2044.59</v>
      </c>
      <c r="K1697" t="inlineStr"/>
      <c r="L1697" s="2" t="n">
        <v>7762</v>
      </c>
      <c r="M1697" t="inlineStr"/>
      <c r="N1697" t="inlineStr">
        <is>
          <t>20251111900151</t>
        </is>
      </c>
      <c r="O1697">
        <f>HYPERLINK("https://dart.fss.or.kr/dsaf001/main.do?rcpNo=20251111900151", "공시열람")</f>
        <v/>
      </c>
    </row>
    <row r="1698">
      <c r="A1698" t="inlineStr">
        <is>
          <t>2025-11-11</t>
        </is>
      </c>
      <c r="B1698" t="inlineStr">
        <is>
          <t>이마트</t>
        </is>
      </c>
      <c r="C1698" t="inlineStr">
        <is>
          <t>139480</t>
        </is>
      </c>
      <c r="D1698" t="inlineStr">
        <is>
          <t>별도</t>
        </is>
      </c>
      <c r="E1698" t="inlineStr">
        <is>
          <t>2025Q3</t>
        </is>
      </c>
      <c r="F1698" s="2" t="n">
        <v>1448800</v>
      </c>
      <c r="G1698" t="n">
        <v>-2.2</v>
      </c>
      <c r="H1698" t="n">
        <v>16.9</v>
      </c>
      <c r="I1698" s="2" t="inlineStr"/>
      <c r="J1698" t="inlineStr"/>
      <c r="K1698" t="inlineStr"/>
      <c r="L1698" s="2" t="inlineStr"/>
      <c r="M1698" t="inlineStr"/>
      <c r="N1698" t="inlineStr">
        <is>
          <t>20251111800252</t>
        </is>
      </c>
      <c r="O1698">
        <f>HYPERLINK("https://dart.fss.or.kr/dsaf001/main.do?rcpNo=20251111800252", "공시열람")</f>
        <v/>
      </c>
    </row>
    <row r="1699">
      <c r="A1699" t="inlineStr">
        <is>
          <t>2025-11-11</t>
        </is>
      </c>
      <c r="B1699" t="inlineStr">
        <is>
          <t>위메이드맥스</t>
        </is>
      </c>
      <c r="C1699" t="inlineStr">
        <is>
          <t>101730</t>
        </is>
      </c>
      <c r="D1699" t="inlineStr">
        <is>
          <t>연결</t>
        </is>
      </c>
      <c r="E1699" t="inlineStr">
        <is>
          <t>2025Q3</t>
        </is>
      </c>
      <c r="F1699" s="2" t="n">
        <v>38159</v>
      </c>
      <c r="G1699" t="n">
        <v>15.5</v>
      </c>
      <c r="H1699" t="n">
        <v>101</v>
      </c>
      <c r="I1699" s="2" t="n">
        <v>-11748</v>
      </c>
      <c r="J1699" t="n">
        <v>29.6</v>
      </c>
      <c r="K1699" t="n">
        <v>-451.6</v>
      </c>
      <c r="L1699" s="2" t="n">
        <v>-8709</v>
      </c>
      <c r="M1699" t="n">
        <v>-79.90000000000001</v>
      </c>
      <c r="N1699" t="inlineStr">
        <is>
          <t>20251111900398</t>
        </is>
      </c>
      <c r="O1699">
        <f>HYPERLINK("https://dart.fss.or.kr/dsaf001/main.do?rcpNo=20251111900398", "공시열람")</f>
        <v/>
      </c>
    </row>
    <row r="1700">
      <c r="A1700" t="inlineStr">
        <is>
          <t>2025-11-11</t>
        </is>
      </c>
      <c r="B1700" t="inlineStr">
        <is>
          <t>OCI홀딩스</t>
        </is>
      </c>
      <c r="C1700" t="inlineStr">
        <is>
          <t>010060</t>
        </is>
      </c>
      <c r="D1700" t="inlineStr">
        <is>
          <t>연결</t>
        </is>
      </c>
      <c r="E1700" t="inlineStr">
        <is>
          <t>2025Q3</t>
        </is>
      </c>
      <c r="F1700" s="2" t="n">
        <v>845110</v>
      </c>
      <c r="G1700" t="n">
        <v>8.9</v>
      </c>
      <c r="H1700" t="n">
        <v>-7</v>
      </c>
      <c r="I1700" s="2" t="n">
        <v>-53341</v>
      </c>
      <c r="J1700" t="n">
        <v>33.6</v>
      </c>
      <c r="K1700" t="inlineStr"/>
      <c r="L1700" s="2" t="n">
        <v>-73408</v>
      </c>
      <c r="M1700" t="n">
        <v>-292</v>
      </c>
      <c r="N1700" t="inlineStr">
        <is>
          <t>20251111800352</t>
        </is>
      </c>
      <c r="O1700">
        <f>HYPERLINK("https://dart.fss.or.kr/dsaf001/main.do?rcpNo=20251111800352", "공시열람")</f>
        <v/>
      </c>
    </row>
    <row r="1701">
      <c r="A1701" t="inlineStr">
        <is>
          <t>2025-11-11</t>
        </is>
      </c>
      <c r="B1701" t="inlineStr">
        <is>
          <t>GKL</t>
        </is>
      </c>
      <c r="C1701" t="inlineStr">
        <is>
          <t>114090</t>
        </is>
      </c>
      <c r="D1701" t="inlineStr">
        <is>
          <t>연결</t>
        </is>
      </c>
      <c r="E1701" t="inlineStr">
        <is>
          <t>2025Q3</t>
        </is>
      </c>
      <c r="F1701" s="2" t="n">
        <v>109383</v>
      </c>
      <c r="G1701" t="n">
        <v>8.4</v>
      </c>
      <c r="H1701" t="n">
        <v>16.7</v>
      </c>
      <c r="I1701" s="2" t="n">
        <v>17315</v>
      </c>
      <c r="J1701" t="n">
        <v>8.5</v>
      </c>
      <c r="K1701" t="n">
        <v>198.8</v>
      </c>
      <c r="L1701" s="2" t="n">
        <v>14669</v>
      </c>
      <c r="M1701" t="n">
        <v>142.7</v>
      </c>
      <c r="N1701" t="inlineStr">
        <is>
          <t>20251111800338</t>
        </is>
      </c>
      <c r="O1701">
        <f>HYPERLINK("https://dart.fss.or.kr/dsaf001/main.do?rcpNo=20251111800338", "공시열람")</f>
        <v/>
      </c>
    </row>
    <row r="1702">
      <c r="A1702" t="inlineStr">
        <is>
          <t>2025-11-11</t>
        </is>
      </c>
      <c r="B1702" t="inlineStr">
        <is>
          <t>에스피지</t>
        </is>
      </c>
      <c r="C1702" t="inlineStr">
        <is>
          <t>058610</t>
        </is>
      </c>
      <c r="D1702" t="inlineStr">
        <is>
          <t>연결</t>
        </is>
      </c>
      <c r="E1702" t="inlineStr">
        <is>
          <t>2025Q3</t>
        </is>
      </c>
      <c r="F1702" s="2" t="n">
        <v>84082</v>
      </c>
      <c r="G1702" t="n">
        <v>4.5</v>
      </c>
      <c r="H1702" t="n">
        <v>-8.800000000000001</v>
      </c>
      <c r="I1702" s="2" t="n">
        <v>4933</v>
      </c>
      <c r="J1702" t="n">
        <v>25.8</v>
      </c>
      <c r="K1702" t="n">
        <v>49</v>
      </c>
      <c r="L1702" s="2" t="n">
        <v>3646</v>
      </c>
      <c r="M1702" t="n">
        <v>46.7</v>
      </c>
      <c r="N1702" t="inlineStr">
        <is>
          <t>20251111900208</t>
        </is>
      </c>
      <c r="O1702">
        <f>HYPERLINK("https://dart.fss.or.kr/dsaf001/main.do?rcpNo=20251111900208", "공시열람")</f>
        <v/>
      </c>
    </row>
    <row r="1703">
      <c r="A1703" t="inlineStr">
        <is>
          <t>2025-11-11</t>
        </is>
      </c>
      <c r="B1703" t="inlineStr">
        <is>
          <t>케이아이엔엑스</t>
        </is>
      </c>
      <c r="C1703" t="inlineStr">
        <is>
          <t>093320</t>
        </is>
      </c>
      <c r="D1703" t="inlineStr">
        <is>
          <t>연결</t>
        </is>
      </c>
      <c r="E1703" t="inlineStr">
        <is>
          <t>2025Q3</t>
        </is>
      </c>
      <c r="F1703" s="2" t="n">
        <v>39470</v>
      </c>
      <c r="G1703" t="n">
        <v>0.8</v>
      </c>
      <c r="H1703" t="n">
        <v>13.61</v>
      </c>
      <c r="I1703" s="2" t="n">
        <v>6204</v>
      </c>
      <c r="J1703" t="n">
        <v>6.34</v>
      </c>
      <c r="K1703" t="n">
        <v>8.75</v>
      </c>
      <c r="L1703" s="2" t="n">
        <v>4838</v>
      </c>
      <c r="M1703" t="n">
        <v>13.57</v>
      </c>
      <c r="N1703" t="inlineStr">
        <is>
          <t>20251111900294</t>
        </is>
      </c>
      <c r="O1703">
        <f>HYPERLINK("https://dart.fss.or.kr/dsaf001/main.do?rcpNo=20251111900294", "공시열람")</f>
        <v/>
      </c>
    </row>
    <row r="1704">
      <c r="A1704" t="inlineStr">
        <is>
          <t>2025-11-11</t>
        </is>
      </c>
      <c r="B1704" t="inlineStr">
        <is>
          <t>케이아이엔엑스</t>
        </is>
      </c>
      <c r="C1704" t="inlineStr">
        <is>
          <t>093320</t>
        </is>
      </c>
      <c r="D1704" t="inlineStr">
        <is>
          <t>별도</t>
        </is>
      </c>
      <c r="E1704" t="inlineStr">
        <is>
          <t>2025Q3</t>
        </is>
      </c>
      <c r="F1704" s="2" t="n">
        <v>26507</v>
      </c>
      <c r="G1704" t="n">
        <v>2.83</v>
      </c>
      <c r="H1704" t="n">
        <v>12.76</v>
      </c>
      <c r="I1704" s="2" t="n">
        <v>5036</v>
      </c>
      <c r="J1704" t="n">
        <v>2.6</v>
      </c>
      <c r="K1704" t="n">
        <v>4.6</v>
      </c>
      <c r="L1704" s="2" t="n">
        <v>4161</v>
      </c>
      <c r="M1704" t="n">
        <v>12.63</v>
      </c>
      <c r="N1704" t="inlineStr">
        <is>
          <t>20251111900293</t>
        </is>
      </c>
      <c r="O1704">
        <f>HYPERLINK("https://dart.fss.or.kr/dsaf001/main.do?rcpNo=20251111900293", "공시열람")</f>
        <v/>
      </c>
    </row>
    <row r="1705">
      <c r="A1705" t="inlineStr">
        <is>
          <t>2025-11-11</t>
        </is>
      </c>
      <c r="B1705" t="inlineStr">
        <is>
          <t>SK네트웍스</t>
        </is>
      </c>
      <c r="C1705" t="inlineStr">
        <is>
          <t>001740</t>
        </is>
      </c>
      <c r="D1705" t="inlineStr">
        <is>
          <t>연결</t>
        </is>
      </c>
      <c r="E1705" t="inlineStr">
        <is>
          <t>2025Q3</t>
        </is>
      </c>
      <c r="F1705" s="2" t="n">
        <v>1972605</v>
      </c>
      <c r="G1705" t="n">
        <v>30.1</v>
      </c>
      <c r="H1705" t="n">
        <v>-3.4</v>
      </c>
      <c r="I1705" s="2" t="n">
        <v>22350</v>
      </c>
      <c r="J1705" t="n">
        <v>-48.1</v>
      </c>
      <c r="K1705" t="n">
        <v>-22</v>
      </c>
      <c r="L1705" s="2" t="n">
        <v>19149</v>
      </c>
      <c r="M1705" t="n">
        <v>-70.90000000000001</v>
      </c>
      <c r="N1705" t="inlineStr">
        <is>
          <t>20251111800323</t>
        </is>
      </c>
      <c r="O1705">
        <f>HYPERLINK("https://dart.fss.or.kr/dsaf001/main.do?rcpNo=20251111800323", "공시열람")</f>
        <v/>
      </c>
    </row>
    <row r="1706">
      <c r="A1706" t="inlineStr">
        <is>
          <t>2025-11-11</t>
        </is>
      </c>
      <c r="B1706" t="inlineStr">
        <is>
          <t>이스트소프트</t>
        </is>
      </c>
      <c r="C1706" t="inlineStr">
        <is>
          <t>047560</t>
        </is>
      </c>
      <c r="D1706" t="inlineStr">
        <is>
          <t>연결</t>
        </is>
      </c>
      <c r="E1706" t="inlineStr">
        <is>
          <t>2025Q3</t>
        </is>
      </c>
      <c r="F1706" s="2" t="n">
        <v>24934</v>
      </c>
      <c r="G1706" t="n">
        <v>-20.1</v>
      </c>
      <c r="H1706" t="n">
        <v>0</v>
      </c>
      <c r="I1706" s="2" t="n">
        <v>-4476</v>
      </c>
      <c r="J1706" t="inlineStr"/>
      <c r="K1706" t="n">
        <v>-37</v>
      </c>
      <c r="L1706" s="2" t="n">
        <v>-4826</v>
      </c>
      <c r="M1706" t="n">
        <v>-24.9</v>
      </c>
      <c r="N1706" t="inlineStr">
        <is>
          <t>20251111900424</t>
        </is>
      </c>
      <c r="O1706">
        <f>HYPERLINK("https://dart.fss.or.kr/dsaf001/main.do?rcpNo=20251111900424", "공시열람")</f>
        <v/>
      </c>
    </row>
    <row r="1707">
      <c r="A1707" t="inlineStr">
        <is>
          <t>2025-11-11</t>
        </is>
      </c>
      <c r="B1707" t="inlineStr">
        <is>
          <t>이마트</t>
        </is>
      </c>
      <c r="C1707" t="inlineStr">
        <is>
          <t>139480</t>
        </is>
      </c>
      <c r="D1707" t="inlineStr">
        <is>
          <t>연결</t>
        </is>
      </c>
      <c r="E1707" t="inlineStr">
        <is>
          <t>2025Q3</t>
        </is>
      </c>
      <c r="F1707" s="2" t="n">
        <v>7400800</v>
      </c>
      <c r="G1707" t="n">
        <v>5.1</v>
      </c>
      <c r="H1707" t="n">
        <v>-1.4</v>
      </c>
      <c r="I1707" s="2" t="n">
        <v>151400</v>
      </c>
      <c r="J1707" t="n">
        <v>600.2</v>
      </c>
      <c r="K1707" t="n">
        <v>35.6</v>
      </c>
      <c r="L1707" s="2" t="n">
        <v>310300</v>
      </c>
      <c r="M1707" t="n">
        <v>194.4</v>
      </c>
      <c r="N1707" t="inlineStr">
        <is>
          <t>20251111800250</t>
        </is>
      </c>
      <c r="O1707">
        <f>HYPERLINK("https://dart.fss.or.kr/dsaf001/main.do?rcpNo=20251111800250", "공시열람")</f>
        <v/>
      </c>
    </row>
    <row r="1708">
      <c r="A1708" t="inlineStr">
        <is>
          <t>2025-11-11</t>
        </is>
      </c>
      <c r="B1708" t="inlineStr">
        <is>
          <t>컴투스</t>
        </is>
      </c>
      <c r="C1708" t="inlineStr">
        <is>
          <t>078340</t>
        </is>
      </c>
      <c r="D1708" t="inlineStr">
        <is>
          <t>별도</t>
        </is>
      </c>
      <c r="E1708" t="inlineStr">
        <is>
          <t>2025Q3</t>
        </is>
      </c>
      <c r="F1708" s="2" t="n">
        <v>120953</v>
      </c>
      <c r="G1708" t="n">
        <v>-13.3</v>
      </c>
      <c r="H1708" t="n">
        <v>-9.9</v>
      </c>
      <c r="I1708" s="2" t="n">
        <v>-14473</v>
      </c>
      <c r="J1708" t="inlineStr"/>
      <c r="K1708" t="inlineStr"/>
      <c r="L1708" s="2" t="n">
        <v>-10101</v>
      </c>
      <c r="M1708" t="inlineStr"/>
      <c r="N1708" t="inlineStr">
        <is>
          <t>20251111900243</t>
        </is>
      </c>
      <c r="O1708">
        <f>HYPERLINK("https://dart.fss.or.kr/dsaf001/main.do?rcpNo=20251111900243", "공시열람")</f>
        <v/>
      </c>
    </row>
    <row r="1709">
      <c r="A1709" t="inlineStr">
        <is>
          <t>2025-11-11</t>
        </is>
      </c>
      <c r="B1709" t="inlineStr">
        <is>
          <t>컴투스</t>
        </is>
      </c>
      <c r="C1709" t="inlineStr">
        <is>
          <t>078340</t>
        </is>
      </c>
      <c r="D1709" t="inlineStr">
        <is>
          <t>연결</t>
        </is>
      </c>
      <c r="E1709" t="inlineStr">
        <is>
          <t>2025Q3</t>
        </is>
      </c>
      <c r="F1709" s="2" t="n">
        <v>160102</v>
      </c>
      <c r="G1709" t="n">
        <v>-13.4</v>
      </c>
      <c r="H1709" t="n">
        <v>-7.4</v>
      </c>
      <c r="I1709" s="2" t="n">
        <v>-19410</v>
      </c>
      <c r="J1709" t="inlineStr"/>
      <c r="K1709" t="inlineStr"/>
      <c r="L1709" s="2" t="n">
        <v>-14452</v>
      </c>
      <c r="M1709" t="inlineStr"/>
      <c r="N1709" t="inlineStr">
        <is>
          <t>20251111900242</t>
        </is>
      </c>
      <c r="O1709">
        <f>HYPERLINK("https://dart.fss.or.kr/dsaf001/main.do?rcpNo=20251111900242", "공시열람")</f>
        <v/>
      </c>
    </row>
    <row r="1710">
      <c r="A1710" t="inlineStr">
        <is>
          <t>2025-11-11</t>
        </is>
      </c>
      <c r="B1710" t="inlineStr">
        <is>
          <t>금호건설</t>
        </is>
      </c>
      <c r="C1710" t="inlineStr">
        <is>
          <t>002990</t>
        </is>
      </c>
      <c r="D1710" t="inlineStr">
        <is>
          <t>연결</t>
        </is>
      </c>
      <c r="E1710" t="inlineStr">
        <is>
          <t>2025Q3</t>
        </is>
      </c>
      <c r="F1710" s="2" t="n">
        <v>523352</v>
      </c>
      <c r="G1710" t="n">
        <v>-1.5</v>
      </c>
      <c r="H1710" t="n">
        <v>35.2</v>
      </c>
      <c r="I1710" s="2" t="n">
        <v>15373</v>
      </c>
      <c r="J1710" t="n">
        <v>-5</v>
      </c>
      <c r="K1710" t="inlineStr"/>
      <c r="L1710" s="2" t="n">
        <v>7650</v>
      </c>
      <c r="M1710" t="inlineStr"/>
      <c r="N1710" t="inlineStr">
        <is>
          <t>20251111800218</t>
        </is>
      </c>
      <c r="O1710">
        <f>HYPERLINK("https://dart.fss.or.kr/dsaf001/main.do?rcpNo=20251111800218", "공시열람")</f>
        <v/>
      </c>
    </row>
    <row r="1711">
      <c r="A1711" t="inlineStr">
        <is>
          <t>2025-11-11</t>
        </is>
      </c>
      <c r="B1711" t="inlineStr">
        <is>
          <t>파마리서치</t>
        </is>
      </c>
      <c r="C1711" t="inlineStr">
        <is>
          <t>214450</t>
        </is>
      </c>
      <c r="D1711" t="inlineStr">
        <is>
          <t>연결</t>
        </is>
      </c>
      <c r="E1711" t="inlineStr">
        <is>
          <t>2025Q3</t>
        </is>
      </c>
      <c r="F1711" s="2" t="n">
        <v>135426</v>
      </c>
      <c r="G1711" t="n">
        <v>-3.7</v>
      </c>
      <c r="H1711" t="n">
        <v>51.8</v>
      </c>
      <c r="I1711" s="2" t="n">
        <v>61871</v>
      </c>
      <c r="J1711" t="n">
        <v>10.7</v>
      </c>
      <c r="K1711" t="n">
        <v>77.2</v>
      </c>
      <c r="L1711" s="2" t="n">
        <v>50853</v>
      </c>
      <c r="M1711" t="n">
        <v>99.3</v>
      </c>
      <c r="N1711" t="inlineStr">
        <is>
          <t>20251111900180</t>
        </is>
      </c>
      <c r="O1711">
        <f>HYPERLINK("https://dart.fss.or.kr/dsaf001/main.do?rcpNo=20251111900180", "공시열람")</f>
        <v/>
      </c>
    </row>
    <row r="1712">
      <c r="A1712" t="inlineStr">
        <is>
          <t>2025-11-11</t>
        </is>
      </c>
      <c r="B1712" t="inlineStr">
        <is>
          <t>TYM</t>
        </is>
      </c>
      <c r="C1712" t="inlineStr">
        <is>
          <t>002900</t>
        </is>
      </c>
      <c r="D1712" t="inlineStr">
        <is>
          <t>연결</t>
        </is>
      </c>
      <c r="E1712" t="inlineStr">
        <is>
          <t>2025Q3</t>
        </is>
      </c>
      <c r="F1712" s="2" t="n">
        <v>224174</v>
      </c>
      <c r="G1712" t="n">
        <v>-14.6</v>
      </c>
      <c r="H1712" t="n">
        <v>19</v>
      </c>
      <c r="I1712" s="2" t="n">
        <v>15928</v>
      </c>
      <c r="J1712" t="n">
        <v>-34.3</v>
      </c>
      <c r="K1712" t="inlineStr"/>
      <c r="L1712" s="2" t="n">
        <v>11215</v>
      </c>
      <c r="M1712" t="inlineStr"/>
      <c r="N1712" t="inlineStr">
        <is>
          <t>20251111800213</t>
        </is>
      </c>
      <c r="O1712">
        <f>HYPERLINK("https://dart.fss.or.kr/dsaf001/main.do?rcpNo=20251111800213", "공시열람")</f>
        <v/>
      </c>
    </row>
    <row r="1713">
      <c r="A1713" t="inlineStr">
        <is>
          <t>2025-11-11</t>
        </is>
      </c>
      <c r="B1713" t="inlineStr">
        <is>
          <t>삼성증권</t>
        </is>
      </c>
      <c r="C1713" t="inlineStr">
        <is>
          <t>016360</t>
        </is>
      </c>
      <c r="D1713" t="inlineStr">
        <is>
          <t>연결</t>
        </is>
      </c>
      <c r="E1713" t="inlineStr">
        <is>
          <t>2025Q3</t>
        </is>
      </c>
      <c r="F1713" s="2" t="n">
        <v>2725030</v>
      </c>
      <c r="G1713" t="n">
        <v>-40.33</v>
      </c>
      <c r="H1713" t="n">
        <v>-1.54</v>
      </c>
      <c r="I1713" s="2" t="n">
        <v>401812</v>
      </c>
      <c r="J1713" t="n">
        <v>30.18</v>
      </c>
      <c r="K1713" t="n">
        <v>23.97</v>
      </c>
      <c r="L1713" s="2" t="n">
        <v>309174</v>
      </c>
      <c r="M1713" t="n">
        <v>28.65</v>
      </c>
      <c r="N1713" t="inlineStr">
        <is>
          <t>20251111800414</t>
        </is>
      </c>
      <c r="O1713">
        <f>HYPERLINK("https://dart.fss.or.kr/dsaf001/main.do?rcpNo=20251111800414", "공시열람")</f>
        <v/>
      </c>
    </row>
    <row r="1714">
      <c r="A1714" t="inlineStr">
        <is>
          <t>2025-11-10</t>
        </is>
      </c>
      <c r="B1714" t="inlineStr">
        <is>
          <t>한국공항</t>
        </is>
      </c>
      <c r="C1714" t="inlineStr">
        <is>
          <t>005430</t>
        </is>
      </c>
      <c r="D1714" t="inlineStr">
        <is>
          <t>연결</t>
        </is>
      </c>
      <c r="E1714" t="inlineStr">
        <is>
          <t>2025Q3</t>
        </is>
      </c>
      <c r="F1714" s="2" t="n">
        <v>166971</v>
      </c>
      <c r="G1714" t="n">
        <v>4.16</v>
      </c>
      <c r="H1714" t="n">
        <v>6.17</v>
      </c>
      <c r="I1714" s="2" t="n">
        <v>14468</v>
      </c>
      <c r="J1714" t="n">
        <v>26.15</v>
      </c>
      <c r="K1714" t="n">
        <v>-10.92</v>
      </c>
      <c r="L1714" s="2" t="n">
        <v>11577</v>
      </c>
      <c r="M1714" t="n">
        <v>-12.82</v>
      </c>
      <c r="N1714" t="inlineStr">
        <is>
          <t>20251110800620</t>
        </is>
      </c>
      <c r="O1714">
        <f>HYPERLINK("https://dart.fss.or.kr/dsaf001/main.do?rcpNo=20251110800620", "공시열람")</f>
        <v/>
      </c>
    </row>
    <row r="1715">
      <c r="A1715" t="inlineStr">
        <is>
          <t>2025-11-10</t>
        </is>
      </c>
      <c r="B1715" t="inlineStr">
        <is>
          <t>KT나스미디어</t>
        </is>
      </c>
      <c r="C1715" t="inlineStr">
        <is>
          <t>089600</t>
        </is>
      </c>
      <c r="D1715" t="inlineStr">
        <is>
          <t>별도</t>
        </is>
      </c>
      <c r="E1715" t="inlineStr">
        <is>
          <t>2025Q3</t>
        </is>
      </c>
      <c r="F1715" s="2" t="n">
        <v>31179</v>
      </c>
      <c r="G1715" t="n">
        <v>18.7</v>
      </c>
      <c r="H1715" t="n">
        <v>20.3</v>
      </c>
      <c r="I1715" s="2" t="n">
        <v>3754</v>
      </c>
      <c r="J1715" t="n">
        <v>43.6</v>
      </c>
      <c r="K1715" t="n">
        <v>-32.2</v>
      </c>
      <c r="L1715" s="2" t="n">
        <v>4895</v>
      </c>
      <c r="M1715" t="n">
        <v>-22.3</v>
      </c>
      <c r="N1715" t="inlineStr">
        <is>
          <t>20251110900626</t>
        </is>
      </c>
      <c r="O1715">
        <f>HYPERLINK("https://dart.fss.or.kr/dsaf001/main.do?rcpNo=20251110900626", "공시열람")</f>
        <v/>
      </c>
    </row>
    <row r="1716">
      <c r="A1716" t="inlineStr">
        <is>
          <t>2025-11-10</t>
        </is>
      </c>
      <c r="B1716" t="inlineStr">
        <is>
          <t>파라다이스</t>
        </is>
      </c>
      <c r="C1716" t="inlineStr">
        <is>
          <t>034230</t>
        </is>
      </c>
      <c r="D1716" t="inlineStr">
        <is>
          <t>연결</t>
        </is>
      </c>
      <c r="E1716" t="inlineStr">
        <is>
          <t>2025Q3</t>
        </is>
      </c>
      <c r="F1716" s="2" t="n">
        <v>288200</v>
      </c>
      <c r="G1716" t="n">
        <v>1.3</v>
      </c>
      <c r="H1716" t="n">
        <v>7.5</v>
      </c>
      <c r="I1716" s="2" t="n">
        <v>39500</v>
      </c>
      <c r="J1716" t="n">
        <v>-7.8</v>
      </c>
      <c r="K1716" t="n">
        <v>9.1</v>
      </c>
      <c r="L1716" s="2" t="n">
        <v>33400</v>
      </c>
      <c r="M1716" t="n">
        <v>69.5</v>
      </c>
      <c r="N1716" t="inlineStr">
        <is>
          <t>20251110800565</t>
        </is>
      </c>
      <c r="O1716">
        <f>HYPERLINK("https://dart.fss.or.kr/dsaf001/main.do?rcpNo=20251110800565", "공시열람")</f>
        <v/>
      </c>
    </row>
    <row r="1717">
      <c r="A1717" t="inlineStr">
        <is>
          <t>2025-11-10</t>
        </is>
      </c>
      <c r="B1717" t="inlineStr">
        <is>
          <t>아이크래프트</t>
        </is>
      </c>
      <c r="C1717" t="inlineStr">
        <is>
          <t>052460</t>
        </is>
      </c>
      <c r="D1717" t="inlineStr">
        <is>
          <t>별도</t>
        </is>
      </c>
      <c r="E1717" t="inlineStr">
        <is>
          <t>2025Q3</t>
        </is>
      </c>
      <c r="F1717" s="2" t="n">
        <v>23031</v>
      </c>
      <c r="G1717" t="n">
        <v>-4.48</v>
      </c>
      <c r="H1717" t="n">
        <v>106.02</v>
      </c>
      <c r="I1717" s="2" t="n">
        <v>-1202</v>
      </c>
      <c r="J1717" t="n">
        <v>-39.41</v>
      </c>
      <c r="K1717" t="n">
        <v>13.73</v>
      </c>
      <c r="L1717" s="2" t="n">
        <v>942</v>
      </c>
      <c r="M1717" t="inlineStr"/>
      <c r="N1717" t="inlineStr">
        <is>
          <t>20251110900511</t>
        </is>
      </c>
      <c r="O1717">
        <f>HYPERLINK("https://dart.fss.or.kr/dsaf001/main.do?rcpNo=20251110900511", "공시열람")</f>
        <v/>
      </c>
    </row>
    <row r="1718">
      <c r="A1718" t="inlineStr">
        <is>
          <t>2025-11-10</t>
        </is>
      </c>
      <c r="B1718" t="inlineStr">
        <is>
          <t>아이크래프트</t>
        </is>
      </c>
      <c r="C1718" t="inlineStr">
        <is>
          <t>052460</t>
        </is>
      </c>
      <c r="D1718" t="inlineStr">
        <is>
          <t>연결</t>
        </is>
      </c>
      <c r="E1718" t="inlineStr">
        <is>
          <t>2025Q3</t>
        </is>
      </c>
      <c r="F1718" s="2" t="n">
        <v>27634</v>
      </c>
      <c r="G1718" t="n">
        <v>-5.94</v>
      </c>
      <c r="H1718" t="n">
        <v>90.66</v>
      </c>
      <c r="I1718" s="2" t="n">
        <v>-1027</v>
      </c>
      <c r="J1718" t="n">
        <v>-42.32</v>
      </c>
      <c r="K1718" t="n">
        <v>14.5</v>
      </c>
      <c r="L1718" s="2" t="n">
        <v>1008</v>
      </c>
      <c r="M1718" t="inlineStr"/>
      <c r="N1718" t="inlineStr">
        <is>
          <t>20251110900514</t>
        </is>
      </c>
      <c r="O1718">
        <f>HYPERLINK("https://dart.fss.or.kr/dsaf001/main.do?rcpNo=20251110900514", "공시열람")</f>
        <v/>
      </c>
    </row>
    <row r="1719">
      <c r="A1719" t="inlineStr">
        <is>
          <t>2025-11-10</t>
        </is>
      </c>
      <c r="B1719" t="inlineStr">
        <is>
          <t>한샘</t>
        </is>
      </c>
      <c r="C1719" t="inlineStr">
        <is>
          <t>009240</t>
        </is>
      </c>
      <c r="D1719" t="inlineStr">
        <is>
          <t>연결</t>
        </is>
      </c>
      <c r="E1719" t="inlineStr">
        <is>
          <t>2025Q3</t>
        </is>
      </c>
      <c r="F1719" s="2" t="n">
        <v>441392</v>
      </c>
      <c r="G1719" t="n">
        <v>-3.9</v>
      </c>
      <c r="H1719" t="n">
        <v>-2.8</v>
      </c>
      <c r="I1719" s="2" t="n">
        <v>6844</v>
      </c>
      <c r="J1719" t="n">
        <v>203.4</v>
      </c>
      <c r="K1719" t="n">
        <v>-6.1</v>
      </c>
      <c r="L1719" s="2" t="n">
        <v>-54</v>
      </c>
      <c r="M1719" t="inlineStr"/>
      <c r="N1719" t="inlineStr">
        <is>
          <t>20251110800510</t>
        </is>
      </c>
      <c r="O1719">
        <f>HYPERLINK("https://dart.fss.or.kr/dsaf001/main.do?rcpNo=20251110800510", "공시열람")</f>
        <v/>
      </c>
    </row>
    <row r="1720">
      <c r="A1720" t="inlineStr">
        <is>
          <t>2025-11-10</t>
        </is>
      </c>
      <c r="B1720" t="inlineStr">
        <is>
          <t>조이시티</t>
        </is>
      </c>
      <c r="C1720" t="inlineStr">
        <is>
          <t>067000</t>
        </is>
      </c>
      <c r="D1720" t="inlineStr">
        <is>
          <t>연결</t>
        </is>
      </c>
      <c r="E1720" t="inlineStr">
        <is>
          <t>2025Q3</t>
        </is>
      </c>
      <c r="F1720" s="2" t="n">
        <v>26485</v>
      </c>
      <c r="G1720" t="n">
        <v>-19.74</v>
      </c>
      <c r="H1720" t="n">
        <v>-22.11</v>
      </c>
      <c r="I1720" s="2" t="n">
        <v>-2959</v>
      </c>
      <c r="J1720" t="inlineStr"/>
      <c r="K1720" t="inlineStr"/>
      <c r="L1720" s="2" t="n">
        <v>-2662</v>
      </c>
      <c r="M1720" t="n">
        <v>-245.27</v>
      </c>
      <c r="N1720" t="inlineStr">
        <is>
          <t>20251110900422</t>
        </is>
      </c>
      <c r="O1720">
        <f>HYPERLINK("https://dart.fss.or.kr/dsaf001/main.do?rcpNo=20251110900422", "공시열람")</f>
        <v/>
      </c>
    </row>
    <row r="1721">
      <c r="A1721" t="inlineStr">
        <is>
          <t>2025-11-10</t>
        </is>
      </c>
      <c r="B1721" t="inlineStr">
        <is>
          <t>F&amp;F</t>
        </is>
      </c>
      <c r="C1721" t="inlineStr">
        <is>
          <t>383220</t>
        </is>
      </c>
      <c r="D1721" t="inlineStr">
        <is>
          <t>연결</t>
        </is>
      </c>
      <c r="E1721" t="inlineStr">
        <is>
          <t>2025Q3</t>
        </is>
      </c>
      <c r="F1721" s="2" t="n">
        <v>474257</v>
      </c>
      <c r="G1721" t="n">
        <v>25.2</v>
      </c>
      <c r="H1721" t="n">
        <v>5.2</v>
      </c>
      <c r="I1721" s="2" t="n">
        <v>128020</v>
      </c>
      <c r="J1721" t="n">
        <v>52.4</v>
      </c>
      <c r="K1721" t="n">
        <v>18.2</v>
      </c>
      <c r="L1721" s="2" t="n">
        <v>100695</v>
      </c>
      <c r="M1721" t="n">
        <v>26.2</v>
      </c>
      <c r="N1721" t="inlineStr">
        <is>
          <t>20251110800340</t>
        </is>
      </c>
      <c r="O1721">
        <f>HYPERLINK("https://dart.fss.or.kr/dsaf001/main.do?rcpNo=20251110800340", "공시열람")</f>
        <v/>
      </c>
    </row>
    <row r="1722">
      <c r="A1722" t="inlineStr">
        <is>
          <t>2025-11-10</t>
        </is>
      </c>
      <c r="B1722" t="inlineStr">
        <is>
          <t>두산</t>
        </is>
      </c>
      <c r="C1722" t="inlineStr">
        <is>
          <t>000150</t>
        </is>
      </c>
      <c r="D1722" t="inlineStr">
        <is>
          <t>연결</t>
        </is>
      </c>
      <c r="E1722" t="inlineStr">
        <is>
          <t>2025Q3</t>
        </is>
      </c>
      <c r="F1722" s="2" t="n">
        <v>4452400</v>
      </c>
      <c r="G1722" t="n">
        <v>-16.7</v>
      </c>
      <c r="H1722" t="n">
        <v>14.8</v>
      </c>
      <c r="I1722" s="2" t="n">
        <v>231300</v>
      </c>
      <c r="J1722" t="n">
        <v>-35.4</v>
      </c>
      <c r="K1722" t="n">
        <v>109.9</v>
      </c>
      <c r="L1722" s="2" t="n">
        <v>111500</v>
      </c>
      <c r="M1722" t="n">
        <v>217.5</v>
      </c>
      <c r="N1722" t="inlineStr">
        <is>
          <t>20251110800409</t>
        </is>
      </c>
      <c r="O1722">
        <f>HYPERLINK("https://dart.fss.or.kr/dsaf001/main.do?rcpNo=20251110800409", "공시열람")</f>
        <v/>
      </c>
    </row>
    <row r="1723">
      <c r="A1723" t="inlineStr">
        <is>
          <t>2025-11-10</t>
        </is>
      </c>
      <c r="B1723" t="inlineStr">
        <is>
          <t>코디</t>
        </is>
      </c>
      <c r="C1723" t="inlineStr">
        <is>
          <t>080530</t>
        </is>
      </c>
      <c r="D1723" t="inlineStr">
        <is>
          <t>연결</t>
        </is>
      </c>
      <c r="E1723" t="inlineStr">
        <is>
          <t>2025Q3</t>
        </is>
      </c>
      <c r="F1723" s="2" t="n">
        <v>16775</v>
      </c>
      <c r="G1723" t="n">
        <v>-23.83</v>
      </c>
      <c r="H1723" t="n">
        <v>-15.81</v>
      </c>
      <c r="I1723" s="2" t="n">
        <v>280</v>
      </c>
      <c r="J1723" t="n">
        <v>-86.15000000000001</v>
      </c>
      <c r="K1723" t="n">
        <v>33.97</v>
      </c>
      <c r="L1723" s="2" t="n">
        <v>286</v>
      </c>
      <c r="M1723" t="n">
        <v>-129.89</v>
      </c>
      <c r="N1723" t="inlineStr">
        <is>
          <t>20251110900412</t>
        </is>
      </c>
      <c r="O1723">
        <f>HYPERLINK("https://dart.fss.or.kr/dsaf001/main.do?rcpNo=20251110900412", "공시열람")</f>
        <v/>
      </c>
    </row>
    <row r="1724">
      <c r="A1724" t="inlineStr">
        <is>
          <t>2025-11-10</t>
        </is>
      </c>
      <c r="B1724" t="inlineStr">
        <is>
          <t>비엠티</t>
        </is>
      </c>
      <c r="C1724" t="inlineStr">
        <is>
          <t>086670</t>
        </is>
      </c>
      <c r="D1724" t="inlineStr">
        <is>
          <t>연결</t>
        </is>
      </c>
      <c r="E1724" t="inlineStr">
        <is>
          <t>2025Q3</t>
        </is>
      </c>
      <c r="F1724" s="2" t="n">
        <v>37464</v>
      </c>
      <c r="G1724" t="n">
        <v>-4.6</v>
      </c>
      <c r="H1724" t="n">
        <v>14.7</v>
      </c>
      <c r="I1724" s="2" t="n">
        <v>5813</v>
      </c>
      <c r="J1724" t="n">
        <v>70.09999999999999</v>
      </c>
      <c r="K1724" t="inlineStr"/>
      <c r="L1724" s="2" t="n">
        <v>12541</v>
      </c>
      <c r="M1724" t="inlineStr"/>
      <c r="N1724" t="inlineStr">
        <is>
          <t>20251110900111</t>
        </is>
      </c>
      <c r="O1724">
        <f>HYPERLINK("https://dart.fss.or.kr/dsaf001/main.do?rcpNo=20251110900111", "공시열람")</f>
        <v/>
      </c>
    </row>
    <row r="1725">
      <c r="A1725" t="inlineStr">
        <is>
          <t>2025-11-10</t>
        </is>
      </c>
      <c r="B1725" t="inlineStr">
        <is>
          <t>더블유씨피</t>
        </is>
      </c>
      <c r="C1725" t="inlineStr">
        <is>
          <t>393890</t>
        </is>
      </c>
      <c r="D1725" t="inlineStr">
        <is>
          <t>연결</t>
        </is>
      </c>
      <c r="E1725" t="inlineStr">
        <is>
          <t>2025Q3</t>
        </is>
      </c>
      <c r="F1725" s="2" t="n">
        <v>29110</v>
      </c>
      <c r="G1725" t="n">
        <v>-23.8</v>
      </c>
      <c r="H1725" t="n">
        <v>-55.6</v>
      </c>
      <c r="I1725" s="2" t="n">
        <v>-31001</v>
      </c>
      <c r="J1725" t="n">
        <v>-19.2</v>
      </c>
      <c r="K1725" t="n">
        <v>-59.7</v>
      </c>
      <c r="L1725" s="2" t="n">
        <v>-46067</v>
      </c>
      <c r="M1725" t="n">
        <v>-119.2</v>
      </c>
      <c r="N1725" t="inlineStr">
        <is>
          <t>20251110900088</t>
        </is>
      </c>
      <c r="O1725">
        <f>HYPERLINK("https://dart.fss.or.kr/dsaf001/main.do?rcpNo=20251110900088", "공시열람")</f>
        <v/>
      </c>
    </row>
    <row r="1726">
      <c r="A1726" t="inlineStr">
        <is>
          <t>2025-11-10</t>
        </is>
      </c>
      <c r="B1726" t="inlineStr">
        <is>
          <t>한국앤컴퍼니</t>
        </is>
      </c>
      <c r="C1726" t="inlineStr">
        <is>
          <t>000240</t>
        </is>
      </c>
      <c r="D1726" t="inlineStr">
        <is>
          <t>연결</t>
        </is>
      </c>
      <c r="E1726" t="inlineStr">
        <is>
          <t>2025Q3</t>
        </is>
      </c>
      <c r="F1726" s="2" t="n">
        <v>384716</v>
      </c>
      <c r="G1726" t="n">
        <v>11.9</v>
      </c>
      <c r="H1726" t="n">
        <v>0.9</v>
      </c>
      <c r="I1726" s="2" t="n">
        <v>137075</v>
      </c>
      <c r="J1726" t="n">
        <v>85.59999999999999</v>
      </c>
      <c r="K1726" t="n">
        <v>-0.1</v>
      </c>
      <c r="L1726" s="2" t="n">
        <v>129733</v>
      </c>
      <c r="M1726" t="n">
        <v>7.5</v>
      </c>
      <c r="N1726" t="inlineStr">
        <is>
          <t>20251110800073</t>
        </is>
      </c>
      <c r="O1726">
        <f>HYPERLINK("https://dart.fss.or.kr/dsaf001/main.do?rcpNo=20251110800073", "공시열람")</f>
        <v/>
      </c>
    </row>
    <row r="1727">
      <c r="A1727" t="inlineStr">
        <is>
          <t>2025-11-10</t>
        </is>
      </c>
      <c r="B1727" t="inlineStr">
        <is>
          <t>NHN벅스</t>
        </is>
      </c>
      <c r="C1727" t="inlineStr">
        <is>
          <t>104200</t>
        </is>
      </c>
      <c r="D1727" t="inlineStr">
        <is>
          <t>별도</t>
        </is>
      </c>
      <c r="E1727" t="inlineStr">
        <is>
          <t>2025Q3</t>
        </is>
      </c>
      <c r="F1727" s="2" t="n">
        <v>10905</v>
      </c>
      <c r="G1727" t="n">
        <v>-5.9</v>
      </c>
      <c r="H1727" t="n">
        <v>-13.8</v>
      </c>
      <c r="I1727" s="2" t="n">
        <v>-412</v>
      </c>
      <c r="J1727" t="inlineStr"/>
      <c r="K1727" t="n">
        <v>-178.4</v>
      </c>
      <c r="L1727" s="2" t="n">
        <v>-226</v>
      </c>
      <c r="M1727" t="n">
        <v>28.5</v>
      </c>
      <c r="N1727" t="inlineStr">
        <is>
          <t>20251110900070</t>
        </is>
      </c>
      <c r="O1727">
        <f>HYPERLINK("https://dart.fss.or.kr/dsaf001/main.do?rcpNo=20251110900070", "공시열람")</f>
        <v/>
      </c>
    </row>
    <row r="1728">
      <c r="A1728" t="inlineStr">
        <is>
          <t>2025-11-10</t>
        </is>
      </c>
      <c r="B1728" t="inlineStr">
        <is>
          <t>더존비즈온</t>
        </is>
      </c>
      <c r="C1728" t="inlineStr">
        <is>
          <t>012510</t>
        </is>
      </c>
      <c r="D1728" t="inlineStr">
        <is>
          <t>연결</t>
        </is>
      </c>
      <c r="E1728" t="inlineStr">
        <is>
          <t>2025Q3</t>
        </is>
      </c>
      <c r="F1728" s="2" t="n">
        <v>114668</v>
      </c>
      <c r="G1728" t="n">
        <v>8.300000000000001</v>
      </c>
      <c r="H1728" t="n">
        <v>18.2</v>
      </c>
      <c r="I1728" s="2" t="n">
        <v>34825</v>
      </c>
      <c r="J1728" t="n">
        <v>38.1</v>
      </c>
      <c r="K1728" t="n">
        <v>73.40000000000001</v>
      </c>
      <c r="L1728" s="2" t="n">
        <v>23416</v>
      </c>
      <c r="M1728" t="n">
        <v>119.1</v>
      </c>
      <c r="N1728" t="inlineStr">
        <is>
          <t>20251110800055</t>
        </is>
      </c>
      <c r="O1728">
        <f>HYPERLINK("https://dart.fss.or.kr/dsaf001/main.do?rcpNo=20251110800055", "공시열람")</f>
        <v/>
      </c>
    </row>
    <row r="1729">
      <c r="A1729" t="inlineStr">
        <is>
          <t>2025-11-10</t>
        </is>
      </c>
      <c r="B1729" t="inlineStr">
        <is>
          <t>롯데에너지머티리얼즈</t>
        </is>
      </c>
      <c r="C1729" t="inlineStr">
        <is>
          <t>020150</t>
        </is>
      </c>
      <c r="D1729" t="inlineStr">
        <is>
          <t>연결</t>
        </is>
      </c>
      <c r="E1729" t="inlineStr">
        <is>
          <t>2025Q3</t>
        </is>
      </c>
      <c r="F1729" s="2" t="n">
        <v>143700</v>
      </c>
      <c r="G1729" t="n">
        <v>-29.9</v>
      </c>
      <c r="H1729" t="n">
        <v>-32</v>
      </c>
      <c r="I1729" s="2" t="n">
        <v>-34300</v>
      </c>
      <c r="J1729" t="n">
        <v>-10.2</v>
      </c>
      <c r="K1729" t="n">
        <v>-8</v>
      </c>
      <c r="L1729" s="2" t="n">
        <v>-24500</v>
      </c>
      <c r="M1729" t="inlineStr"/>
      <c r="N1729" t="inlineStr">
        <is>
          <t>20251110800050</t>
        </is>
      </c>
      <c r="O1729">
        <f>HYPERLINK("https://dart.fss.or.kr/dsaf001/main.do?rcpNo=20251110800050", "공시열람")</f>
        <v/>
      </c>
    </row>
    <row r="1730">
      <c r="A1730" t="inlineStr">
        <is>
          <t>2025-11-10</t>
        </is>
      </c>
      <c r="B1730" t="inlineStr">
        <is>
          <t>케이티스카이라이프</t>
        </is>
      </c>
      <c r="C1730" t="inlineStr">
        <is>
          <t>053210</t>
        </is>
      </c>
      <c r="D1730" t="inlineStr">
        <is>
          <t>별도</t>
        </is>
      </c>
      <c r="E1730" t="inlineStr">
        <is>
          <t>2025Q3</t>
        </is>
      </c>
      <c r="F1730" s="2" t="n">
        <v>172221</v>
      </c>
      <c r="G1730" t="n">
        <v>1.1</v>
      </c>
      <c r="H1730" t="n">
        <v>-2.9</v>
      </c>
      <c r="I1730" s="2" t="n">
        <v>16405</v>
      </c>
      <c r="J1730" t="n">
        <v>13.4</v>
      </c>
      <c r="K1730" t="n">
        <v>53.4</v>
      </c>
      <c r="L1730" s="2" t="n">
        <v>11600</v>
      </c>
      <c r="M1730" t="n">
        <v>50</v>
      </c>
      <c r="N1730" t="inlineStr">
        <is>
          <t>20251110800046</t>
        </is>
      </c>
      <c r="O1730">
        <f>HYPERLINK("https://dart.fss.or.kr/dsaf001/main.do?rcpNo=20251110800046", "공시열람")</f>
        <v/>
      </c>
    </row>
    <row r="1731">
      <c r="A1731" t="inlineStr">
        <is>
          <t>2025-11-10</t>
        </is>
      </c>
      <c r="B1731" t="inlineStr">
        <is>
          <t>케이티스카이라이프</t>
        </is>
      </c>
      <c r="C1731" t="inlineStr">
        <is>
          <t>053210</t>
        </is>
      </c>
      <c r="D1731" t="inlineStr">
        <is>
          <t>연결</t>
        </is>
      </c>
      <c r="E1731" t="inlineStr">
        <is>
          <t>2025Q3</t>
        </is>
      </c>
      <c r="F1731" s="2" t="n">
        <v>246947</v>
      </c>
      <c r="G1731" t="n">
        <v>-0.1</v>
      </c>
      <c r="H1731" t="n">
        <v>-3.9</v>
      </c>
      <c r="I1731" s="2" t="n">
        <v>16495</v>
      </c>
      <c r="J1731" t="n">
        <v>27.3</v>
      </c>
      <c r="K1731" t="n">
        <v>793.3</v>
      </c>
      <c r="L1731" s="2" t="n">
        <v>12245</v>
      </c>
      <c r="M1731" t="n">
        <v>476.5</v>
      </c>
      <c r="N1731" t="inlineStr">
        <is>
          <t>20251110800042</t>
        </is>
      </c>
      <c r="O1731">
        <f>HYPERLINK("https://dart.fss.or.kr/dsaf001/main.do?rcpNo=20251110800042", "공시열람")</f>
        <v/>
      </c>
    </row>
    <row r="1732">
      <c r="A1732" t="inlineStr">
        <is>
          <t>2025-11-10</t>
        </is>
      </c>
      <c r="B1732" t="inlineStr">
        <is>
          <t>더즌</t>
        </is>
      </c>
      <c r="C1732" t="inlineStr">
        <is>
          <t>462860</t>
        </is>
      </c>
      <c r="D1732" t="inlineStr">
        <is>
          <t>연결</t>
        </is>
      </c>
      <c r="E1732" t="inlineStr">
        <is>
          <t>2025Q3</t>
        </is>
      </c>
      <c r="F1732" s="2" t="n">
        <v>15094</v>
      </c>
      <c r="G1732" t="n">
        <v>3.32</v>
      </c>
      <c r="H1732" t="n">
        <v>-4.65</v>
      </c>
      <c r="I1732" s="2" t="n">
        <v>3969</v>
      </c>
      <c r="J1732" t="n">
        <v>27.71</v>
      </c>
      <c r="K1732" t="n">
        <v>66.52</v>
      </c>
      <c r="L1732" s="2" t="n">
        <v>3496</v>
      </c>
      <c r="M1732" t="n">
        <v>72.59999999999999</v>
      </c>
      <c r="N1732" t="inlineStr">
        <is>
          <t>20251110900048</t>
        </is>
      </c>
      <c r="O1732">
        <f>HYPERLINK("https://dart.fss.or.kr/dsaf001/main.do?rcpNo=20251110900048", "공시열람")</f>
        <v/>
      </c>
    </row>
    <row r="1733">
      <c r="A1733" t="inlineStr">
        <is>
          <t>2025-11-10</t>
        </is>
      </c>
      <c r="B1733" t="inlineStr">
        <is>
          <t>더즌</t>
        </is>
      </c>
      <c r="C1733" t="inlineStr">
        <is>
          <t>462860</t>
        </is>
      </c>
      <c r="D1733" t="inlineStr">
        <is>
          <t>별도</t>
        </is>
      </c>
      <c r="E1733" t="inlineStr">
        <is>
          <t>2025Q3</t>
        </is>
      </c>
      <c r="F1733" s="2" t="n">
        <v>15096</v>
      </c>
      <c r="G1733" t="n">
        <v>3.31</v>
      </c>
      <c r="H1733" t="n">
        <v>-4.74</v>
      </c>
      <c r="I1733" s="2" t="n">
        <v>4190</v>
      </c>
      <c r="J1733" t="n">
        <v>27.47</v>
      </c>
      <c r="K1733" t="n">
        <v>67.7</v>
      </c>
      <c r="L1733" s="2" t="n">
        <v>3826</v>
      </c>
      <c r="M1733" t="n">
        <v>77.62</v>
      </c>
      <c r="N1733" t="inlineStr">
        <is>
          <t>20251110900045</t>
        </is>
      </c>
      <c r="O1733">
        <f>HYPERLINK("https://dart.fss.or.kr/dsaf001/main.do?rcpNo=20251110900045", "공시열람")</f>
        <v/>
      </c>
    </row>
    <row r="1734">
      <c r="A1734" t="inlineStr">
        <is>
          <t>2025-11-10</t>
        </is>
      </c>
      <c r="B1734" t="inlineStr">
        <is>
          <t>DB하이텍</t>
        </is>
      </c>
      <c r="C1734" t="inlineStr">
        <is>
          <t>000990</t>
        </is>
      </c>
      <c r="D1734" t="inlineStr">
        <is>
          <t>연결</t>
        </is>
      </c>
      <c r="E1734" t="inlineStr">
        <is>
          <t>2025Q3</t>
        </is>
      </c>
      <c r="F1734" s="2" t="n">
        <v>374650</v>
      </c>
      <c r="G1734" t="n">
        <v>11.04</v>
      </c>
      <c r="H1734" t="n">
        <v>30.18</v>
      </c>
      <c r="I1734" s="2" t="n">
        <v>80580</v>
      </c>
      <c r="J1734" t="n">
        <v>9.119999999999999</v>
      </c>
      <c r="K1734" t="n">
        <v>71.26000000000001</v>
      </c>
      <c r="L1734" s="2" t="n">
        <v>90737</v>
      </c>
      <c r="M1734" t="n">
        <v>27.82</v>
      </c>
      <c r="N1734" t="inlineStr">
        <is>
          <t>20251110800035</t>
        </is>
      </c>
      <c r="O1734">
        <f>HYPERLINK("https://dart.fss.or.kr/dsaf001/main.do?rcpNo=20251110800035", "공시열람")</f>
        <v/>
      </c>
    </row>
    <row r="1735">
      <c r="A1735" t="inlineStr">
        <is>
          <t>2025-11-10</t>
        </is>
      </c>
      <c r="B1735" t="inlineStr">
        <is>
          <t>NHN</t>
        </is>
      </c>
      <c r="C1735" t="inlineStr">
        <is>
          <t>181710</t>
        </is>
      </c>
      <c r="D1735" t="inlineStr">
        <is>
          <t>연결</t>
        </is>
      </c>
      <c r="E1735" t="inlineStr">
        <is>
          <t>2025Q3</t>
        </is>
      </c>
      <c r="F1735" s="2" t="n">
        <v>625602</v>
      </c>
      <c r="G1735" t="n">
        <v>3.4</v>
      </c>
      <c r="H1735" t="n">
        <v>2.8</v>
      </c>
      <c r="I1735" s="2" t="n">
        <v>27637</v>
      </c>
      <c r="J1735" t="n">
        <v>26.1</v>
      </c>
      <c r="K1735" t="inlineStr"/>
      <c r="L1735" s="2" t="n">
        <v>18003</v>
      </c>
      <c r="M1735" t="inlineStr"/>
      <c r="N1735" t="inlineStr">
        <is>
          <t>20251110800012</t>
        </is>
      </c>
      <c r="O1735">
        <f>HYPERLINK("https://dart.fss.or.kr/dsaf001/main.do?rcpNo=20251110800012", "공시열람")</f>
        <v/>
      </c>
    </row>
    <row r="1736">
      <c r="A1736" t="inlineStr">
        <is>
          <t>2025-11-10</t>
        </is>
      </c>
      <c r="B1736" t="inlineStr">
        <is>
          <t>NHN</t>
        </is>
      </c>
      <c r="C1736" t="inlineStr">
        <is>
          <t>181710</t>
        </is>
      </c>
      <c r="D1736" t="inlineStr">
        <is>
          <t>별도</t>
        </is>
      </c>
      <c r="E1736" t="inlineStr">
        <is>
          <t>2025Q3</t>
        </is>
      </c>
      <c r="F1736" s="2" t="n">
        <v>93185</v>
      </c>
      <c r="G1736" t="n">
        <v>0.3</v>
      </c>
      <c r="H1736" t="n">
        <v>1.7</v>
      </c>
      <c r="I1736" s="2" t="n">
        <v>17269</v>
      </c>
      <c r="J1736" t="n">
        <v>-13.9</v>
      </c>
      <c r="K1736" t="n">
        <v>-27.6</v>
      </c>
      <c r="L1736" s="2" t="n">
        <v>20936</v>
      </c>
      <c r="M1736" t="n">
        <v>-16.9</v>
      </c>
      <c r="N1736" t="inlineStr">
        <is>
          <t>20251110800010</t>
        </is>
      </c>
      <c r="O1736">
        <f>HYPERLINK("https://dart.fss.or.kr/dsaf001/main.do?rcpNo=20251110800010", "공시열람")</f>
        <v/>
      </c>
    </row>
    <row r="1737">
      <c r="A1737" t="inlineStr">
        <is>
          <t>2025-11-10</t>
        </is>
      </c>
      <c r="B1737" t="inlineStr">
        <is>
          <t>NHN KCP</t>
        </is>
      </c>
      <c r="C1737" t="inlineStr">
        <is>
          <t>060250</t>
        </is>
      </c>
      <c r="D1737" t="inlineStr">
        <is>
          <t>별도</t>
        </is>
      </c>
      <c r="E1737" t="inlineStr">
        <is>
          <t>2025Q3</t>
        </is>
      </c>
      <c r="F1737" s="2" t="n">
        <v>300354</v>
      </c>
      <c r="G1737" t="n">
        <v>5.8</v>
      </c>
      <c r="H1737" t="n">
        <v>10.7</v>
      </c>
      <c r="I1737" s="2" t="n">
        <v>15563</v>
      </c>
      <c r="J1737" t="n">
        <v>28.9</v>
      </c>
      <c r="K1737" t="n">
        <v>69.40000000000001</v>
      </c>
      <c r="L1737" s="2" t="n">
        <v>13877</v>
      </c>
      <c r="M1737" t="n">
        <v>69.7</v>
      </c>
      <c r="N1737" t="inlineStr">
        <is>
          <t>20251110900003</t>
        </is>
      </c>
      <c r="O1737">
        <f>HYPERLINK("https://dart.fss.or.kr/dsaf001/main.do?rcpNo=20251110900003", "공시열람")</f>
        <v/>
      </c>
    </row>
    <row r="1738">
      <c r="A1738" t="inlineStr">
        <is>
          <t>2025-11-10</t>
        </is>
      </c>
      <c r="B1738" t="inlineStr">
        <is>
          <t>NHN KCP</t>
        </is>
      </c>
      <c r="C1738" t="inlineStr">
        <is>
          <t>060250</t>
        </is>
      </c>
      <c r="D1738" t="inlineStr">
        <is>
          <t>연결</t>
        </is>
      </c>
      <c r="E1738" t="inlineStr">
        <is>
          <t>2025Q3</t>
        </is>
      </c>
      <c r="F1738" s="2" t="n">
        <v>317512</v>
      </c>
      <c r="G1738" t="n">
        <v>5.6</v>
      </c>
      <c r="H1738" t="n">
        <v>16.5</v>
      </c>
      <c r="I1738" s="2" t="n">
        <v>15763</v>
      </c>
      <c r="J1738" t="n">
        <v>27.4</v>
      </c>
      <c r="K1738" t="n">
        <v>79.40000000000001</v>
      </c>
      <c r="L1738" s="2" t="n">
        <v>13757</v>
      </c>
      <c r="M1738" t="n">
        <v>71</v>
      </c>
      <c r="N1738" t="inlineStr">
        <is>
          <t>20251110900002</t>
        </is>
      </c>
      <c r="O1738">
        <f>HYPERLINK("https://dart.fss.or.kr/dsaf001/main.do?rcpNo=20251110900002", "공시열람")</f>
        <v/>
      </c>
    </row>
    <row r="1739">
      <c r="A1739" t="inlineStr">
        <is>
          <t>2025-11-10</t>
        </is>
      </c>
      <c r="B1739" t="inlineStr">
        <is>
          <t>비엠티</t>
        </is>
      </c>
      <c r="C1739" t="inlineStr">
        <is>
          <t>086670</t>
        </is>
      </c>
      <c r="D1739" t="inlineStr">
        <is>
          <t>별도</t>
        </is>
      </c>
      <c r="E1739" t="inlineStr">
        <is>
          <t>2025Q3</t>
        </is>
      </c>
      <c r="F1739" s="2" t="n">
        <v>36810</v>
      </c>
      <c r="G1739" t="n">
        <v>-5.7</v>
      </c>
      <c r="H1739" t="n">
        <v>13.9</v>
      </c>
      <c r="I1739" s="2" t="n">
        <v>5938</v>
      </c>
      <c r="J1739" t="n">
        <v>44.9</v>
      </c>
      <c r="K1739" t="n">
        <v>84728.60000000001</v>
      </c>
      <c r="L1739" s="2" t="n">
        <v>12716</v>
      </c>
      <c r="M1739" t="inlineStr"/>
      <c r="N1739" t="inlineStr">
        <is>
          <t>20251110900112</t>
        </is>
      </c>
      <c r="O1739">
        <f>HYPERLINK("https://dart.fss.or.kr/dsaf001/main.do?rcpNo=20251110900112", "공시열람")</f>
        <v/>
      </c>
    </row>
    <row r="1740">
      <c r="A1740" t="inlineStr">
        <is>
          <t>2025-11-10</t>
        </is>
      </c>
      <c r="B1740" t="inlineStr">
        <is>
          <t>메디톡스</t>
        </is>
      </c>
      <c r="C1740" t="inlineStr">
        <is>
          <t>086900</t>
        </is>
      </c>
      <c r="D1740" t="inlineStr">
        <is>
          <t>연결</t>
        </is>
      </c>
      <c r="E1740" t="inlineStr">
        <is>
          <t>2025Q3</t>
        </is>
      </c>
      <c r="F1740" s="2" t="n">
        <v>61017</v>
      </c>
      <c r="G1740" t="n">
        <v>-1</v>
      </c>
      <c r="H1740" t="n">
        <v>13.3</v>
      </c>
      <c r="I1740" s="2" t="n">
        <v>8899</v>
      </c>
      <c r="J1740" t="n">
        <v>40.9</v>
      </c>
      <c r="K1740" t="n">
        <v>48.3</v>
      </c>
      <c r="L1740" s="2" t="n">
        <v>7199</v>
      </c>
      <c r="M1740" t="n">
        <v>90.5</v>
      </c>
      <c r="N1740" t="inlineStr">
        <is>
          <t>20251110900123</t>
        </is>
      </c>
      <c r="O1740">
        <f>HYPERLINK("https://dart.fss.or.kr/dsaf001/main.do?rcpNo=20251110900123", "공시열람")</f>
        <v/>
      </c>
    </row>
    <row r="1741">
      <c r="A1741" t="inlineStr">
        <is>
          <t>2025-11-10</t>
        </is>
      </c>
      <c r="B1741" t="inlineStr">
        <is>
          <t>영화금속</t>
        </is>
      </c>
      <c r="C1741" t="inlineStr">
        <is>
          <t>012280</t>
        </is>
      </c>
      <c r="D1741" t="inlineStr">
        <is>
          <t>별도</t>
        </is>
      </c>
      <c r="E1741" t="inlineStr">
        <is>
          <t>2025Q3</t>
        </is>
      </c>
      <c r="F1741" s="2" t="n">
        <v>85435</v>
      </c>
      <c r="G1741" t="n">
        <v>-11.9</v>
      </c>
      <c r="H1741" t="n">
        <v>4.7</v>
      </c>
      <c r="I1741" s="2" t="n">
        <v>3166</v>
      </c>
      <c r="J1741" t="n">
        <v>-52.8</v>
      </c>
      <c r="K1741" t="n">
        <v>45.5</v>
      </c>
      <c r="L1741" s="2" t="n">
        <v>2839</v>
      </c>
      <c r="M1741" t="n">
        <v>24.8</v>
      </c>
      <c r="N1741" t="inlineStr">
        <is>
          <t>20251110800127</t>
        </is>
      </c>
      <c r="O1741">
        <f>HYPERLINK("https://dart.fss.or.kr/dsaf001/main.do?rcpNo=20251110800127", "공시열람")</f>
        <v/>
      </c>
    </row>
    <row r="1742">
      <c r="A1742" t="inlineStr">
        <is>
          <t>2025-11-10</t>
        </is>
      </c>
      <c r="B1742" t="inlineStr">
        <is>
          <t>메쎄이상</t>
        </is>
      </c>
      <c r="C1742" t="inlineStr">
        <is>
          <t>408920</t>
        </is>
      </c>
      <c r="D1742" t="inlineStr">
        <is>
          <t>연결</t>
        </is>
      </c>
      <c r="E1742" t="inlineStr">
        <is>
          <t>2025Q3</t>
        </is>
      </c>
      <c r="F1742" s="2" t="n">
        <v>21946</v>
      </c>
      <c r="G1742" t="n">
        <v>25.87</v>
      </c>
      <c r="H1742" t="n">
        <v>58.96</v>
      </c>
      <c r="I1742" s="2" t="n">
        <v>6340</v>
      </c>
      <c r="J1742" t="n">
        <v>-1.98</v>
      </c>
      <c r="K1742" t="n">
        <v>100.73</v>
      </c>
      <c r="L1742" s="2" t="n">
        <v>4900</v>
      </c>
      <c r="M1742" t="n">
        <v>114.81</v>
      </c>
      <c r="N1742" t="inlineStr">
        <is>
          <t>20251110900159</t>
        </is>
      </c>
      <c r="O1742">
        <f>HYPERLINK("https://dart.fss.or.kr/dsaf001/main.do?rcpNo=20251110900159", "공시열람")</f>
        <v/>
      </c>
    </row>
    <row r="1743">
      <c r="A1743" t="inlineStr">
        <is>
          <t>2025-11-10</t>
        </is>
      </c>
      <c r="B1743" t="inlineStr">
        <is>
          <t>바텍</t>
        </is>
      </c>
      <c r="C1743" t="inlineStr">
        <is>
          <t>043150</t>
        </is>
      </c>
      <c r="D1743" t="inlineStr">
        <is>
          <t>연결</t>
        </is>
      </c>
      <c r="E1743" t="inlineStr">
        <is>
          <t>2025Q3</t>
        </is>
      </c>
      <c r="F1743" s="2" t="n">
        <v>100113</v>
      </c>
      <c r="G1743" t="n">
        <v>-9.5</v>
      </c>
      <c r="H1743" t="n">
        <v>14.7</v>
      </c>
      <c r="I1743" s="2" t="n">
        <v>12404</v>
      </c>
      <c r="J1743" t="n">
        <v>-26.5</v>
      </c>
      <c r="K1743" t="n">
        <v>-0.4</v>
      </c>
      <c r="L1743" s="2" t="n">
        <v>13662</v>
      </c>
      <c r="M1743" t="n">
        <v>87.90000000000001</v>
      </c>
      <c r="N1743" t="inlineStr">
        <is>
          <t>20251110900360</t>
        </is>
      </c>
      <c r="O1743">
        <f>HYPERLINK("https://dart.fss.or.kr/dsaf001/main.do?rcpNo=20251110900360", "공시열람")</f>
        <v/>
      </c>
    </row>
    <row r="1744">
      <c r="A1744" t="inlineStr">
        <is>
          <t>2025-11-10</t>
        </is>
      </c>
      <c r="B1744" t="inlineStr">
        <is>
          <t>심텍홀딩스</t>
        </is>
      </c>
      <c r="C1744" t="inlineStr">
        <is>
          <t>036710</t>
        </is>
      </c>
      <c r="D1744" t="inlineStr">
        <is>
          <t>연결</t>
        </is>
      </c>
      <c r="E1744" t="inlineStr">
        <is>
          <t>2025Q3</t>
        </is>
      </c>
      <c r="F1744" s="2" t="n">
        <v>398053</v>
      </c>
      <c r="G1744" t="n">
        <v>8.1</v>
      </c>
      <c r="H1744" t="n">
        <v>16.4</v>
      </c>
      <c r="I1744" s="2" t="n">
        <v>2533</v>
      </c>
      <c r="J1744" t="inlineStr"/>
      <c r="K1744" t="inlineStr"/>
      <c r="L1744" s="2" t="n">
        <v>2464</v>
      </c>
      <c r="M1744" t="n">
        <v>-93.2</v>
      </c>
      <c r="N1744" t="inlineStr">
        <is>
          <t>20251110900347</t>
        </is>
      </c>
      <c r="O1744">
        <f>HYPERLINK("https://dart.fss.or.kr/dsaf001/main.do?rcpNo=20251110900347", "공시열람")</f>
        <v/>
      </c>
    </row>
    <row r="1745">
      <c r="A1745" t="inlineStr">
        <is>
          <t>2025-11-10</t>
        </is>
      </c>
      <c r="B1745" t="inlineStr">
        <is>
          <t>레이언스</t>
        </is>
      </c>
      <c r="C1745" t="inlineStr">
        <is>
          <t>228850</t>
        </is>
      </c>
      <c r="D1745" t="inlineStr">
        <is>
          <t>연결</t>
        </is>
      </c>
      <c r="E1745" t="inlineStr">
        <is>
          <t>2025Q3</t>
        </is>
      </c>
      <c r="F1745" s="2" t="n">
        <v>29349</v>
      </c>
      <c r="G1745" t="n">
        <v>1.2</v>
      </c>
      <c r="H1745" t="n">
        <v>-5.6</v>
      </c>
      <c r="I1745" s="2" t="n">
        <v>1015</v>
      </c>
      <c r="J1745" t="inlineStr"/>
      <c r="K1745" t="n">
        <v>-36.4</v>
      </c>
      <c r="L1745" s="2" t="n">
        <v>2476</v>
      </c>
      <c r="M1745" t="n">
        <v>44.1</v>
      </c>
      <c r="N1745" t="inlineStr">
        <is>
          <t>20251110900377</t>
        </is>
      </c>
      <c r="O1745">
        <f>HYPERLINK("https://dart.fss.or.kr/dsaf001/main.do?rcpNo=20251110900377", "공시열람")</f>
        <v/>
      </c>
    </row>
    <row r="1746">
      <c r="A1746" t="inlineStr">
        <is>
          <t>2025-11-10</t>
        </is>
      </c>
      <c r="B1746" t="inlineStr">
        <is>
          <t>하이브</t>
        </is>
      </c>
      <c r="C1746" t="inlineStr">
        <is>
          <t>352820</t>
        </is>
      </c>
      <c r="D1746" t="inlineStr">
        <is>
          <t>연결</t>
        </is>
      </c>
      <c r="E1746" t="inlineStr">
        <is>
          <t>2025Q3</t>
        </is>
      </c>
      <c r="F1746" s="2" t="n">
        <v>727181</v>
      </c>
      <c r="G1746" t="n">
        <v>3.1</v>
      </c>
      <c r="H1746" t="n">
        <v>37.8</v>
      </c>
      <c r="I1746" s="2" t="n">
        <v>-42198</v>
      </c>
      <c r="J1746" t="inlineStr"/>
      <c r="K1746" t="inlineStr"/>
      <c r="L1746" s="2" t="n">
        <v>-52033</v>
      </c>
      <c r="M1746" t="inlineStr"/>
      <c r="N1746" t="inlineStr">
        <is>
          <t>20251110800357</t>
        </is>
      </c>
      <c r="O1746">
        <f>HYPERLINK("https://dart.fss.or.kr/dsaf001/main.do?rcpNo=20251110800357", "공시열람")</f>
        <v/>
      </c>
    </row>
    <row r="1747">
      <c r="A1747" t="inlineStr">
        <is>
          <t>2025-11-10</t>
        </is>
      </c>
      <c r="B1747" t="inlineStr">
        <is>
          <t>LG생활건강</t>
        </is>
      </c>
      <c r="C1747" t="inlineStr">
        <is>
          <t>051900</t>
        </is>
      </c>
      <c r="D1747" t="inlineStr">
        <is>
          <t>연결</t>
        </is>
      </c>
      <c r="E1747" t="inlineStr">
        <is>
          <t>2025Q3</t>
        </is>
      </c>
      <c r="F1747" s="2" t="n">
        <v>1580000</v>
      </c>
      <c r="G1747" t="n">
        <v>-1.6</v>
      </c>
      <c r="H1747" t="n">
        <v>-7.8</v>
      </c>
      <c r="I1747" s="2" t="n">
        <v>46200</v>
      </c>
      <c r="J1747" t="n">
        <v>-15.7</v>
      </c>
      <c r="K1747" t="n">
        <v>-56.5</v>
      </c>
      <c r="L1747" s="2" t="n">
        <v>23400</v>
      </c>
      <c r="M1747" t="n">
        <v>-68.2</v>
      </c>
      <c r="N1747" t="inlineStr">
        <is>
          <t>20251110800331</t>
        </is>
      </c>
      <c r="O1747">
        <f>HYPERLINK("https://dart.fss.or.kr/dsaf001/main.do?rcpNo=20251110800331", "공시열람")</f>
        <v/>
      </c>
    </row>
    <row r="1748">
      <c r="A1748" t="inlineStr">
        <is>
          <t>2025-11-10</t>
        </is>
      </c>
      <c r="B1748" t="inlineStr">
        <is>
          <t>덴티움</t>
        </is>
      </c>
      <c r="C1748" t="inlineStr">
        <is>
          <t>145720</t>
        </is>
      </c>
      <c r="D1748" t="inlineStr">
        <is>
          <t>연결</t>
        </is>
      </c>
      <c r="E1748" t="inlineStr">
        <is>
          <t>2025Q3</t>
        </is>
      </c>
      <c r="F1748" s="2" t="n">
        <v>78219</v>
      </c>
      <c r="G1748" t="n">
        <v>-4.9</v>
      </c>
      <c r="H1748" t="n">
        <v>-17.4</v>
      </c>
      <c r="I1748" s="2" t="n">
        <v>12471</v>
      </c>
      <c r="J1748" t="n">
        <v>-19.8</v>
      </c>
      <c r="K1748" t="n">
        <v>-48.8</v>
      </c>
      <c r="L1748" s="2" t="n">
        <v>3949</v>
      </c>
      <c r="M1748" t="n">
        <v>-73.2</v>
      </c>
      <c r="N1748" t="inlineStr">
        <is>
          <t>20251110800317</t>
        </is>
      </c>
      <c r="O1748">
        <f>HYPERLINK("https://dart.fss.or.kr/dsaf001/main.do?rcpNo=20251110800317", "공시열람")</f>
        <v/>
      </c>
    </row>
    <row r="1749">
      <c r="A1749" t="inlineStr">
        <is>
          <t>2025-11-10</t>
        </is>
      </c>
      <c r="B1749" t="inlineStr">
        <is>
          <t>씨앤씨인터내셔널</t>
        </is>
      </c>
      <c r="C1749" t="inlineStr">
        <is>
          <t>352480</t>
        </is>
      </c>
      <c r="D1749" t="inlineStr">
        <is>
          <t>연결</t>
        </is>
      </c>
      <c r="E1749" t="inlineStr">
        <is>
          <t>2025Q3</t>
        </is>
      </c>
      <c r="F1749" s="2" t="n">
        <v>75361</v>
      </c>
      <c r="G1749" t="n">
        <v>2</v>
      </c>
      <c r="H1749" t="n">
        <v>1.7</v>
      </c>
      <c r="I1749" s="2" t="n">
        <v>6898</v>
      </c>
      <c r="J1749" t="n">
        <v>-20.5</v>
      </c>
      <c r="K1749" t="n">
        <v>-3.6</v>
      </c>
      <c r="L1749" s="2" t="n">
        <v>7462</v>
      </c>
      <c r="M1749" t="n">
        <v>4263.7</v>
      </c>
      <c r="N1749" t="inlineStr">
        <is>
          <t>20251110900325</t>
        </is>
      </c>
      <c r="O1749">
        <f>HYPERLINK("https://dart.fss.or.kr/dsaf001/main.do?rcpNo=20251110900325", "공시열람")</f>
        <v/>
      </c>
    </row>
    <row r="1750">
      <c r="A1750" t="inlineStr">
        <is>
          <t>2025-11-10</t>
        </is>
      </c>
      <c r="B1750" t="inlineStr">
        <is>
          <t>한전KPS</t>
        </is>
      </c>
      <c r="C1750" t="inlineStr">
        <is>
          <t>051600</t>
        </is>
      </c>
      <c r="D1750" t="inlineStr">
        <is>
          <t>연결</t>
        </is>
      </c>
      <c r="E1750" t="inlineStr">
        <is>
          <t>2025Q3</t>
        </is>
      </c>
      <c r="F1750" s="2" t="n">
        <v>393685</v>
      </c>
      <c r="G1750" t="n">
        <v>-13.3</v>
      </c>
      <c r="H1750" t="n">
        <v>11.1</v>
      </c>
      <c r="I1750" s="2" t="n">
        <v>47431</v>
      </c>
      <c r="J1750" t="n">
        <v>-27.7</v>
      </c>
      <c r="K1750" t="n">
        <v>13</v>
      </c>
      <c r="L1750" s="2" t="n">
        <v>42705</v>
      </c>
      <c r="M1750" t="n">
        <v>26</v>
      </c>
      <c r="N1750" t="inlineStr">
        <is>
          <t>20251110800297</t>
        </is>
      </c>
      <c r="O1750">
        <f>HYPERLINK("https://dart.fss.or.kr/dsaf001/main.do?rcpNo=20251110800297", "공시열람")</f>
        <v/>
      </c>
    </row>
    <row r="1751">
      <c r="A1751" t="inlineStr">
        <is>
          <t>2025-11-10</t>
        </is>
      </c>
      <c r="B1751" t="inlineStr">
        <is>
          <t>휴온스</t>
        </is>
      </c>
      <c r="C1751" t="inlineStr">
        <is>
          <t>243070</t>
        </is>
      </c>
      <c r="D1751" t="inlineStr">
        <is>
          <t>연결</t>
        </is>
      </c>
      <c r="E1751" t="inlineStr">
        <is>
          <t>2025Q3</t>
        </is>
      </c>
      <c r="F1751" s="2" t="n">
        <v>153717</v>
      </c>
      <c r="G1751" t="n">
        <v>-1.5</v>
      </c>
      <c r="H1751" t="n">
        <v>4.7</v>
      </c>
      <c r="I1751" s="2" t="n">
        <v>9873</v>
      </c>
      <c r="J1751" t="n">
        <v>-24.4</v>
      </c>
      <c r="K1751" t="n">
        <v>13.7</v>
      </c>
      <c r="L1751" s="2" t="n">
        <v>8226</v>
      </c>
      <c r="M1751" t="n">
        <v>13.3</v>
      </c>
      <c r="N1751" t="inlineStr">
        <is>
          <t>20251110900256</t>
        </is>
      </c>
      <c r="O1751">
        <f>HYPERLINK("https://dart.fss.or.kr/dsaf001/main.do?rcpNo=20251110900256", "공시열람")</f>
        <v/>
      </c>
    </row>
    <row r="1752">
      <c r="A1752" t="inlineStr">
        <is>
          <t>2025-11-10</t>
        </is>
      </c>
      <c r="B1752" t="inlineStr">
        <is>
          <t>실리콘투</t>
        </is>
      </c>
      <c r="C1752" t="inlineStr">
        <is>
          <t>257720</t>
        </is>
      </c>
      <c r="D1752" t="inlineStr">
        <is>
          <t>연결</t>
        </is>
      </c>
      <c r="E1752" t="inlineStr">
        <is>
          <t>2025Q3</t>
        </is>
      </c>
      <c r="F1752" s="2" t="n">
        <v>299375</v>
      </c>
      <c r="G1752" t="n">
        <v>12.8</v>
      </c>
      <c r="H1752" t="n">
        <v>60.4</v>
      </c>
      <c r="I1752" s="2" t="n">
        <v>63073</v>
      </c>
      <c r="J1752" t="n">
        <v>20.9</v>
      </c>
      <c r="K1752" t="n">
        <v>48.1</v>
      </c>
      <c r="L1752" s="2" t="n">
        <v>58404</v>
      </c>
      <c r="M1752" t="n">
        <v>95.59999999999999</v>
      </c>
      <c r="N1752" t="inlineStr">
        <is>
          <t>20251110900206</t>
        </is>
      </c>
      <c r="O1752">
        <f>HYPERLINK("https://dart.fss.or.kr/dsaf001/main.do?rcpNo=20251110900206", "공시열람")</f>
        <v/>
      </c>
    </row>
    <row r="1753">
      <c r="A1753" t="inlineStr">
        <is>
          <t>2025-11-10</t>
        </is>
      </c>
      <c r="B1753" t="inlineStr">
        <is>
          <t>일신방직</t>
        </is>
      </c>
      <c r="C1753" t="inlineStr">
        <is>
          <t>003200</t>
        </is>
      </c>
      <c r="D1753" t="inlineStr">
        <is>
          <t>연결</t>
        </is>
      </c>
      <c r="E1753" t="inlineStr">
        <is>
          <t>2025Q3</t>
        </is>
      </c>
      <c r="F1753" s="2" t="n">
        <v>124271</v>
      </c>
      <c r="G1753" t="n">
        <v>2</v>
      </c>
      <c r="H1753" t="n">
        <v>3.7</v>
      </c>
      <c r="I1753" s="2" t="n">
        <v>923</v>
      </c>
      <c r="J1753" t="n">
        <v>-47.3</v>
      </c>
      <c r="K1753" t="inlineStr"/>
      <c r="L1753" s="2" t="n">
        <v>1142</v>
      </c>
      <c r="M1753" t="n">
        <v>-21.6</v>
      </c>
      <c r="N1753" t="inlineStr">
        <is>
          <t>20251110800189</t>
        </is>
      </c>
      <c r="O1753">
        <f>HYPERLINK("https://dart.fss.or.kr/dsaf001/main.do?rcpNo=20251110800189", "공시열람")</f>
        <v/>
      </c>
    </row>
    <row r="1754">
      <c r="A1754" t="inlineStr">
        <is>
          <t>2025-11-10</t>
        </is>
      </c>
      <c r="B1754" t="inlineStr">
        <is>
          <t>클래시스</t>
        </is>
      </c>
      <c r="C1754" t="inlineStr">
        <is>
          <t>214150</t>
        </is>
      </c>
      <c r="D1754" t="inlineStr">
        <is>
          <t>연결</t>
        </is>
      </c>
      <c r="E1754" t="inlineStr">
        <is>
          <t>2025Q3</t>
        </is>
      </c>
      <c r="F1754" s="2" t="n">
        <v>82997</v>
      </c>
      <c r="G1754" t="n">
        <v>-0.34</v>
      </c>
      <c r="H1754" t="n">
        <v>39.7</v>
      </c>
      <c r="I1754" s="2" t="n">
        <v>37618</v>
      </c>
      <c r="J1754" t="n">
        <v>-12.54</v>
      </c>
      <c r="K1754" t="n">
        <v>29.94</v>
      </c>
      <c r="L1754" s="2" t="n">
        <v>33109</v>
      </c>
      <c r="M1754" t="n">
        <v>100.79</v>
      </c>
      <c r="N1754" t="inlineStr">
        <is>
          <t>20251110900173</t>
        </is>
      </c>
      <c r="O1754">
        <f>HYPERLINK("https://dart.fss.or.kr/dsaf001/main.do?rcpNo=20251110900173", "공시열람")</f>
        <v/>
      </c>
    </row>
    <row r="1755">
      <c r="A1755" t="inlineStr">
        <is>
          <t>2025-11-10</t>
        </is>
      </c>
      <c r="B1755" t="inlineStr">
        <is>
          <t>NH농우바이오</t>
        </is>
      </c>
      <c r="C1755" t="inlineStr">
        <is>
          <t>054050</t>
        </is>
      </c>
      <c r="D1755" t="inlineStr">
        <is>
          <t>연결</t>
        </is>
      </c>
      <c r="E1755" t="inlineStr">
        <is>
          <t>2025Q3</t>
        </is>
      </c>
      <c r="F1755" s="2" t="n">
        <v>38876</v>
      </c>
      <c r="G1755" t="n">
        <v>-10.3</v>
      </c>
      <c r="H1755" t="n">
        <v>-1.1</v>
      </c>
      <c r="I1755" s="2" t="n">
        <v>3730</v>
      </c>
      <c r="J1755" t="n">
        <v>16.4</v>
      </c>
      <c r="K1755" t="n">
        <v>-42.7</v>
      </c>
      <c r="L1755" s="2" t="n">
        <v>4295</v>
      </c>
      <c r="M1755" t="n">
        <v>31.6</v>
      </c>
      <c r="N1755" t="inlineStr">
        <is>
          <t>20251110900166</t>
        </is>
      </c>
      <c r="O1755">
        <f>HYPERLINK("https://dart.fss.or.kr/dsaf001/main.do?rcpNo=20251110900166", "공시열람")</f>
        <v/>
      </c>
    </row>
    <row r="1756">
      <c r="A1756" t="inlineStr">
        <is>
          <t>2025-11-10</t>
        </is>
      </c>
      <c r="B1756" t="inlineStr">
        <is>
          <t>코스맥스</t>
        </is>
      </c>
      <c r="C1756" t="inlineStr">
        <is>
          <t>192820</t>
        </is>
      </c>
      <c r="D1756" t="inlineStr">
        <is>
          <t>연결</t>
        </is>
      </c>
      <c r="E1756" t="inlineStr">
        <is>
          <t>2025Q3</t>
        </is>
      </c>
      <c r="F1756" s="2" t="n">
        <v>585617</v>
      </c>
      <c r="G1756" t="n">
        <v>-6.09</v>
      </c>
      <c r="H1756" t="n">
        <v>10.53</v>
      </c>
      <c r="I1756" s="2" t="n">
        <v>42727</v>
      </c>
      <c r="J1756" t="n">
        <v>-29.74</v>
      </c>
      <c r="K1756" t="n">
        <v>-1.58</v>
      </c>
      <c r="L1756" s="2" t="n">
        <v>10665</v>
      </c>
      <c r="M1756" t="n">
        <v>-48.27</v>
      </c>
      <c r="N1756" t="inlineStr">
        <is>
          <t>20251110800303</t>
        </is>
      </c>
      <c r="O1756">
        <f>HYPERLINK("https://dart.fss.or.kr/dsaf001/main.do?rcpNo=20251110800303", "공시열람")</f>
        <v/>
      </c>
    </row>
    <row r="1757">
      <c r="A1757" t="inlineStr">
        <is>
          <t>2025-11-07</t>
        </is>
      </c>
      <c r="B1757" t="inlineStr">
        <is>
          <t>펌텍코리아</t>
        </is>
      </c>
      <c r="C1757" t="inlineStr">
        <is>
          <t>251970</t>
        </is>
      </c>
      <c r="D1757" t="inlineStr">
        <is>
          <t>연결</t>
        </is>
      </c>
      <c r="E1757" t="inlineStr">
        <is>
          <t>2025Q3</t>
        </is>
      </c>
      <c r="F1757" s="2" t="n">
        <v>97672</v>
      </c>
      <c r="G1757" t="n">
        <v>-7.4</v>
      </c>
      <c r="H1757" t="n">
        <v>14.6</v>
      </c>
      <c r="I1757" s="2" t="n">
        <v>15325</v>
      </c>
      <c r="J1757" t="n">
        <v>-21.1</v>
      </c>
      <c r="K1757" t="n">
        <v>23.3</v>
      </c>
      <c r="L1757" s="2" t="n">
        <v>13172</v>
      </c>
      <c r="M1757" t="n">
        <v>31.2</v>
      </c>
      <c r="N1757" t="inlineStr">
        <is>
          <t>20251107900520</t>
        </is>
      </c>
      <c r="O1757">
        <f>HYPERLINK("https://dart.fss.or.kr/dsaf001/main.do?rcpNo=20251107900520", "공시열람")</f>
        <v/>
      </c>
    </row>
    <row r="1758">
      <c r="A1758" t="inlineStr">
        <is>
          <t>2025-11-07</t>
        </is>
      </c>
      <c r="B1758" t="inlineStr">
        <is>
          <t>엠씨넥스</t>
        </is>
      </c>
      <c r="C1758" t="inlineStr">
        <is>
          <t>097520</t>
        </is>
      </c>
      <c r="D1758" t="inlineStr">
        <is>
          <t>연결</t>
        </is>
      </c>
      <c r="E1758" t="inlineStr">
        <is>
          <t>2025Q3</t>
        </is>
      </c>
      <c r="F1758" s="2" t="n">
        <v>303537</v>
      </c>
      <c r="G1758" t="n">
        <v>-7.01</v>
      </c>
      <c r="H1758" t="n">
        <v>23.86</v>
      </c>
      <c r="I1758" s="2" t="n">
        <v>6708</v>
      </c>
      <c r="J1758" t="n">
        <v>-58.52</v>
      </c>
      <c r="K1758" t="n">
        <v>118</v>
      </c>
      <c r="L1758" s="2" t="n">
        <v>9537</v>
      </c>
      <c r="M1758" t="n">
        <v>280.72</v>
      </c>
      <c r="N1758" t="inlineStr">
        <is>
          <t>20251107800582</t>
        </is>
      </c>
      <c r="O1758">
        <f>HYPERLINK("https://dart.fss.or.kr/dsaf001/main.do?rcpNo=20251107800582", "공시열람")</f>
        <v/>
      </c>
    </row>
    <row r="1759">
      <c r="A1759" t="inlineStr">
        <is>
          <t>2025-11-07</t>
        </is>
      </c>
      <c r="B1759" t="inlineStr">
        <is>
          <t>카카오</t>
        </is>
      </c>
      <c r="C1759" t="inlineStr">
        <is>
          <t>035720</t>
        </is>
      </c>
      <c r="D1759" t="inlineStr">
        <is>
          <t>연결</t>
        </is>
      </c>
      <c r="E1759" t="inlineStr">
        <is>
          <t>2025Q3</t>
        </is>
      </c>
      <c r="F1759" s="2" t="n">
        <v>2086580</v>
      </c>
      <c r="G1759" t="n">
        <v>2.9</v>
      </c>
      <c r="H1759" t="n">
        <v>8.6</v>
      </c>
      <c r="I1759" s="2" t="n">
        <v>208048</v>
      </c>
      <c r="J1759" t="n">
        <v>11.9</v>
      </c>
      <c r="K1759" t="n">
        <v>59.4</v>
      </c>
      <c r="L1759" s="2" t="n">
        <v>192863</v>
      </c>
      <c r="M1759" t="n">
        <v>145.6</v>
      </c>
      <c r="N1759" t="inlineStr">
        <is>
          <t>20251107800014</t>
        </is>
      </c>
      <c r="O1759">
        <f>HYPERLINK("https://dart.fss.or.kr/dsaf001/main.do?rcpNo=20251107800014", "공시열람")</f>
        <v/>
      </c>
    </row>
    <row r="1760">
      <c r="A1760" t="inlineStr">
        <is>
          <t>2025-11-07</t>
        </is>
      </c>
      <c r="B1760" t="inlineStr">
        <is>
          <t>DB</t>
        </is>
      </c>
      <c r="C1760" t="inlineStr">
        <is>
          <t>012030</t>
        </is>
      </c>
      <c r="D1760" t="inlineStr">
        <is>
          <t>연결</t>
        </is>
      </c>
      <c r="E1760" t="inlineStr">
        <is>
          <t>2025Q3</t>
        </is>
      </c>
      <c r="F1760" s="2" t="n">
        <v>159312</v>
      </c>
      <c r="G1760" t="n">
        <v>6.1</v>
      </c>
      <c r="H1760" t="n">
        <v>15.5</v>
      </c>
      <c r="I1760" s="2" t="n">
        <v>13003</v>
      </c>
      <c r="J1760" t="n">
        <v>46.5</v>
      </c>
      <c r="K1760" t="n">
        <v>76.3</v>
      </c>
      <c r="L1760" s="2" t="n">
        <v>26780</v>
      </c>
      <c r="M1760" t="n">
        <v>-56.3</v>
      </c>
      <c r="N1760" t="inlineStr">
        <is>
          <t>20251107800580</t>
        </is>
      </c>
      <c r="O1760">
        <f>HYPERLINK("https://dart.fss.or.kr/dsaf001/main.do?rcpNo=20251107800580", "공시열람")</f>
        <v/>
      </c>
    </row>
    <row r="1761">
      <c r="A1761" t="inlineStr">
        <is>
          <t>2025-11-07</t>
        </is>
      </c>
      <c r="B1761" t="inlineStr">
        <is>
          <t>KTis</t>
        </is>
      </c>
      <c r="C1761" t="inlineStr">
        <is>
          <t>058860</t>
        </is>
      </c>
      <c r="D1761" t="inlineStr">
        <is>
          <t>연결</t>
        </is>
      </c>
      <c r="E1761" t="inlineStr">
        <is>
          <t>2025Q3</t>
        </is>
      </c>
      <c r="F1761" s="2" t="n">
        <v>155990</v>
      </c>
      <c r="G1761" t="n">
        <v>10.8</v>
      </c>
      <c r="H1761" t="n">
        <v>9.6</v>
      </c>
      <c r="I1761" s="2" t="n">
        <v>6574</v>
      </c>
      <c r="J1761" t="n">
        <v>-0.2</v>
      </c>
      <c r="K1761" t="n">
        <v>6.9</v>
      </c>
      <c r="L1761" s="2" t="n">
        <v>24111</v>
      </c>
      <c r="M1761" t="n">
        <v>632.8</v>
      </c>
      <c r="N1761" t="inlineStr">
        <is>
          <t>20251107800679</t>
        </is>
      </c>
      <c r="O1761">
        <f>HYPERLINK("https://dart.fss.or.kr/dsaf001/main.do?rcpNo=20251107800679", "공시열람")</f>
        <v/>
      </c>
    </row>
    <row r="1762">
      <c r="A1762" t="inlineStr">
        <is>
          <t>2025-11-07</t>
        </is>
      </c>
      <c r="B1762" t="inlineStr">
        <is>
          <t>KTis</t>
        </is>
      </c>
      <c r="C1762" t="inlineStr">
        <is>
          <t>058860</t>
        </is>
      </c>
      <c r="D1762" t="inlineStr">
        <is>
          <t>별도</t>
        </is>
      </c>
      <c r="E1762" t="inlineStr">
        <is>
          <t>2025Q3</t>
        </is>
      </c>
      <c r="F1762" s="2" t="n">
        <v>151392</v>
      </c>
      <c r="G1762" t="n">
        <v>7.6</v>
      </c>
      <c r="H1762" t="n">
        <v>6.4</v>
      </c>
      <c r="I1762" s="2" t="n">
        <v>6524</v>
      </c>
      <c r="J1762" t="n">
        <v>-1</v>
      </c>
      <c r="K1762" t="n">
        <v>6.1</v>
      </c>
      <c r="L1762" s="2" t="n">
        <v>24037</v>
      </c>
      <c r="M1762" t="n">
        <v>630.6</v>
      </c>
      <c r="N1762" t="inlineStr">
        <is>
          <t>20251107800680</t>
        </is>
      </c>
      <c r="O1762">
        <f>HYPERLINK("https://dart.fss.or.kr/dsaf001/main.do?rcpNo=20251107800680", "공시열람")</f>
        <v/>
      </c>
    </row>
    <row r="1763">
      <c r="A1763" t="inlineStr">
        <is>
          <t>2025-11-07</t>
        </is>
      </c>
      <c r="B1763" t="inlineStr">
        <is>
          <t>웅진씽크빅</t>
        </is>
      </c>
      <c r="C1763" t="inlineStr">
        <is>
          <t>095720</t>
        </is>
      </c>
      <c r="D1763" t="inlineStr">
        <is>
          <t>연결</t>
        </is>
      </c>
      <c r="E1763" t="inlineStr">
        <is>
          <t>2025Q3</t>
        </is>
      </c>
      <c r="F1763" s="2" t="n">
        <v>199610</v>
      </c>
      <c r="G1763" t="n">
        <v>-3.1</v>
      </c>
      <c r="H1763" t="n">
        <v>-4.5</v>
      </c>
      <c r="I1763" s="2" t="n">
        <v>-926</v>
      </c>
      <c r="J1763" t="inlineStr"/>
      <c r="K1763" t="inlineStr"/>
      <c r="L1763" s="2" t="n">
        <v>-2575</v>
      </c>
      <c r="M1763" t="inlineStr"/>
      <c r="N1763" t="inlineStr">
        <is>
          <t>20251107800739</t>
        </is>
      </c>
      <c r="O1763">
        <f>HYPERLINK("https://dart.fss.or.kr/dsaf001/main.do?rcpNo=20251107800739", "공시열람")</f>
        <v/>
      </c>
    </row>
    <row r="1764">
      <c r="A1764" t="inlineStr">
        <is>
          <t>2025-11-07</t>
        </is>
      </c>
      <c r="B1764" t="inlineStr">
        <is>
          <t>코스맥스엔비티</t>
        </is>
      </c>
      <c r="C1764" t="inlineStr">
        <is>
          <t>222040</t>
        </is>
      </c>
      <c r="D1764" t="inlineStr">
        <is>
          <t>연결</t>
        </is>
      </c>
      <c r="E1764" t="inlineStr">
        <is>
          <t>2025Q3</t>
        </is>
      </c>
      <c r="F1764" s="2" t="n">
        <v>65669</v>
      </c>
      <c r="G1764" t="n">
        <v>-13.2</v>
      </c>
      <c r="H1764" t="n">
        <v>-23.5</v>
      </c>
      <c r="I1764" s="2" t="n">
        <v>-1162</v>
      </c>
      <c r="J1764" t="inlineStr"/>
      <c r="K1764" t="inlineStr"/>
      <c r="L1764" s="2" t="n">
        <v>-9142</v>
      </c>
      <c r="M1764" t="n">
        <v>-557.9</v>
      </c>
      <c r="N1764" t="inlineStr">
        <is>
          <t>20251107900743</t>
        </is>
      </c>
      <c r="O1764">
        <f>HYPERLINK("https://dart.fss.or.kr/dsaf001/main.do?rcpNo=20251107900743", "공시열람")</f>
        <v/>
      </c>
    </row>
    <row r="1765">
      <c r="A1765" t="inlineStr">
        <is>
          <t>2025-11-07</t>
        </is>
      </c>
      <c r="B1765" t="inlineStr">
        <is>
          <t>KG에코솔루션</t>
        </is>
      </c>
      <c r="C1765" t="inlineStr">
        <is>
          <t>151860</t>
        </is>
      </c>
      <c r="D1765" t="inlineStr">
        <is>
          <t>별도</t>
        </is>
      </c>
      <c r="E1765" t="inlineStr">
        <is>
          <t>2025Q3</t>
        </is>
      </c>
      <c r="F1765" s="2" t="n">
        <v>25364</v>
      </c>
      <c r="G1765" t="n">
        <v>45</v>
      </c>
      <c r="H1765" t="n">
        <v>89.3</v>
      </c>
      <c r="I1765" s="2" t="n">
        <v>708</v>
      </c>
      <c r="J1765" t="n">
        <v>17</v>
      </c>
      <c r="K1765" t="n">
        <v>637.5</v>
      </c>
      <c r="L1765" s="2" t="n">
        <v>-1093</v>
      </c>
      <c r="M1765" t="inlineStr"/>
      <c r="N1765" t="inlineStr">
        <is>
          <t>20251107900782</t>
        </is>
      </c>
      <c r="O1765">
        <f>HYPERLINK("https://dart.fss.or.kr/dsaf001/main.do?rcpNo=20251107900782", "공시열람")</f>
        <v/>
      </c>
    </row>
    <row r="1766">
      <c r="A1766" t="inlineStr">
        <is>
          <t>2025-11-07</t>
        </is>
      </c>
      <c r="B1766" t="inlineStr">
        <is>
          <t>HS효성</t>
        </is>
      </c>
      <c r="C1766" t="inlineStr">
        <is>
          <t>487570</t>
        </is>
      </c>
      <c r="D1766" t="inlineStr">
        <is>
          <t>연결</t>
        </is>
      </c>
      <c r="E1766" t="inlineStr">
        <is>
          <t>2025Q3</t>
        </is>
      </c>
      <c r="F1766" s="2" t="n">
        <v>408726</v>
      </c>
      <c r="G1766" t="n">
        <v>5.4</v>
      </c>
      <c r="H1766" t="n">
        <v>-10</v>
      </c>
      <c r="I1766" s="2" t="n">
        <v>12650</v>
      </c>
      <c r="J1766" t="n">
        <v>17.4</v>
      </c>
      <c r="K1766" t="n">
        <v>33.9</v>
      </c>
      <c r="L1766" s="2" t="n">
        <v>5635</v>
      </c>
      <c r="M1766" t="n">
        <v>942.1</v>
      </c>
      <c r="N1766" t="inlineStr">
        <is>
          <t>20251107800807</t>
        </is>
      </c>
      <c r="O1766">
        <f>HYPERLINK("https://dart.fss.or.kr/dsaf001/main.do?rcpNo=20251107800807", "공시열람")</f>
        <v/>
      </c>
    </row>
    <row r="1767">
      <c r="A1767" t="inlineStr">
        <is>
          <t>2025-11-07</t>
        </is>
      </c>
      <c r="B1767" t="inlineStr">
        <is>
          <t>심텍</t>
        </is>
      </c>
      <c r="C1767" t="inlineStr">
        <is>
          <t>222800</t>
        </is>
      </c>
      <c r="D1767" t="inlineStr">
        <is>
          <t>연결</t>
        </is>
      </c>
      <c r="E1767" t="inlineStr">
        <is>
          <t>2025Q3</t>
        </is>
      </c>
      <c r="F1767" s="2" t="n">
        <v>372839</v>
      </c>
      <c r="G1767" t="n">
        <v>9.4</v>
      </c>
      <c r="H1767" t="n">
        <v>14.8</v>
      </c>
      <c r="I1767" s="2" t="n">
        <v>12389</v>
      </c>
      <c r="J1767" t="n">
        <v>123.5</v>
      </c>
      <c r="K1767" t="n">
        <v>2328.3</v>
      </c>
      <c r="L1767" s="2" t="n">
        <v>6702</v>
      </c>
      <c r="M1767" t="n">
        <v>-68.59999999999999</v>
      </c>
      <c r="N1767" t="inlineStr">
        <is>
          <t>20251107900487</t>
        </is>
      </c>
      <c r="O1767">
        <f>HYPERLINK("https://dart.fss.or.kr/dsaf001/main.do?rcpNo=20251107900487", "공시열람")</f>
        <v/>
      </c>
    </row>
    <row r="1768">
      <c r="A1768" t="inlineStr">
        <is>
          <t>2025-11-07</t>
        </is>
      </c>
      <c r="B1768" t="inlineStr">
        <is>
          <t>네오팜</t>
        </is>
      </c>
      <c r="C1768" t="inlineStr">
        <is>
          <t>092730</t>
        </is>
      </c>
      <c r="D1768" t="inlineStr">
        <is>
          <t>연결</t>
        </is>
      </c>
      <c r="E1768" t="inlineStr">
        <is>
          <t>2025Q3</t>
        </is>
      </c>
      <c r="F1768" s="2" t="n">
        <v>32196</v>
      </c>
      <c r="G1768" t="n">
        <v>0.7</v>
      </c>
      <c r="H1768" t="n">
        <v>23.1</v>
      </c>
      <c r="I1768" s="2" t="n">
        <v>6768</v>
      </c>
      <c r="J1768" t="n">
        <v>-3.5</v>
      </c>
      <c r="K1768" t="n">
        <v>33.1</v>
      </c>
      <c r="L1768" s="2" t="n">
        <v>6859</v>
      </c>
      <c r="M1768" t="n">
        <v>58.2</v>
      </c>
      <c r="N1768" t="inlineStr">
        <is>
          <t>20251107900485</t>
        </is>
      </c>
      <c r="O1768">
        <f>HYPERLINK("https://dart.fss.or.kr/dsaf001/main.do?rcpNo=20251107900485", "공시열람")</f>
        <v/>
      </c>
    </row>
    <row r="1769">
      <c r="A1769" t="inlineStr">
        <is>
          <t>2025-11-07</t>
        </is>
      </c>
      <c r="B1769" t="inlineStr">
        <is>
          <t>화천기계</t>
        </is>
      </c>
      <c r="C1769" t="inlineStr">
        <is>
          <t>010660</t>
        </is>
      </c>
      <c r="D1769" t="inlineStr">
        <is>
          <t>별도</t>
        </is>
      </c>
      <c r="E1769" t="inlineStr">
        <is>
          <t>2025Q3</t>
        </is>
      </c>
      <c r="F1769" s="2" t="n">
        <v>53919</v>
      </c>
      <c r="G1769" t="n">
        <v>-19.5</v>
      </c>
      <c r="H1769" t="n">
        <v>-11.2</v>
      </c>
      <c r="I1769" s="2" t="n">
        <v>244</v>
      </c>
      <c r="J1769" t="n">
        <v>-88.3</v>
      </c>
      <c r="K1769" t="n">
        <v>-9.6</v>
      </c>
      <c r="L1769" s="2" t="n">
        <v>1686</v>
      </c>
      <c r="M1769" t="n">
        <v>161.8</v>
      </c>
      <c r="N1769" t="inlineStr">
        <is>
          <t>20251107800423</t>
        </is>
      </c>
      <c r="O1769">
        <f>HYPERLINK("https://dart.fss.or.kr/dsaf001/main.do?rcpNo=20251107800423", "공시열람")</f>
        <v/>
      </c>
    </row>
    <row r="1770">
      <c r="A1770" t="inlineStr">
        <is>
          <t>2025-11-07</t>
        </is>
      </c>
      <c r="B1770" t="inlineStr">
        <is>
          <t>한전기술</t>
        </is>
      </c>
      <c r="C1770" t="inlineStr">
        <is>
          <t>052690</t>
        </is>
      </c>
      <c r="D1770" t="inlineStr">
        <is>
          <t>연결</t>
        </is>
      </c>
      <c r="E1770" t="inlineStr">
        <is>
          <t>2025Q3</t>
        </is>
      </c>
      <c r="F1770" s="2" t="n">
        <v>114580</v>
      </c>
      <c r="G1770" t="n">
        <v>12</v>
      </c>
      <c r="H1770" t="n">
        <v>8.199999999999999</v>
      </c>
      <c r="I1770" s="2" t="n">
        <v>12255</v>
      </c>
      <c r="J1770" t="inlineStr"/>
      <c r="K1770" t="n">
        <v>116.2</v>
      </c>
      <c r="L1770" s="2" t="n">
        <v>11264</v>
      </c>
      <c r="M1770" t="n">
        <v>67.09999999999999</v>
      </c>
      <c r="N1770" t="inlineStr">
        <is>
          <t>20251107800515</t>
        </is>
      </c>
      <c r="O1770">
        <f>HYPERLINK("https://dart.fss.or.kr/dsaf001/main.do?rcpNo=20251107800515", "공시열람")</f>
        <v/>
      </c>
    </row>
    <row r="1771">
      <c r="A1771" t="inlineStr">
        <is>
          <t>2025-11-07</t>
        </is>
      </c>
      <c r="B1771" t="inlineStr">
        <is>
          <t>인터로조</t>
        </is>
      </c>
      <c r="C1771" t="inlineStr">
        <is>
          <t>119610</t>
        </is>
      </c>
      <c r="D1771" t="inlineStr">
        <is>
          <t>연결</t>
        </is>
      </c>
      <c r="E1771" t="inlineStr">
        <is>
          <t>2025Q3</t>
        </is>
      </c>
      <c r="F1771" s="2" t="n">
        <v>32354</v>
      </c>
      <c r="G1771" t="n">
        <v>3.2</v>
      </c>
      <c r="H1771" t="n">
        <v>-2.24</v>
      </c>
      <c r="I1771" s="2" t="n">
        <v>4719</v>
      </c>
      <c r="J1771" t="n">
        <v>-25.6</v>
      </c>
      <c r="K1771" t="n">
        <v>19.02</v>
      </c>
      <c r="L1771" s="2" t="inlineStr"/>
      <c r="M1771" t="inlineStr"/>
      <c r="N1771" t="inlineStr">
        <is>
          <t>20251107900451</t>
        </is>
      </c>
      <c r="O1771">
        <f>HYPERLINK("https://dart.fss.or.kr/dsaf001/main.do?rcpNo=20251107900451", "공시열람")</f>
        <v/>
      </c>
    </row>
    <row r="1772">
      <c r="A1772" t="inlineStr">
        <is>
          <t>2025-11-07</t>
        </is>
      </c>
      <c r="B1772" t="inlineStr">
        <is>
          <t>신세계인터내셔날</t>
        </is>
      </c>
      <c r="C1772" t="inlineStr">
        <is>
          <t>031430</t>
        </is>
      </c>
      <c r="D1772" t="inlineStr">
        <is>
          <t>연결</t>
        </is>
      </c>
      <c r="E1772" t="inlineStr">
        <is>
          <t>2025Q3</t>
        </is>
      </c>
      <c r="F1772" s="2" t="n">
        <v>310431</v>
      </c>
      <c r="G1772" t="n">
        <v>0.6</v>
      </c>
      <c r="H1772" t="n">
        <v>4.9</v>
      </c>
      <c r="I1772" s="2" t="n">
        <v>-2031</v>
      </c>
      <c r="J1772" t="n">
        <v>11.8</v>
      </c>
      <c r="K1772" t="inlineStr"/>
      <c r="L1772" s="2" t="n">
        <v>-2026</v>
      </c>
      <c r="M1772" t="inlineStr"/>
      <c r="N1772" t="inlineStr">
        <is>
          <t>20251107800224</t>
        </is>
      </c>
      <c r="O1772">
        <f>HYPERLINK("https://dart.fss.or.kr/dsaf001/main.do?rcpNo=20251107800224", "공시열람")</f>
        <v/>
      </c>
    </row>
    <row r="1773">
      <c r="A1773" t="inlineStr">
        <is>
          <t>2025-11-07</t>
        </is>
      </c>
      <c r="B1773" t="inlineStr">
        <is>
          <t>신세계</t>
        </is>
      </c>
      <c r="C1773" t="inlineStr">
        <is>
          <t>004170</t>
        </is>
      </c>
      <c r="D1773" t="inlineStr">
        <is>
          <t>별도</t>
        </is>
      </c>
      <c r="E1773" t="inlineStr">
        <is>
          <t>2025Q3</t>
        </is>
      </c>
      <c r="F1773" s="2" t="n">
        <v>185380</v>
      </c>
      <c r="G1773" t="n">
        <v>2.11</v>
      </c>
      <c r="H1773" t="n">
        <v>11.27</v>
      </c>
      <c r="I1773" s="2" t="inlineStr"/>
      <c r="J1773" t="inlineStr"/>
      <c r="K1773" t="inlineStr"/>
      <c r="L1773" s="2" t="inlineStr"/>
      <c r="M1773" t="inlineStr"/>
      <c r="N1773" t="inlineStr">
        <is>
          <t>20251107800207</t>
        </is>
      </c>
      <c r="O1773">
        <f>HYPERLINK("https://dart.fss.or.kr/dsaf001/main.do?rcpNo=20251107800207", "공시열람")</f>
        <v/>
      </c>
    </row>
    <row r="1774">
      <c r="A1774" t="inlineStr">
        <is>
          <t>2025-11-07</t>
        </is>
      </c>
      <c r="B1774" t="inlineStr">
        <is>
          <t>신세계</t>
        </is>
      </c>
      <c r="C1774" t="inlineStr">
        <is>
          <t>004170</t>
        </is>
      </c>
      <c r="D1774" t="inlineStr">
        <is>
          <t>연결</t>
        </is>
      </c>
      <c r="E1774" t="inlineStr">
        <is>
          <t>2025Q3</t>
        </is>
      </c>
      <c r="F1774" s="2" t="n">
        <v>1636132</v>
      </c>
      <c r="G1774" t="n">
        <v>-3.41</v>
      </c>
      <c r="H1774" t="n">
        <v>6.24</v>
      </c>
      <c r="I1774" s="2" t="n">
        <v>99753</v>
      </c>
      <c r="J1774" t="n">
        <v>32.4</v>
      </c>
      <c r="K1774" t="n">
        <v>7.32</v>
      </c>
      <c r="L1774" s="2" t="n">
        <v>48283</v>
      </c>
      <c r="M1774" t="n">
        <v>31.89</v>
      </c>
      <c r="N1774" t="inlineStr">
        <is>
          <t>20251107800201</t>
        </is>
      </c>
      <c r="O1774">
        <f>HYPERLINK("https://dart.fss.or.kr/dsaf001/main.do?rcpNo=20251107800201", "공시열람")</f>
        <v/>
      </c>
    </row>
    <row r="1775">
      <c r="A1775" t="inlineStr">
        <is>
          <t>2025-11-07</t>
        </is>
      </c>
      <c r="B1775" t="inlineStr">
        <is>
          <t>DS단석</t>
        </is>
      </c>
      <c r="C1775" t="inlineStr">
        <is>
          <t>017860</t>
        </is>
      </c>
      <c r="D1775" t="inlineStr">
        <is>
          <t>연결</t>
        </is>
      </c>
      <c r="E1775" t="inlineStr">
        <is>
          <t>2025Q3</t>
        </is>
      </c>
      <c r="F1775" s="2" t="n">
        <v>254834</v>
      </c>
      <c r="G1775" t="n">
        <v>14.93</v>
      </c>
      <c r="H1775" t="n">
        <v>-1.65</v>
      </c>
      <c r="I1775" s="2" t="n">
        <v>1368</v>
      </c>
      <c r="J1775" t="inlineStr"/>
      <c r="K1775" t="n">
        <v>-46.46</v>
      </c>
      <c r="L1775" s="2" t="n">
        <v>-1375</v>
      </c>
      <c r="M1775" t="n">
        <v>51.61</v>
      </c>
      <c r="N1775" t="inlineStr">
        <is>
          <t>20251107800200</t>
        </is>
      </c>
      <c r="O1775">
        <f>HYPERLINK("https://dart.fss.or.kr/dsaf001/main.do?rcpNo=20251107800200", "공시열람")</f>
        <v/>
      </c>
    </row>
    <row r="1776">
      <c r="A1776" t="inlineStr">
        <is>
          <t>2025-11-07</t>
        </is>
      </c>
      <c r="B1776" t="inlineStr">
        <is>
          <t>흥국에프엔비</t>
        </is>
      </c>
      <c r="C1776" t="inlineStr">
        <is>
          <t>189980</t>
        </is>
      </c>
      <c r="D1776" t="inlineStr">
        <is>
          <t>연결</t>
        </is>
      </c>
      <c r="E1776" t="inlineStr">
        <is>
          <t>2025Q3</t>
        </is>
      </c>
      <c r="F1776" s="2" t="n">
        <v>28576</v>
      </c>
      <c r="G1776" t="n">
        <v>12.68</v>
      </c>
      <c r="H1776" t="n">
        <v>11.5</v>
      </c>
      <c r="I1776" s="2" t="n">
        <v>3047</v>
      </c>
      <c r="J1776" t="n">
        <v>8.380000000000001</v>
      </c>
      <c r="K1776" t="n">
        <v>-13.32</v>
      </c>
      <c r="L1776" s="2" t="n">
        <v>1848</v>
      </c>
      <c r="M1776" t="n">
        <v>-28.82</v>
      </c>
      <c r="N1776" t="inlineStr">
        <is>
          <t>20251107900197</t>
        </is>
      </c>
      <c r="O1776">
        <f>HYPERLINK("https://dart.fss.or.kr/dsaf001/main.do?rcpNo=20251107900197", "공시열람")</f>
        <v/>
      </c>
    </row>
    <row r="1777">
      <c r="A1777" t="inlineStr">
        <is>
          <t>2025-11-07</t>
        </is>
      </c>
      <c r="B1777" t="inlineStr">
        <is>
          <t>한화엔진</t>
        </is>
      </c>
      <c r="C1777" t="inlineStr">
        <is>
          <t>082740</t>
        </is>
      </c>
      <c r="D1777" t="inlineStr">
        <is>
          <t>별도</t>
        </is>
      </c>
      <c r="E1777" t="inlineStr">
        <is>
          <t>2025Q3</t>
        </is>
      </c>
      <c r="F1777" s="2" t="n">
        <v>297345</v>
      </c>
      <c r="G1777" t="n">
        <v>-23.3</v>
      </c>
      <c r="H1777" t="n">
        <v>0.4</v>
      </c>
      <c r="I1777" s="2" t="n">
        <v>26631</v>
      </c>
      <c r="J1777" t="n">
        <v>-21.2</v>
      </c>
      <c r="K1777" t="n">
        <v>74.2</v>
      </c>
      <c r="L1777" s="2" t="n">
        <v>30300</v>
      </c>
      <c r="M1777" t="n">
        <v>186.2</v>
      </c>
      <c r="N1777" t="inlineStr">
        <is>
          <t>20251107800193</t>
        </is>
      </c>
      <c r="O1777">
        <f>HYPERLINK("https://dart.fss.or.kr/dsaf001/main.do?rcpNo=20251107800193", "공시열람")</f>
        <v/>
      </c>
    </row>
    <row r="1778">
      <c r="A1778" t="inlineStr">
        <is>
          <t>2025-11-07</t>
        </is>
      </c>
      <c r="B1778" t="inlineStr">
        <is>
          <t>하이록코리아</t>
        </is>
      </c>
      <c r="C1778" t="inlineStr">
        <is>
          <t>013030</t>
        </is>
      </c>
      <c r="D1778" t="inlineStr">
        <is>
          <t>연결</t>
        </is>
      </c>
      <c r="E1778" t="inlineStr">
        <is>
          <t>2025Q3</t>
        </is>
      </c>
      <c r="F1778" s="2" t="n">
        <v>53845</v>
      </c>
      <c r="G1778" t="n">
        <v>-0.9</v>
      </c>
      <c r="H1778" t="n">
        <v>18.9</v>
      </c>
      <c r="I1778" s="2" t="n">
        <v>14198</v>
      </c>
      <c r="J1778" t="n">
        <v>-13.6</v>
      </c>
      <c r="K1778" t="n">
        <v>4</v>
      </c>
      <c r="L1778" s="2" t="n">
        <v>13716</v>
      </c>
      <c r="M1778" t="n">
        <v>49.9</v>
      </c>
      <c r="N1778" t="inlineStr">
        <is>
          <t>20251107900157</t>
        </is>
      </c>
      <c r="O1778">
        <f>HYPERLINK("https://dart.fss.or.kr/dsaf001/main.do?rcpNo=20251107900157", "공시열람")</f>
        <v/>
      </c>
    </row>
    <row r="1779">
      <c r="A1779" t="inlineStr">
        <is>
          <t>2025-11-07</t>
        </is>
      </c>
      <c r="B1779" t="inlineStr">
        <is>
          <t>YG PLUS</t>
        </is>
      </c>
      <c r="C1779" t="inlineStr">
        <is>
          <t>037270</t>
        </is>
      </c>
      <c r="D1779" t="inlineStr">
        <is>
          <t>연결</t>
        </is>
      </c>
      <c r="E1779" t="inlineStr">
        <is>
          <t>2025Q3</t>
        </is>
      </c>
      <c r="F1779" s="2" t="n">
        <v>69889</v>
      </c>
      <c r="G1779" t="n">
        <v>44.63</v>
      </c>
      <c r="H1779" t="n">
        <v>70.47</v>
      </c>
      <c r="I1779" s="2" t="n">
        <v>14068</v>
      </c>
      <c r="J1779" t="n">
        <v>235.69</v>
      </c>
      <c r="K1779" t="inlineStr"/>
      <c r="L1779" s="2" t="n">
        <v>10460</v>
      </c>
      <c r="M1779" t="inlineStr"/>
      <c r="N1779" t="inlineStr">
        <is>
          <t>20251107800171</t>
        </is>
      </c>
      <c r="O1779">
        <f>HYPERLINK("https://dart.fss.or.kr/dsaf001/main.do?rcpNo=20251107800171", "공시열람")</f>
        <v/>
      </c>
    </row>
    <row r="1780">
      <c r="A1780" t="inlineStr">
        <is>
          <t>2025-11-07</t>
        </is>
      </c>
      <c r="B1780" t="inlineStr">
        <is>
          <t>와이지엔터테인먼트</t>
        </is>
      </c>
      <c r="C1780" t="inlineStr">
        <is>
          <t>122870</t>
        </is>
      </c>
      <c r="D1780" t="inlineStr">
        <is>
          <t>연결</t>
        </is>
      </c>
      <c r="E1780" t="inlineStr">
        <is>
          <t>2025Q3</t>
        </is>
      </c>
      <c r="F1780" s="2" t="n">
        <v>173071</v>
      </c>
      <c r="G1780" t="n">
        <v>72.40000000000001</v>
      </c>
      <c r="H1780" t="n">
        <v>107.2</v>
      </c>
      <c r="I1780" s="2" t="n">
        <v>31121</v>
      </c>
      <c r="J1780" t="n">
        <v>272.3</v>
      </c>
      <c r="K1780" t="inlineStr"/>
      <c r="L1780" s="2" t="n">
        <v>24418</v>
      </c>
      <c r="M1780" t="inlineStr"/>
      <c r="N1780" t="inlineStr">
        <is>
          <t>20251107900154</t>
        </is>
      </c>
      <c r="O1780">
        <f>HYPERLINK("https://dart.fss.or.kr/dsaf001/main.do?rcpNo=20251107900154", "공시열람")</f>
        <v/>
      </c>
    </row>
    <row r="1781">
      <c r="A1781" t="inlineStr">
        <is>
          <t>2025-11-07</t>
        </is>
      </c>
      <c r="B1781" t="inlineStr">
        <is>
          <t>빅텍</t>
        </is>
      </c>
      <c r="C1781" t="inlineStr">
        <is>
          <t>065450</t>
        </is>
      </c>
      <c r="D1781" t="inlineStr">
        <is>
          <t>연결</t>
        </is>
      </c>
      <c r="E1781" t="inlineStr">
        <is>
          <t>2025Q3</t>
        </is>
      </c>
      <c r="F1781" s="2" t="n">
        <v>24483</v>
      </c>
      <c r="G1781" t="n">
        <v>66.90000000000001</v>
      </c>
      <c r="H1781" t="n">
        <v>58</v>
      </c>
      <c r="I1781" s="2" t="n">
        <v>1426</v>
      </c>
      <c r="J1781" t="n">
        <v>65.59999999999999</v>
      </c>
      <c r="K1781" t="n">
        <v>808.2</v>
      </c>
      <c r="L1781" s="2" t="n">
        <v>374</v>
      </c>
      <c r="M1781" t="n">
        <v>-65.09999999999999</v>
      </c>
      <c r="N1781" t="inlineStr">
        <is>
          <t>20251107900150</t>
        </is>
      </c>
      <c r="O1781">
        <f>HYPERLINK("https://dart.fss.or.kr/dsaf001/main.do?rcpNo=20251107900150", "공시열람")</f>
        <v/>
      </c>
    </row>
    <row r="1782">
      <c r="A1782" t="inlineStr">
        <is>
          <t>2025-11-07</t>
        </is>
      </c>
      <c r="B1782" t="inlineStr">
        <is>
          <t>비씨엔씨</t>
        </is>
      </c>
      <c r="C1782" t="inlineStr">
        <is>
          <t>146320</t>
        </is>
      </c>
      <c r="D1782" t="inlineStr">
        <is>
          <t>별도</t>
        </is>
      </c>
      <c r="E1782" t="inlineStr">
        <is>
          <t>2025Q3</t>
        </is>
      </c>
      <c r="F1782" s="2" t="n">
        <v>21969</v>
      </c>
      <c r="G1782" t="n">
        <v>1.8</v>
      </c>
      <c r="H1782" t="n">
        <v>14.3</v>
      </c>
      <c r="I1782" s="2" t="n">
        <v>1421</v>
      </c>
      <c r="J1782" t="n">
        <v>-14.9</v>
      </c>
      <c r="K1782" t="n">
        <v>1130.2</v>
      </c>
      <c r="L1782" s="2" t="n">
        <v>1661</v>
      </c>
      <c r="M1782" t="n">
        <v>751.7</v>
      </c>
      <c r="N1782" t="inlineStr">
        <is>
          <t>20251107900125</t>
        </is>
      </c>
      <c r="O1782">
        <f>HYPERLINK("https://dart.fss.or.kr/dsaf001/main.do?rcpNo=20251107900125", "공시열람")</f>
        <v/>
      </c>
    </row>
    <row r="1783">
      <c r="A1783" t="inlineStr">
        <is>
          <t>2025-11-07</t>
        </is>
      </c>
      <c r="B1783" t="inlineStr">
        <is>
          <t>해성디에스</t>
        </is>
      </c>
      <c r="C1783" t="inlineStr">
        <is>
          <t>195870</t>
        </is>
      </c>
      <c r="D1783" t="inlineStr">
        <is>
          <t>연결</t>
        </is>
      </c>
      <c r="E1783" t="inlineStr">
        <is>
          <t>2025Q3</t>
        </is>
      </c>
      <c r="F1783" s="2" t="n">
        <v>178600</v>
      </c>
      <c r="G1783" t="n">
        <v>13.5</v>
      </c>
      <c r="H1783" t="n">
        <v>19.5</v>
      </c>
      <c r="I1783" s="2" t="n">
        <v>16100</v>
      </c>
      <c r="J1783" t="n">
        <v>95.8</v>
      </c>
      <c r="K1783" t="n">
        <v>37.6</v>
      </c>
      <c r="L1783" s="2" t="n">
        <v>14100</v>
      </c>
      <c r="M1783" t="n">
        <v>136.2</v>
      </c>
      <c r="N1783" t="inlineStr">
        <is>
          <t>20251107800107</t>
        </is>
      </c>
      <c r="O1783">
        <f>HYPERLINK("https://dart.fss.or.kr/dsaf001/main.do?rcpNo=20251107800107", "공시열람")</f>
        <v/>
      </c>
    </row>
    <row r="1784">
      <c r="A1784" t="inlineStr">
        <is>
          <t>2025-11-07</t>
        </is>
      </c>
      <c r="B1784" t="inlineStr">
        <is>
          <t>코웨이</t>
        </is>
      </c>
      <c r="C1784" t="inlineStr">
        <is>
          <t>021240</t>
        </is>
      </c>
      <c r="D1784" t="inlineStr">
        <is>
          <t>연결</t>
        </is>
      </c>
      <c r="E1784" t="inlineStr">
        <is>
          <t>2025Q3</t>
        </is>
      </c>
      <c r="F1784" s="2" t="n">
        <v>1254401</v>
      </c>
      <c r="G1784" t="n">
        <v>-0.4</v>
      </c>
      <c r="H1784" t="n">
        <v>14</v>
      </c>
      <c r="I1784" s="2" t="n">
        <v>243057</v>
      </c>
      <c r="J1784" t="n">
        <v>0.1</v>
      </c>
      <c r="K1784" t="n">
        <v>17.4</v>
      </c>
      <c r="L1784" s="2" t="n">
        <v>175961</v>
      </c>
      <c r="M1784" t="n">
        <v>-2</v>
      </c>
      <c r="N1784" t="inlineStr">
        <is>
          <t>20251107800103</t>
        </is>
      </c>
      <c r="O1784">
        <f>HYPERLINK("https://dart.fss.or.kr/dsaf001/main.do?rcpNo=20251107800103", "공시열람")</f>
        <v/>
      </c>
    </row>
    <row r="1785">
      <c r="A1785" t="inlineStr">
        <is>
          <t>2025-11-07</t>
        </is>
      </c>
      <c r="B1785" t="inlineStr">
        <is>
          <t>지역난방공사</t>
        </is>
      </c>
      <c r="C1785" t="inlineStr">
        <is>
          <t>071320</t>
        </is>
      </c>
      <c r="D1785" t="inlineStr">
        <is>
          <t>연결</t>
        </is>
      </c>
      <c r="E1785" t="inlineStr">
        <is>
          <t>2025Q3</t>
        </is>
      </c>
      <c r="F1785" s="2" t="n">
        <v>758200</v>
      </c>
      <c r="G1785" t="n">
        <v>21.7</v>
      </c>
      <c r="H1785" t="n">
        <v>29.59</v>
      </c>
      <c r="I1785" s="2" t="n">
        <v>89374</v>
      </c>
      <c r="J1785" t="inlineStr"/>
      <c r="K1785" t="n">
        <v>209.62</v>
      </c>
      <c r="L1785" s="2" t="n">
        <v>49021</v>
      </c>
      <c r="M1785" t="n">
        <v>50.33</v>
      </c>
      <c r="N1785" t="inlineStr">
        <is>
          <t>20251107800094</t>
        </is>
      </c>
      <c r="O1785">
        <f>HYPERLINK("https://dart.fss.or.kr/dsaf001/main.do?rcpNo=20251107800094", "공시열람")</f>
        <v/>
      </c>
    </row>
    <row r="1786">
      <c r="A1786" t="inlineStr">
        <is>
          <t>2025-11-07</t>
        </is>
      </c>
      <c r="B1786" t="inlineStr">
        <is>
          <t>케이티</t>
        </is>
      </c>
      <c r="C1786" t="inlineStr">
        <is>
          <t>030200</t>
        </is>
      </c>
      <c r="D1786" t="inlineStr">
        <is>
          <t>연결</t>
        </is>
      </c>
      <c r="E1786" t="inlineStr">
        <is>
          <t>2025Q3</t>
        </is>
      </c>
      <c r="F1786" s="2" t="n">
        <v>7126700</v>
      </c>
      <c r="G1786" t="n">
        <v>-4</v>
      </c>
      <c r="H1786" t="n">
        <v>7.1</v>
      </c>
      <c r="I1786" s="2" t="n">
        <v>538200</v>
      </c>
      <c r="J1786" t="n">
        <v>-47</v>
      </c>
      <c r="K1786" t="n">
        <v>16</v>
      </c>
      <c r="L1786" s="2" t="n">
        <v>445300</v>
      </c>
      <c r="M1786" t="n">
        <v>16.2</v>
      </c>
      <c r="N1786" t="inlineStr">
        <is>
          <t>20251107800080</t>
        </is>
      </c>
      <c r="O1786">
        <f>HYPERLINK("https://dart.fss.or.kr/dsaf001/main.do?rcpNo=20251107800080", "공시열람")</f>
        <v/>
      </c>
    </row>
    <row r="1787">
      <c r="A1787" t="inlineStr">
        <is>
          <t>2025-11-07</t>
        </is>
      </c>
      <c r="B1787" t="inlineStr">
        <is>
          <t>케이티</t>
        </is>
      </c>
      <c r="C1787" t="inlineStr">
        <is>
          <t>030200</t>
        </is>
      </c>
      <c r="D1787" t="inlineStr">
        <is>
          <t>별도</t>
        </is>
      </c>
      <c r="E1787" t="inlineStr">
        <is>
          <t>2025Q3</t>
        </is>
      </c>
      <c r="F1787" s="2" t="n">
        <v>5109000</v>
      </c>
      <c r="G1787" t="n">
        <v>7</v>
      </c>
      <c r="H1787" t="n">
        <v>7.2</v>
      </c>
      <c r="I1787" s="2" t="n">
        <v>340900</v>
      </c>
      <c r="J1787" t="n">
        <v>-27.3</v>
      </c>
      <c r="K1787" t="n">
        <v>0.6</v>
      </c>
      <c r="L1787" s="2" t="n">
        <v>289700</v>
      </c>
      <c r="M1787" t="n">
        <v>-6.5</v>
      </c>
      <c r="N1787" t="inlineStr">
        <is>
          <t>20251107800078</t>
        </is>
      </c>
      <c r="O1787">
        <f>HYPERLINK("https://dart.fss.or.kr/dsaf001/main.do?rcpNo=20251107800078", "공시열람")</f>
        <v/>
      </c>
    </row>
    <row r="1788">
      <c r="A1788" t="inlineStr">
        <is>
          <t>2025-11-07</t>
        </is>
      </c>
      <c r="B1788" t="inlineStr">
        <is>
          <t>대웅제약</t>
        </is>
      </c>
      <c r="C1788" t="inlineStr">
        <is>
          <t>069620</t>
        </is>
      </c>
      <c r="D1788" t="inlineStr">
        <is>
          <t>별도</t>
        </is>
      </c>
      <c r="E1788" t="inlineStr">
        <is>
          <t>2025Q3</t>
        </is>
      </c>
      <c r="F1788" s="2" t="n">
        <v>355091</v>
      </c>
      <c r="G1788" t="n">
        <v>-2.43</v>
      </c>
      <c r="H1788" t="n">
        <v>12.4</v>
      </c>
      <c r="I1788" s="2" t="n">
        <v>53527</v>
      </c>
      <c r="J1788" t="n">
        <v>-14.37</v>
      </c>
      <c r="K1788" t="n">
        <v>30.1</v>
      </c>
      <c r="L1788" s="2" t="n">
        <v>43091</v>
      </c>
      <c r="M1788" t="n">
        <v>34.89</v>
      </c>
      <c r="N1788" t="inlineStr">
        <is>
          <t>20251107800075</t>
        </is>
      </c>
      <c r="O1788">
        <f>HYPERLINK("https://dart.fss.or.kr/dsaf001/main.do?rcpNo=20251107800075", "공시열람")</f>
        <v/>
      </c>
    </row>
    <row r="1789">
      <c r="A1789" t="inlineStr">
        <is>
          <t>2025-11-07</t>
        </is>
      </c>
      <c r="B1789" t="inlineStr">
        <is>
          <t>한국콜마</t>
        </is>
      </c>
      <c r="C1789" t="inlineStr">
        <is>
          <t>161890</t>
        </is>
      </c>
      <c r="D1789" t="inlineStr">
        <is>
          <t>연결</t>
        </is>
      </c>
      <c r="E1789" t="inlineStr">
        <is>
          <t>2025Q3</t>
        </is>
      </c>
      <c r="F1789" s="2" t="n">
        <v>683015</v>
      </c>
      <c r="G1789" t="n">
        <v>-6.55</v>
      </c>
      <c r="H1789" t="n">
        <v>9.02</v>
      </c>
      <c r="I1789" s="2" t="n">
        <v>58330</v>
      </c>
      <c r="J1789" t="n">
        <v>-20.61</v>
      </c>
      <c r="K1789" t="n">
        <v>6.95</v>
      </c>
      <c r="L1789" s="2" t="n">
        <v>42379</v>
      </c>
      <c r="M1789" t="n">
        <v>79.25</v>
      </c>
      <c r="N1789" t="inlineStr">
        <is>
          <t>20251107800058</t>
        </is>
      </c>
      <c r="O1789">
        <f>HYPERLINK("https://dart.fss.or.kr/dsaf001/main.do?rcpNo=20251107800058", "공시열람")</f>
        <v/>
      </c>
    </row>
    <row r="1790">
      <c r="A1790" t="inlineStr">
        <is>
          <t>2025-11-07</t>
        </is>
      </c>
      <c r="B1790" t="inlineStr">
        <is>
          <t>한국콜마</t>
        </is>
      </c>
      <c r="C1790" t="inlineStr">
        <is>
          <t>161890</t>
        </is>
      </c>
      <c r="D1790" t="inlineStr">
        <is>
          <t>별도</t>
        </is>
      </c>
      <c r="E1790" t="inlineStr">
        <is>
          <t>2025Q3</t>
        </is>
      </c>
      <c r="F1790" s="2" t="n">
        <v>321983</v>
      </c>
      <c r="G1790" t="n">
        <v>-1.88</v>
      </c>
      <c r="H1790" t="n">
        <v>17.66</v>
      </c>
      <c r="I1790" s="2" t="n">
        <v>44315</v>
      </c>
      <c r="J1790" t="n">
        <v>-9.619999999999999</v>
      </c>
      <c r="K1790" t="n">
        <v>19</v>
      </c>
      <c r="L1790" s="2" t="n">
        <v>34801</v>
      </c>
      <c r="M1790" t="n">
        <v>-0.13</v>
      </c>
      <c r="N1790" t="inlineStr">
        <is>
          <t>20251107800056</t>
        </is>
      </c>
      <c r="O1790">
        <f>HYPERLINK("https://dart.fss.or.kr/dsaf001/main.do?rcpNo=20251107800056", "공시열람")</f>
        <v/>
      </c>
    </row>
    <row r="1791">
      <c r="A1791" t="inlineStr">
        <is>
          <t>2025-11-07</t>
        </is>
      </c>
      <c r="B1791" t="inlineStr">
        <is>
          <t>롯데쇼핑</t>
        </is>
      </c>
      <c r="C1791" t="inlineStr">
        <is>
          <t>023530</t>
        </is>
      </c>
      <c r="D1791" t="inlineStr">
        <is>
          <t>연결</t>
        </is>
      </c>
      <c r="E1791" t="inlineStr">
        <is>
          <t>2025Q3</t>
        </is>
      </c>
      <c r="F1791" s="2" t="n">
        <v>3410063</v>
      </c>
      <c r="G1791" t="n">
        <v>1.8</v>
      </c>
      <c r="H1791" t="n">
        <v>-4.4</v>
      </c>
      <c r="I1791" s="2" t="n">
        <v>130510</v>
      </c>
      <c r="J1791" t="n">
        <v>221.1</v>
      </c>
      <c r="K1791" t="n">
        <v>-15.8</v>
      </c>
      <c r="L1791" s="2" t="n">
        <v>-48745</v>
      </c>
      <c r="M1791" t="inlineStr"/>
      <c r="N1791" t="inlineStr">
        <is>
          <t>20251107800038</t>
        </is>
      </c>
      <c r="O1791">
        <f>HYPERLINK("https://dart.fss.or.kr/dsaf001/main.do?rcpNo=20251107800038", "공시열람")</f>
        <v/>
      </c>
    </row>
    <row r="1792">
      <c r="A1792" t="inlineStr">
        <is>
          <t>2025-11-07</t>
        </is>
      </c>
      <c r="B1792" t="inlineStr">
        <is>
          <t>CJ대한통운</t>
        </is>
      </c>
      <c r="C1792" t="inlineStr">
        <is>
          <t>000120</t>
        </is>
      </c>
      <c r="D1792" t="inlineStr">
        <is>
          <t>연결</t>
        </is>
      </c>
      <c r="E1792" t="inlineStr">
        <is>
          <t>2025Q3</t>
        </is>
      </c>
      <c r="F1792" s="2" t="n">
        <v>3066608</v>
      </c>
      <c r="G1792" t="n">
        <v>0.6</v>
      </c>
      <c r="H1792" t="n">
        <v>3.1</v>
      </c>
      <c r="I1792" s="2" t="n">
        <v>147907</v>
      </c>
      <c r="J1792" t="n">
        <v>28.3</v>
      </c>
      <c r="K1792" t="n">
        <v>4.4</v>
      </c>
      <c r="L1792" s="2" t="n">
        <v>73427</v>
      </c>
      <c r="M1792" t="n">
        <v>22.4</v>
      </c>
      <c r="N1792" t="inlineStr">
        <is>
          <t>20251107800035</t>
        </is>
      </c>
      <c r="O1792">
        <f>HYPERLINK("https://dart.fss.or.kr/dsaf001/main.do?rcpNo=20251107800035", "공시열람")</f>
        <v/>
      </c>
    </row>
    <row r="1793">
      <c r="A1793" t="inlineStr">
        <is>
          <t>2025-11-07</t>
        </is>
      </c>
      <c r="B1793" t="inlineStr">
        <is>
          <t>광주신세계</t>
        </is>
      </c>
      <c r="C1793" t="inlineStr">
        <is>
          <t>037710</t>
        </is>
      </c>
      <c r="D1793" t="inlineStr">
        <is>
          <t>별도</t>
        </is>
      </c>
      <c r="E1793" t="inlineStr">
        <is>
          <t>2025Q3</t>
        </is>
      </c>
      <c r="F1793" s="2" t="n">
        <v>41379</v>
      </c>
      <c r="G1793" t="n">
        <v>-7.1</v>
      </c>
      <c r="H1793" t="n">
        <v>-3.9</v>
      </c>
      <c r="I1793" s="2" t="n">
        <v>10081</v>
      </c>
      <c r="J1793" t="n">
        <v>-14.4</v>
      </c>
      <c r="K1793" t="n">
        <v>-5.7</v>
      </c>
      <c r="L1793" s="2" t="n">
        <v>8468</v>
      </c>
      <c r="M1793" t="n">
        <v>-9.199999999999999</v>
      </c>
      <c r="N1793" t="inlineStr">
        <is>
          <t>20251107800234</t>
        </is>
      </c>
      <c r="O1793">
        <f>HYPERLINK("https://dart.fss.or.kr/dsaf001/main.do?rcpNo=20251107800234", "공시열람")</f>
        <v/>
      </c>
    </row>
    <row r="1794">
      <c r="A1794" t="inlineStr">
        <is>
          <t>2025-11-07</t>
        </is>
      </c>
      <c r="B1794" t="inlineStr">
        <is>
          <t>토비스</t>
        </is>
      </c>
      <c r="C1794" t="inlineStr">
        <is>
          <t>051360</t>
        </is>
      </c>
      <c r="D1794" t="inlineStr">
        <is>
          <t>연결</t>
        </is>
      </c>
      <c r="E1794" t="inlineStr">
        <is>
          <t>2025Q3</t>
        </is>
      </c>
      <c r="F1794" s="2" t="n">
        <v>164681</v>
      </c>
      <c r="G1794" t="n">
        <v>-1</v>
      </c>
      <c r="H1794" t="n">
        <v>1</v>
      </c>
      <c r="I1794" s="2" t="n">
        <v>16588</v>
      </c>
      <c r="J1794" t="n">
        <v>-9.5</v>
      </c>
      <c r="K1794" t="n">
        <v>-6.5</v>
      </c>
      <c r="L1794" s="2" t="n">
        <v>13594</v>
      </c>
      <c r="M1794" t="n">
        <v>-24.6</v>
      </c>
      <c r="N1794" t="inlineStr">
        <is>
          <t>20251107900230</t>
        </is>
      </c>
      <c r="O1794">
        <f>HYPERLINK("https://dart.fss.or.kr/dsaf001/main.do?rcpNo=20251107900230", "공시열람")</f>
        <v/>
      </c>
    </row>
    <row r="1795">
      <c r="A1795" t="inlineStr">
        <is>
          <t>2025-11-07</t>
        </is>
      </c>
      <c r="B1795" t="inlineStr">
        <is>
          <t>광주신세계</t>
        </is>
      </c>
      <c r="C1795" t="inlineStr">
        <is>
          <t>037710</t>
        </is>
      </c>
      <c r="D1795" t="inlineStr">
        <is>
          <t>별도</t>
        </is>
      </c>
      <c r="E1795" t="inlineStr">
        <is>
          <t>2025Q3</t>
        </is>
      </c>
      <c r="F1795" s="2" t="n">
        <v>17456</v>
      </c>
      <c r="G1795" t="n">
        <v>12.9</v>
      </c>
      <c r="H1795" t="n">
        <v>4</v>
      </c>
      <c r="I1795" s="2" t="inlineStr"/>
      <c r="J1795" t="inlineStr"/>
      <c r="K1795" t="inlineStr"/>
      <c r="L1795" s="2" t="inlineStr"/>
      <c r="M1795" t="inlineStr"/>
      <c r="N1795" t="inlineStr">
        <is>
          <t>20251107800236</t>
        </is>
      </c>
      <c r="O1795">
        <f>HYPERLINK("https://dart.fss.or.kr/dsaf001/main.do?rcpNo=20251107800236", "공시열람")</f>
        <v/>
      </c>
    </row>
    <row r="1796">
      <c r="A1796" t="inlineStr">
        <is>
          <t>2025-11-07</t>
        </is>
      </c>
      <c r="B1796" t="inlineStr">
        <is>
          <t>티케이지휴켐스</t>
        </is>
      </c>
      <c r="C1796" t="inlineStr">
        <is>
          <t>069260</t>
        </is>
      </c>
      <c r="D1796" t="inlineStr">
        <is>
          <t>연결</t>
        </is>
      </c>
      <c r="E1796" t="inlineStr">
        <is>
          <t>2025Q3</t>
        </is>
      </c>
      <c r="F1796" s="2" t="n">
        <v>291740</v>
      </c>
      <c r="G1796" t="n">
        <v>0.5</v>
      </c>
      <c r="H1796" t="n">
        <v>-1</v>
      </c>
      <c r="I1796" s="2" t="n">
        <v>26397</v>
      </c>
      <c r="J1796" t="n">
        <v>20</v>
      </c>
      <c r="K1796" t="n">
        <v>35</v>
      </c>
      <c r="L1796" s="2" t="n">
        <v>28298</v>
      </c>
      <c r="M1796" t="n">
        <v>57.2</v>
      </c>
      <c r="N1796" t="inlineStr">
        <is>
          <t>20251107800408</t>
        </is>
      </c>
      <c r="O1796">
        <f>HYPERLINK("https://dart.fss.or.kr/dsaf001/main.do?rcpNo=20251107800408", "공시열람")</f>
        <v/>
      </c>
    </row>
    <row r="1797">
      <c r="A1797" t="inlineStr">
        <is>
          <t>2025-11-07</t>
        </is>
      </c>
      <c r="B1797" t="inlineStr">
        <is>
          <t>웹젠</t>
        </is>
      </c>
      <c r="C1797" t="inlineStr">
        <is>
          <t>069080</t>
        </is>
      </c>
      <c r="D1797" t="inlineStr">
        <is>
          <t>연결</t>
        </is>
      </c>
      <c r="E1797" t="inlineStr">
        <is>
          <t>2025Q3</t>
        </is>
      </c>
      <c r="F1797" s="2" t="n">
        <v>43833</v>
      </c>
      <c r="G1797" t="n">
        <v>12.1</v>
      </c>
      <c r="H1797" t="n">
        <v>-10.8</v>
      </c>
      <c r="I1797" s="2" t="n">
        <v>7633</v>
      </c>
      <c r="J1797" t="n">
        <v>23.6</v>
      </c>
      <c r="K1797" t="n">
        <v>-20.7</v>
      </c>
      <c r="L1797" s="2" t="n">
        <v>8755</v>
      </c>
      <c r="M1797" t="n">
        <v>-13</v>
      </c>
      <c r="N1797" t="inlineStr">
        <is>
          <t>20251107900434</t>
        </is>
      </c>
      <c r="O1797">
        <f>HYPERLINK("https://dart.fss.or.kr/dsaf001/main.do?rcpNo=20251107900434", "공시열람")</f>
        <v/>
      </c>
    </row>
    <row r="1798">
      <c r="A1798" t="inlineStr">
        <is>
          <t>2025-11-07</t>
        </is>
      </c>
      <c r="B1798" t="inlineStr">
        <is>
          <t>메가스터디교육</t>
        </is>
      </c>
      <c r="C1798" t="inlineStr">
        <is>
          <t>215200</t>
        </is>
      </c>
      <c r="D1798" t="inlineStr">
        <is>
          <t>연결</t>
        </is>
      </c>
      <c r="E1798" t="inlineStr">
        <is>
          <t>2025Q3</t>
        </is>
      </c>
      <c r="F1798" s="2" t="n">
        <v>249706</v>
      </c>
      <c r="G1798" t="n">
        <v>24.24</v>
      </c>
      <c r="H1798" t="n">
        <v>-2.47</v>
      </c>
      <c r="I1798" s="2" t="n">
        <v>53185</v>
      </c>
      <c r="J1798" t="n">
        <v>62.85</v>
      </c>
      <c r="K1798" t="n">
        <v>-2.14</v>
      </c>
      <c r="L1798" s="2" t="n">
        <v>42117</v>
      </c>
      <c r="M1798" t="n">
        <v>-4.02</v>
      </c>
      <c r="N1798" t="inlineStr">
        <is>
          <t>20251107900422</t>
        </is>
      </c>
      <c r="O1798">
        <f>HYPERLINK("https://dart.fss.or.kr/dsaf001/main.do?rcpNo=20251107900422", "공시열람")</f>
        <v/>
      </c>
    </row>
    <row r="1799">
      <c r="A1799" t="inlineStr">
        <is>
          <t>2025-11-07</t>
        </is>
      </c>
      <c r="B1799" t="inlineStr">
        <is>
          <t>SG세계물산</t>
        </is>
      </c>
      <c r="C1799" t="inlineStr">
        <is>
          <t>004060</t>
        </is>
      </c>
      <c r="D1799" t="inlineStr">
        <is>
          <t>연결</t>
        </is>
      </c>
      <c r="E1799" t="inlineStr">
        <is>
          <t>2025Q3</t>
        </is>
      </c>
      <c r="F1799" s="2" t="n">
        <v>35248</v>
      </c>
      <c r="G1799" t="n">
        <v>22.4</v>
      </c>
      <c r="H1799" t="n">
        <v>-0.8</v>
      </c>
      <c r="I1799" s="2" t="n">
        <v>-617</v>
      </c>
      <c r="J1799" t="n">
        <v>-44.7</v>
      </c>
      <c r="K1799" t="n">
        <v>12.6</v>
      </c>
      <c r="L1799" s="2" t="n">
        <v>323</v>
      </c>
      <c r="M1799" t="n">
        <v>-93.09999999999999</v>
      </c>
      <c r="N1799" t="inlineStr">
        <is>
          <t>20251107800432</t>
        </is>
      </c>
      <c r="O1799">
        <f>HYPERLINK("https://dart.fss.or.kr/dsaf001/main.do?rcpNo=20251107800432", "공시열람")</f>
        <v/>
      </c>
    </row>
    <row r="1800">
      <c r="A1800" t="inlineStr">
        <is>
          <t>2025-11-07</t>
        </is>
      </c>
      <c r="B1800" t="inlineStr">
        <is>
          <t>진에어</t>
        </is>
      </c>
      <c r="C1800" t="inlineStr">
        <is>
          <t>272450</t>
        </is>
      </c>
      <c r="D1800" t="inlineStr">
        <is>
          <t>별도</t>
        </is>
      </c>
      <c r="E1800" t="inlineStr">
        <is>
          <t>2025Q3</t>
        </is>
      </c>
      <c r="F1800" s="2" t="n">
        <v>304336</v>
      </c>
      <c r="G1800" t="n">
        <v>-0.6</v>
      </c>
      <c r="H1800" t="n">
        <v>-16.5</v>
      </c>
      <c r="I1800" s="2" t="n">
        <v>-22514</v>
      </c>
      <c r="J1800" t="n">
        <v>46.8</v>
      </c>
      <c r="K1800" t="inlineStr"/>
      <c r="L1800" s="2" t="n">
        <v>-27538</v>
      </c>
      <c r="M1800" t="inlineStr"/>
      <c r="N1800" t="inlineStr">
        <is>
          <t>20251107800439</t>
        </is>
      </c>
      <c r="O1800">
        <f>HYPERLINK("https://dart.fss.or.kr/dsaf001/main.do?rcpNo=20251107800439", "공시열람")</f>
        <v/>
      </c>
    </row>
    <row r="1801">
      <c r="A1801" t="inlineStr">
        <is>
          <t>2025-11-07</t>
        </is>
      </c>
      <c r="B1801" t="inlineStr">
        <is>
          <t>씨젠</t>
        </is>
      </c>
      <c r="C1801" t="inlineStr">
        <is>
          <t>096530</t>
        </is>
      </c>
      <c r="D1801" t="inlineStr">
        <is>
          <t>연결</t>
        </is>
      </c>
      <c r="E1801" t="inlineStr">
        <is>
          <t>2025Q3</t>
        </is>
      </c>
      <c r="F1801" s="2" t="n">
        <v>113544</v>
      </c>
      <c r="G1801" t="n">
        <v>-0.5</v>
      </c>
      <c r="H1801" t="n">
        <v>4.3</v>
      </c>
      <c r="I1801" s="2" t="n">
        <v>9610</v>
      </c>
      <c r="J1801" t="n">
        <v>205.6</v>
      </c>
      <c r="K1801" t="n">
        <v>82.8</v>
      </c>
      <c r="L1801" s="2" t="n">
        <v>14604</v>
      </c>
      <c r="M1801" t="n">
        <v>737.1</v>
      </c>
      <c r="N1801" t="inlineStr">
        <is>
          <t>20251107900414</t>
        </is>
      </c>
      <c r="O1801">
        <f>HYPERLINK("https://dart.fss.or.kr/dsaf001/main.do?rcpNo=20251107900414", "공시열람")</f>
        <v/>
      </c>
    </row>
    <row r="1802">
      <c r="A1802" t="inlineStr">
        <is>
          <t>2025-11-07</t>
        </is>
      </c>
      <c r="B1802" t="inlineStr">
        <is>
          <t>KTcs</t>
        </is>
      </c>
      <c r="C1802" t="inlineStr">
        <is>
          <t>058850</t>
        </is>
      </c>
      <c r="D1802" t="inlineStr">
        <is>
          <t>별도</t>
        </is>
      </c>
      <c r="E1802" t="inlineStr">
        <is>
          <t>2025Q3</t>
        </is>
      </c>
      <c r="F1802" s="2" t="n">
        <v>177919</v>
      </c>
      <c r="G1802" t="n">
        <v>9.4</v>
      </c>
      <c r="H1802" t="n">
        <v>5.7</v>
      </c>
      <c r="I1802" s="2" t="n">
        <v>7747</v>
      </c>
      <c r="J1802" t="n">
        <v>-11.5</v>
      </c>
      <c r="K1802" t="n">
        <v>135.3</v>
      </c>
      <c r="L1802" s="2" t="n">
        <v>6012</v>
      </c>
      <c r="M1802" t="n">
        <v>138.4</v>
      </c>
      <c r="N1802" t="inlineStr">
        <is>
          <t>20251107800421</t>
        </is>
      </c>
      <c r="O1802">
        <f>HYPERLINK("https://dart.fss.or.kr/dsaf001/main.do?rcpNo=20251107800421", "공시열람")</f>
        <v/>
      </c>
    </row>
    <row r="1803">
      <c r="A1803" t="inlineStr">
        <is>
          <t>2025-11-07</t>
        </is>
      </c>
      <c r="B1803" t="inlineStr">
        <is>
          <t>KTcs</t>
        </is>
      </c>
      <c r="C1803" t="inlineStr">
        <is>
          <t>058850</t>
        </is>
      </c>
      <c r="D1803" t="inlineStr">
        <is>
          <t>연결</t>
        </is>
      </c>
      <c r="E1803" t="inlineStr">
        <is>
          <t>2025Q3</t>
        </is>
      </c>
      <c r="F1803" s="2" t="n">
        <v>268941</v>
      </c>
      <c r="G1803" t="n">
        <v>8.4</v>
      </c>
      <c r="H1803" t="n">
        <v>4.1</v>
      </c>
      <c r="I1803" s="2" t="n">
        <v>9181</v>
      </c>
      <c r="J1803" t="n">
        <v>-28.4</v>
      </c>
      <c r="K1803" t="n">
        <v>81</v>
      </c>
      <c r="L1803" s="2" t="n">
        <v>7294</v>
      </c>
      <c r="M1803" t="n">
        <v>78.8</v>
      </c>
      <c r="N1803" t="inlineStr">
        <is>
          <t>20251107800417</t>
        </is>
      </c>
      <c r="O1803">
        <f>HYPERLINK("https://dart.fss.or.kr/dsaf001/main.do?rcpNo=20251107800417", "공시열람")</f>
        <v/>
      </c>
    </row>
    <row r="1804">
      <c r="A1804" t="inlineStr">
        <is>
          <t>2025-11-07</t>
        </is>
      </c>
      <c r="B1804" t="inlineStr">
        <is>
          <t>씨에스윈드</t>
        </is>
      </c>
      <c r="C1804" t="inlineStr">
        <is>
          <t>112610</t>
        </is>
      </c>
      <c r="D1804" t="inlineStr">
        <is>
          <t>연결</t>
        </is>
      </c>
      <c r="E1804" t="inlineStr">
        <is>
          <t>2025Q3</t>
        </is>
      </c>
      <c r="F1804" s="2" t="n">
        <v>597021</v>
      </c>
      <c r="G1804" t="n">
        <v>-8.199999999999999</v>
      </c>
      <c r="H1804" t="n">
        <v>-25.9</v>
      </c>
      <c r="I1804" s="2" t="n">
        <v>65690</v>
      </c>
      <c r="J1804" t="n">
        <v>10.8</v>
      </c>
      <c r="K1804" t="n">
        <v>-40.1</v>
      </c>
      <c r="L1804" s="2" t="n">
        <v>57934</v>
      </c>
      <c r="M1804" t="n">
        <v>-21.1</v>
      </c>
      <c r="N1804" t="inlineStr">
        <is>
          <t>20251107800425</t>
        </is>
      </c>
      <c r="O1804">
        <f>HYPERLINK("https://dart.fss.or.kr/dsaf001/main.do?rcpNo=20251107800425", "공시열람")</f>
        <v/>
      </c>
    </row>
    <row r="1805">
      <c r="A1805" t="inlineStr">
        <is>
          <t>2025-11-07</t>
        </is>
      </c>
      <c r="B1805" t="inlineStr">
        <is>
          <t>카카오</t>
        </is>
      </c>
      <c r="C1805" t="inlineStr">
        <is>
          <t>035720</t>
        </is>
      </c>
      <c r="D1805" t="inlineStr">
        <is>
          <t>별도</t>
        </is>
      </c>
      <c r="E1805" t="inlineStr">
        <is>
          <t>2025Q3</t>
        </is>
      </c>
      <c r="F1805" s="2" t="n">
        <v>638437</v>
      </c>
      <c r="G1805" t="n">
        <v>-2.5</v>
      </c>
      <c r="H1805" t="n">
        <v>3.2</v>
      </c>
      <c r="I1805" s="2" t="n">
        <v>100536</v>
      </c>
      <c r="J1805" t="n">
        <v>-6.8</v>
      </c>
      <c r="K1805" t="n">
        <v>-1.1</v>
      </c>
      <c r="L1805" s="2" t="n">
        <v>65092</v>
      </c>
      <c r="M1805" t="n">
        <v>25.5</v>
      </c>
      <c r="N1805" t="inlineStr">
        <is>
          <t>20251107800015</t>
        </is>
      </c>
      <c r="O1805">
        <f>HYPERLINK("https://dart.fss.or.kr/dsaf001/main.do?rcpNo=20251107800015", "공시열람")</f>
        <v/>
      </c>
    </row>
    <row r="1806">
      <c r="A1806" t="inlineStr">
        <is>
          <t>2025-11-07</t>
        </is>
      </c>
      <c r="B1806" t="inlineStr">
        <is>
          <t>DL</t>
        </is>
      </c>
      <c r="C1806" t="inlineStr">
        <is>
          <t>000210</t>
        </is>
      </c>
      <c r="D1806" t="inlineStr">
        <is>
          <t>연결</t>
        </is>
      </c>
      <c r="E1806" t="inlineStr">
        <is>
          <t>2025Q3</t>
        </is>
      </c>
      <c r="F1806" s="2" t="n">
        <v>1387990</v>
      </c>
      <c r="G1806" t="n">
        <v>5.01</v>
      </c>
      <c r="H1806" t="n">
        <v>-2.42</v>
      </c>
      <c r="I1806" s="2" t="n">
        <v>109383</v>
      </c>
      <c r="J1806" t="n">
        <v>51.86</v>
      </c>
      <c r="K1806" t="n">
        <v>-9.9</v>
      </c>
      <c r="L1806" s="2" t="n">
        <v>24976</v>
      </c>
      <c r="M1806" t="n">
        <v>13.05</v>
      </c>
      <c r="N1806" t="inlineStr">
        <is>
          <t>20251107800403</t>
        </is>
      </c>
      <c r="O1806">
        <f>HYPERLINK("https://dart.fss.or.kr/dsaf001/main.do?rcpNo=20251107800403", "공시열람")</f>
        <v/>
      </c>
    </row>
    <row r="1807">
      <c r="A1807" t="inlineStr">
        <is>
          <t>2025-11-07</t>
        </is>
      </c>
      <c r="B1807" t="inlineStr">
        <is>
          <t>바디텍메드</t>
        </is>
      </c>
      <c r="C1807" t="inlineStr">
        <is>
          <t>206640</t>
        </is>
      </c>
      <c r="D1807" t="inlineStr">
        <is>
          <t>연결</t>
        </is>
      </c>
      <c r="E1807" t="inlineStr">
        <is>
          <t>2025Q3</t>
        </is>
      </c>
      <c r="F1807" s="2" t="n">
        <v>39946</v>
      </c>
      <c r="G1807" t="n">
        <v>-3.7</v>
      </c>
      <c r="H1807" t="n">
        <v>6.26</v>
      </c>
      <c r="I1807" s="2" t="n">
        <v>6605</v>
      </c>
      <c r="J1807" t="n">
        <v>-28.21</v>
      </c>
      <c r="K1807" t="n">
        <v>-25.18</v>
      </c>
      <c r="L1807" s="2" t="n">
        <v>7807</v>
      </c>
      <c r="M1807" t="n">
        <v>29.02</v>
      </c>
      <c r="N1807" t="inlineStr">
        <is>
          <t>20251107900220</t>
        </is>
      </c>
      <c r="O1807">
        <f>HYPERLINK("https://dart.fss.or.kr/dsaf001/main.do?rcpNo=20251107900220", "공시열람")</f>
        <v/>
      </c>
    </row>
    <row r="1808">
      <c r="A1808" t="inlineStr">
        <is>
          <t>2025-11-07</t>
        </is>
      </c>
      <c r="B1808" t="inlineStr">
        <is>
          <t>케이피에프</t>
        </is>
      </c>
      <c r="C1808" t="inlineStr">
        <is>
          <t>024880</t>
        </is>
      </c>
      <c r="D1808" t="inlineStr">
        <is>
          <t>연결</t>
        </is>
      </c>
      <c r="E1808" t="inlineStr">
        <is>
          <t>2025Q3</t>
        </is>
      </c>
      <c r="F1808" s="2" t="n">
        <v>174098</v>
      </c>
      <c r="G1808" t="n">
        <v>-8.9</v>
      </c>
      <c r="H1808" t="n">
        <v>-4.7</v>
      </c>
      <c r="I1808" s="2" t="n">
        <v>8594</v>
      </c>
      <c r="J1808" t="n">
        <v>-14.5</v>
      </c>
      <c r="K1808" t="n">
        <v>7.5</v>
      </c>
      <c r="L1808" s="2" t="n">
        <v>7219</v>
      </c>
      <c r="M1808" t="n">
        <v>727.7</v>
      </c>
      <c r="N1808" t="inlineStr">
        <is>
          <t>20251107900398</t>
        </is>
      </c>
      <c r="O1808">
        <f>HYPERLINK("https://dart.fss.or.kr/dsaf001/main.do?rcpNo=20251107900398", "공시열람")</f>
        <v/>
      </c>
    </row>
    <row r="1809">
      <c r="A1809" t="inlineStr">
        <is>
          <t>2025-11-07</t>
        </is>
      </c>
      <c r="B1809" t="inlineStr">
        <is>
          <t>원익IPS</t>
        </is>
      </c>
      <c r="C1809" t="inlineStr">
        <is>
          <t>240810</t>
        </is>
      </c>
      <c r="D1809" t="inlineStr">
        <is>
          <t>연결</t>
        </is>
      </c>
      <c r="E1809" t="inlineStr">
        <is>
          <t>2025Q3</t>
        </is>
      </c>
      <c r="F1809" s="2" t="n">
        <v>268438</v>
      </c>
      <c r="G1809" t="n">
        <v>10.85</v>
      </c>
      <c r="H1809" t="n">
        <v>45.43</v>
      </c>
      <c r="I1809" s="2" t="n">
        <v>27539</v>
      </c>
      <c r="J1809" t="n">
        <v>-24.45</v>
      </c>
      <c r="K1809" t="n">
        <v>90.37</v>
      </c>
      <c r="L1809" s="2" t="n">
        <v>28281</v>
      </c>
      <c r="M1809" t="n">
        <v>234.69</v>
      </c>
      <c r="N1809" t="inlineStr">
        <is>
          <t>20251107900339</t>
        </is>
      </c>
      <c r="O1809">
        <f>HYPERLINK("https://dart.fss.or.kr/dsaf001/main.do?rcpNo=20251107900339", "공시열람")</f>
        <v/>
      </c>
    </row>
    <row r="1810">
      <c r="A1810" t="inlineStr">
        <is>
          <t>2025-11-07</t>
        </is>
      </c>
      <c r="B1810" t="inlineStr">
        <is>
          <t>엑시온그룹</t>
        </is>
      </c>
      <c r="C1810" t="inlineStr">
        <is>
          <t>069920</t>
        </is>
      </c>
      <c r="D1810" t="inlineStr">
        <is>
          <t>연결</t>
        </is>
      </c>
      <c r="E1810" t="inlineStr">
        <is>
          <t>2025Q3</t>
        </is>
      </c>
      <c r="F1810" s="2" t="n">
        <v>5998</v>
      </c>
      <c r="G1810" t="n">
        <v>630.8</v>
      </c>
      <c r="H1810" t="n">
        <v>348.6</v>
      </c>
      <c r="I1810" s="2" t="n">
        <v>1126</v>
      </c>
      <c r="J1810" t="inlineStr"/>
      <c r="K1810" t="inlineStr"/>
      <c r="L1810" s="2" t="n">
        <v>2538</v>
      </c>
      <c r="M1810" t="inlineStr"/>
      <c r="N1810" t="inlineStr">
        <is>
          <t>20251107900310</t>
        </is>
      </c>
      <c r="O1810">
        <f>HYPERLINK("https://dart.fss.or.kr/dsaf001/main.do?rcpNo=20251107900310", "공시열람")</f>
        <v/>
      </c>
    </row>
    <row r="1811">
      <c r="A1811" t="inlineStr">
        <is>
          <t>2025-11-07</t>
        </is>
      </c>
      <c r="B1811" t="inlineStr">
        <is>
          <t>현대지에프홀딩스</t>
        </is>
      </c>
      <c r="C1811" t="inlineStr">
        <is>
          <t>005440</t>
        </is>
      </c>
      <c r="D1811" t="inlineStr">
        <is>
          <t>연결</t>
        </is>
      </c>
      <c r="E1811" t="inlineStr">
        <is>
          <t>2025Q3</t>
        </is>
      </c>
      <c r="F1811" s="2" t="n">
        <v>1925200</v>
      </c>
      <c r="G1811" t="n">
        <v>-3.7</v>
      </c>
      <c r="H1811" t="n">
        <v>-4.3</v>
      </c>
      <c r="I1811" s="2" t="n">
        <v>74800</v>
      </c>
      <c r="J1811" t="n">
        <v>0.4</v>
      </c>
      <c r="K1811" t="n">
        <v>12.2</v>
      </c>
      <c r="L1811" s="2" t="n">
        <v>163800</v>
      </c>
      <c r="M1811" t="n">
        <v>147.6</v>
      </c>
      <c r="N1811" t="inlineStr">
        <is>
          <t>20251107800272</t>
        </is>
      </c>
      <c r="O1811">
        <f>HYPERLINK("https://dart.fss.or.kr/dsaf001/main.do?rcpNo=20251107800272", "공시열람")</f>
        <v/>
      </c>
    </row>
    <row r="1812">
      <c r="A1812" t="inlineStr">
        <is>
          <t>2025-11-07</t>
        </is>
      </c>
      <c r="B1812" t="inlineStr">
        <is>
          <t>한국타이어앤테크놀로지</t>
        </is>
      </c>
      <c r="C1812" t="inlineStr">
        <is>
          <t>161390</t>
        </is>
      </c>
      <c r="D1812" t="inlineStr">
        <is>
          <t>연결</t>
        </is>
      </c>
      <c r="E1812" t="inlineStr">
        <is>
          <t>2025Q3</t>
        </is>
      </c>
      <c r="F1812" s="2" t="n">
        <v>5412727</v>
      </c>
      <c r="G1812" t="n">
        <v>0.8</v>
      </c>
      <c r="H1812" t="n">
        <v>122.3</v>
      </c>
      <c r="I1812" s="2" t="n">
        <v>585952</v>
      </c>
      <c r="J1812" t="n">
        <v>65.7</v>
      </c>
      <c r="K1812" t="n">
        <v>24.6</v>
      </c>
      <c r="L1812" s="2" t="n">
        <v>389577</v>
      </c>
      <c r="M1812" t="n">
        <v>1</v>
      </c>
      <c r="N1812" t="inlineStr">
        <is>
          <t>20251107800266</t>
        </is>
      </c>
      <c r="O1812">
        <f>HYPERLINK("https://dart.fss.or.kr/dsaf001/main.do?rcpNo=20251107800266", "공시열람")</f>
        <v/>
      </c>
    </row>
    <row r="1813">
      <c r="A1813" t="inlineStr">
        <is>
          <t>2025-11-07</t>
        </is>
      </c>
      <c r="B1813" t="inlineStr">
        <is>
          <t>금호석유화학</t>
        </is>
      </c>
      <c r="C1813" t="inlineStr">
        <is>
          <t>011780</t>
        </is>
      </c>
      <c r="D1813" t="inlineStr">
        <is>
          <t>연결</t>
        </is>
      </c>
      <c r="E1813" t="inlineStr">
        <is>
          <t>2025Q3</t>
        </is>
      </c>
      <c r="F1813" s="2" t="n">
        <v>1643814</v>
      </c>
      <c r="G1813" t="n">
        <v>-7.3</v>
      </c>
      <c r="H1813" t="n">
        <v>-10.1</v>
      </c>
      <c r="I1813" s="2" t="n">
        <v>84434</v>
      </c>
      <c r="J1813" t="n">
        <v>29.4</v>
      </c>
      <c r="K1813" t="n">
        <v>29.7</v>
      </c>
      <c r="L1813" s="2" t="n">
        <v>106927</v>
      </c>
      <c r="M1813" t="n">
        <v>101.2</v>
      </c>
      <c r="N1813" t="inlineStr">
        <is>
          <t>20251107800245</t>
        </is>
      </c>
      <c r="O1813">
        <f>HYPERLINK("https://dart.fss.or.kr/dsaf001/main.do?rcpNo=20251107800245", "공시열람")</f>
        <v/>
      </c>
    </row>
    <row r="1814">
      <c r="A1814" t="inlineStr">
        <is>
          <t>2025-11-07</t>
        </is>
      </c>
      <c r="B1814" t="inlineStr">
        <is>
          <t>동원산업</t>
        </is>
      </c>
      <c r="C1814" t="inlineStr">
        <is>
          <t>006040</t>
        </is>
      </c>
      <c r="D1814" t="inlineStr">
        <is>
          <t>연결</t>
        </is>
      </c>
      <c r="E1814" t="inlineStr">
        <is>
          <t>2025Q3</t>
        </is>
      </c>
      <c r="F1814" s="2" t="n">
        <v>2586518</v>
      </c>
      <c r="G1814" t="n">
        <v>9.699999999999999</v>
      </c>
      <c r="H1814" t="n">
        <v>10.6</v>
      </c>
      <c r="I1814" s="2" t="n">
        <v>148104</v>
      </c>
      <c r="J1814" t="n">
        <v>10.8</v>
      </c>
      <c r="K1814" t="n">
        <v>-15.1</v>
      </c>
      <c r="L1814" s="2" t="n">
        <v>101490</v>
      </c>
      <c r="M1814" t="inlineStr"/>
      <c r="N1814" t="inlineStr">
        <is>
          <t>20251107800262</t>
        </is>
      </c>
      <c r="O1814">
        <f>HYPERLINK("https://dart.fss.or.kr/dsaf001/main.do?rcpNo=20251107800262", "공시열람")</f>
        <v/>
      </c>
    </row>
    <row r="1815">
      <c r="A1815" t="inlineStr">
        <is>
          <t>2025-11-07</t>
        </is>
      </c>
      <c r="B1815" t="inlineStr">
        <is>
          <t>티비에이치글로벌</t>
        </is>
      </c>
      <c r="C1815" t="inlineStr">
        <is>
          <t>084870</t>
        </is>
      </c>
      <c r="D1815" t="inlineStr">
        <is>
          <t>연결</t>
        </is>
      </c>
      <c r="E1815" t="inlineStr">
        <is>
          <t>2025Q3</t>
        </is>
      </c>
      <c r="F1815" s="2" t="n">
        <v>35508</v>
      </c>
      <c r="G1815" t="n">
        <v>-25.8</v>
      </c>
      <c r="H1815" t="n">
        <v>11.8</v>
      </c>
      <c r="I1815" s="2" t="n">
        <v>-1517</v>
      </c>
      <c r="J1815" t="inlineStr"/>
      <c r="K1815" t="n">
        <v>46.2</v>
      </c>
      <c r="L1815" s="2" t="n">
        <v>-2764</v>
      </c>
      <c r="M1815" t="n">
        <v>-1.6</v>
      </c>
      <c r="N1815" t="inlineStr">
        <is>
          <t>20251107800253</t>
        </is>
      </c>
      <c r="O1815">
        <f>HYPERLINK("https://dart.fss.or.kr/dsaf001/main.do?rcpNo=20251107800253", "공시열람")</f>
        <v/>
      </c>
    </row>
    <row r="1816">
      <c r="A1816" t="inlineStr">
        <is>
          <t>2025-11-07</t>
        </is>
      </c>
      <c r="B1816" t="inlineStr">
        <is>
          <t>동원산업</t>
        </is>
      </c>
      <c r="C1816" t="inlineStr">
        <is>
          <t>006040</t>
        </is>
      </c>
      <c r="D1816" t="inlineStr">
        <is>
          <t>별도</t>
        </is>
      </c>
      <c r="E1816" t="inlineStr">
        <is>
          <t>2025Q3</t>
        </is>
      </c>
      <c r="F1816" s="2" t="n">
        <v>249012</v>
      </c>
      <c r="G1816" t="n">
        <v>-3.7</v>
      </c>
      <c r="H1816" t="n">
        <v>5.3</v>
      </c>
      <c r="I1816" s="2" t="n">
        <v>18988</v>
      </c>
      <c r="J1816" t="n">
        <v>20.5</v>
      </c>
      <c r="K1816" t="n">
        <v>-19.6</v>
      </c>
      <c r="L1816" s="2" t="n">
        <v>12695</v>
      </c>
      <c r="M1816" t="n">
        <v>-21.1</v>
      </c>
      <c r="N1816" t="inlineStr">
        <is>
          <t>20251107800258</t>
        </is>
      </c>
      <c r="O1816">
        <f>HYPERLINK("https://dart.fss.or.kr/dsaf001/main.do?rcpNo=20251107800258", "공시열람")</f>
        <v/>
      </c>
    </row>
    <row r="1817">
      <c r="A1817" t="inlineStr">
        <is>
          <t>2025-11-07</t>
        </is>
      </c>
      <c r="B1817" t="inlineStr">
        <is>
          <t>KG에코솔루션</t>
        </is>
      </c>
      <c r="C1817" t="inlineStr">
        <is>
          <t>151860</t>
        </is>
      </c>
      <c r="D1817" t="inlineStr">
        <is>
          <t>연결</t>
        </is>
      </c>
      <c r="E1817" t="inlineStr">
        <is>
          <t>2025Q3</t>
        </is>
      </c>
      <c r="F1817" s="2" t="n">
        <v>2073169</v>
      </c>
      <c r="G1817" t="n">
        <v>14.8</v>
      </c>
      <c r="H1817" t="n">
        <v>18.7</v>
      </c>
      <c r="I1817" s="2" t="n">
        <v>58801</v>
      </c>
      <c r="J1817" t="n">
        <v>21.7</v>
      </c>
      <c r="K1817" t="n">
        <v>953.8</v>
      </c>
      <c r="L1817" s="2" t="n">
        <v>30</v>
      </c>
      <c r="M1817" t="inlineStr"/>
      <c r="N1817" t="inlineStr">
        <is>
          <t>20251107900757</t>
        </is>
      </c>
      <c r="O1817">
        <f>HYPERLINK("https://dart.fss.or.kr/dsaf001/main.do?rcpNo=20251107900757", "공시열람")</f>
        <v/>
      </c>
    </row>
    <row r="1818">
      <c r="A1818" t="inlineStr">
        <is>
          <t>2025-11-06</t>
        </is>
      </c>
      <c r="B1818" t="inlineStr">
        <is>
          <t>헥토파이낸셜</t>
        </is>
      </c>
      <c r="C1818" t="inlineStr">
        <is>
          <t>234340</t>
        </is>
      </c>
      <c r="D1818" t="inlineStr">
        <is>
          <t>연결</t>
        </is>
      </c>
      <c r="E1818" t="inlineStr">
        <is>
          <t>2025Q3</t>
        </is>
      </c>
      <c r="F1818" s="2" t="n">
        <v>45759</v>
      </c>
      <c r="G1818" t="n">
        <v>2.8</v>
      </c>
      <c r="H1818" t="n">
        <v>16</v>
      </c>
      <c r="I1818" s="2" t="n">
        <v>4519</v>
      </c>
      <c r="J1818" t="n">
        <v>17.8</v>
      </c>
      <c r="K1818" t="n">
        <v>9.1</v>
      </c>
      <c r="L1818" s="2" t="n">
        <v>3865</v>
      </c>
      <c r="M1818" t="n">
        <v>-2.1</v>
      </c>
      <c r="N1818" t="inlineStr">
        <is>
          <t>20251106900050</t>
        </is>
      </c>
      <c r="O1818">
        <f>HYPERLINK("https://dart.fss.or.kr/dsaf001/main.do?rcpNo=20251106900050", "공시열람")</f>
        <v/>
      </c>
    </row>
    <row r="1819">
      <c r="A1819" t="inlineStr">
        <is>
          <t>2025-11-06</t>
        </is>
      </c>
      <c r="B1819" t="inlineStr">
        <is>
          <t>로킷헬스케어</t>
        </is>
      </c>
      <c r="C1819" t="inlineStr">
        <is>
          <t>376900</t>
        </is>
      </c>
      <c r="D1819" t="inlineStr">
        <is>
          <t>연결</t>
        </is>
      </c>
      <c r="E1819" t="inlineStr">
        <is>
          <t>2025Q3</t>
        </is>
      </c>
      <c r="F1819" s="2" t="n">
        <v>6952</v>
      </c>
      <c r="G1819" t="n">
        <v>15.61</v>
      </c>
      <c r="H1819" t="n">
        <v>173.58</v>
      </c>
      <c r="I1819" s="2" t="n">
        <v>72</v>
      </c>
      <c r="J1819" t="n">
        <v>228.46</v>
      </c>
      <c r="K1819" t="n">
        <v>103.77</v>
      </c>
      <c r="L1819" s="2" t="n">
        <v>-1134</v>
      </c>
      <c r="M1819" t="n">
        <v>35.16</v>
      </c>
      <c r="N1819" t="inlineStr">
        <is>
          <t>20251106900076</t>
        </is>
      </c>
      <c r="O1819">
        <f>HYPERLINK("https://dart.fss.or.kr/dsaf001/main.do?rcpNo=20251106900076", "공시열람")</f>
        <v/>
      </c>
    </row>
    <row r="1820">
      <c r="A1820" t="inlineStr">
        <is>
          <t>2025-11-06</t>
        </is>
      </c>
      <c r="B1820" t="inlineStr">
        <is>
          <t>카페24</t>
        </is>
      </c>
      <c r="C1820" t="inlineStr">
        <is>
          <t>042000</t>
        </is>
      </c>
      <c r="D1820" t="inlineStr">
        <is>
          <t>연결</t>
        </is>
      </c>
      <c r="E1820" t="inlineStr">
        <is>
          <t>2025Q3</t>
        </is>
      </c>
      <c r="F1820" s="2" t="n">
        <v>76774</v>
      </c>
      <c r="G1820" t="n">
        <v>-3.3</v>
      </c>
      <c r="H1820" t="n">
        <v>1.7</v>
      </c>
      <c r="I1820" s="2" t="n">
        <v>10044</v>
      </c>
      <c r="J1820" t="n">
        <v>-10.6</v>
      </c>
      <c r="K1820" t="n">
        <v>28</v>
      </c>
      <c r="L1820" s="2" t="n">
        <v>7515</v>
      </c>
      <c r="M1820" t="n">
        <v>53.6</v>
      </c>
      <c r="N1820" t="inlineStr">
        <is>
          <t>20251106900681</t>
        </is>
      </c>
      <c r="O1820">
        <f>HYPERLINK("https://dart.fss.or.kr/dsaf001/main.do?rcpNo=20251106900681", "공시열람")</f>
        <v/>
      </c>
    </row>
    <row r="1821">
      <c r="A1821" t="inlineStr">
        <is>
          <t>2025-11-06</t>
        </is>
      </c>
      <c r="B1821" t="inlineStr">
        <is>
          <t>신성이엔지</t>
        </is>
      </c>
      <c r="C1821" t="inlineStr">
        <is>
          <t>011930</t>
        </is>
      </c>
      <c r="D1821" t="inlineStr">
        <is>
          <t>연결</t>
        </is>
      </c>
      <c r="E1821" t="inlineStr">
        <is>
          <t>2025Q3</t>
        </is>
      </c>
      <c r="F1821" s="2" t="n">
        <v>158597</v>
      </c>
      <c r="G1821" t="n">
        <v>13.3</v>
      </c>
      <c r="H1821" t="n">
        <v>11.6</v>
      </c>
      <c r="I1821" s="2" t="n">
        <v>250</v>
      </c>
      <c r="J1821" t="n">
        <v>-92.59999999999999</v>
      </c>
      <c r="K1821" t="inlineStr"/>
      <c r="L1821" s="2" t="n">
        <v>-3567</v>
      </c>
      <c r="M1821" t="n">
        <v>62.8</v>
      </c>
      <c r="N1821" t="inlineStr">
        <is>
          <t>20251106800256</t>
        </is>
      </c>
      <c r="O1821">
        <f>HYPERLINK("https://dart.fss.or.kr/dsaf001/main.do?rcpNo=20251106800256", "공시열람")</f>
        <v/>
      </c>
    </row>
    <row r="1822">
      <c r="A1822" t="inlineStr">
        <is>
          <t>2025-11-06</t>
        </is>
      </c>
      <c r="B1822" t="inlineStr">
        <is>
          <t>BGF리테일</t>
        </is>
      </c>
      <c r="C1822" t="inlineStr">
        <is>
          <t>282330</t>
        </is>
      </c>
      <c r="D1822" t="inlineStr">
        <is>
          <t>연결</t>
        </is>
      </c>
      <c r="E1822" t="inlineStr">
        <is>
          <t>2025Q3</t>
        </is>
      </c>
      <c r="F1822" s="2" t="n">
        <v>2462300</v>
      </c>
      <c r="G1822" t="n">
        <v>7.5</v>
      </c>
      <c r="H1822" t="n">
        <v>5.9</v>
      </c>
      <c r="I1822" s="2" t="n">
        <v>97700</v>
      </c>
      <c r="J1822" t="n">
        <v>40.8</v>
      </c>
      <c r="K1822" t="n">
        <v>7.1</v>
      </c>
      <c r="L1822" s="2" t="n">
        <v>79300</v>
      </c>
      <c r="M1822" t="n">
        <v>13.4</v>
      </c>
      <c r="N1822" t="inlineStr">
        <is>
          <t>20251106800278</t>
        </is>
      </c>
      <c r="O1822">
        <f>HYPERLINK("https://dart.fss.or.kr/dsaf001/main.do?rcpNo=20251106800278", "공시열람")</f>
        <v/>
      </c>
    </row>
    <row r="1823">
      <c r="A1823" t="inlineStr">
        <is>
          <t>2025-11-06</t>
        </is>
      </c>
      <c r="B1823" t="inlineStr">
        <is>
          <t>GS</t>
        </is>
      </c>
      <c r="C1823" t="inlineStr">
        <is>
          <t>078930</t>
        </is>
      </c>
      <c r="D1823" t="inlineStr">
        <is>
          <t>연결</t>
        </is>
      </c>
      <c r="E1823" t="inlineStr">
        <is>
          <t>2025Q3</t>
        </is>
      </c>
      <c r="F1823" s="2" t="n">
        <v>6535868</v>
      </c>
      <c r="G1823" t="n">
        <v>10.15</v>
      </c>
      <c r="H1823" t="n">
        <v>2.35</v>
      </c>
      <c r="I1823" s="2" t="n">
        <v>870568</v>
      </c>
      <c r="J1823" t="n">
        <v>79.13</v>
      </c>
      <c r="K1823" t="n">
        <v>37.84</v>
      </c>
      <c r="L1823" s="2" t="n">
        <v>407708</v>
      </c>
      <c r="M1823" t="n">
        <v>953.3200000000001</v>
      </c>
      <c r="N1823" t="inlineStr">
        <is>
          <t>20251106800283</t>
        </is>
      </c>
      <c r="O1823">
        <f>HYPERLINK("https://dart.fss.or.kr/dsaf001/main.do?rcpNo=20251106800283", "공시열람")</f>
        <v/>
      </c>
    </row>
    <row r="1824">
      <c r="A1824" t="inlineStr">
        <is>
          <t>2025-11-06</t>
        </is>
      </c>
      <c r="B1824" t="inlineStr">
        <is>
          <t>BGF</t>
        </is>
      </c>
      <c r="C1824" t="inlineStr">
        <is>
          <t>027410</t>
        </is>
      </c>
      <c r="D1824" t="inlineStr">
        <is>
          <t>연결</t>
        </is>
      </c>
      <c r="E1824" t="inlineStr">
        <is>
          <t>2025Q3</t>
        </is>
      </c>
      <c r="F1824" s="2" t="n">
        <v>128400</v>
      </c>
      <c r="G1824" t="n">
        <v>4.3</v>
      </c>
      <c r="H1824" t="n">
        <v>15.8</v>
      </c>
      <c r="I1824" s="2" t="n">
        <v>26800</v>
      </c>
      <c r="J1824" t="n">
        <v>54.9</v>
      </c>
      <c r="K1824" t="n">
        <v>27</v>
      </c>
      <c r="L1824" s="2" t="n">
        <v>26100</v>
      </c>
      <c r="M1824" t="n">
        <v>-50.1</v>
      </c>
      <c r="N1824" t="inlineStr">
        <is>
          <t>20251106800288</t>
        </is>
      </c>
      <c r="O1824">
        <f>HYPERLINK("https://dart.fss.or.kr/dsaf001/main.do?rcpNo=20251106800288", "공시열람")</f>
        <v/>
      </c>
    </row>
    <row r="1825">
      <c r="A1825" t="inlineStr">
        <is>
          <t>2025-11-06</t>
        </is>
      </c>
      <c r="B1825" t="inlineStr">
        <is>
          <t>BGF에코머티리얼즈</t>
        </is>
      </c>
      <c r="C1825" t="inlineStr">
        <is>
          <t>126600</t>
        </is>
      </c>
      <c r="D1825" t="inlineStr">
        <is>
          <t>연결</t>
        </is>
      </c>
      <c r="E1825" t="inlineStr">
        <is>
          <t>2025Q3</t>
        </is>
      </c>
      <c r="F1825" s="2" t="n">
        <v>100842</v>
      </c>
      <c r="G1825" t="n">
        <v>-2.8</v>
      </c>
      <c r="H1825" t="n">
        <v>16.5</v>
      </c>
      <c r="I1825" s="2" t="n">
        <v>5787</v>
      </c>
      <c r="J1825" t="n">
        <v>-5.6</v>
      </c>
      <c r="K1825" t="n">
        <v>77.40000000000001</v>
      </c>
      <c r="L1825" s="2" t="n">
        <v>4352</v>
      </c>
      <c r="M1825" t="n">
        <v>132</v>
      </c>
      <c r="N1825" t="inlineStr">
        <is>
          <t>20251106900282</t>
        </is>
      </c>
      <c r="O1825">
        <f>HYPERLINK("https://dart.fss.or.kr/dsaf001/main.do?rcpNo=20251106900282", "공시열람")</f>
        <v/>
      </c>
    </row>
    <row r="1826">
      <c r="A1826" t="inlineStr">
        <is>
          <t>2025-11-06</t>
        </is>
      </c>
      <c r="B1826" t="inlineStr">
        <is>
          <t>인바디</t>
        </is>
      </c>
      <c r="C1826" t="inlineStr">
        <is>
          <t>041830</t>
        </is>
      </c>
      <c r="D1826" t="inlineStr">
        <is>
          <t>연결</t>
        </is>
      </c>
      <c r="E1826" t="inlineStr">
        <is>
          <t>2025Q3</t>
        </is>
      </c>
      <c r="F1826" s="2" t="n">
        <v>59798</v>
      </c>
      <c r="G1826" t="n">
        <v>6.5</v>
      </c>
      <c r="H1826" t="n">
        <v>17.9</v>
      </c>
      <c r="I1826" s="2" t="n">
        <v>9835</v>
      </c>
      <c r="J1826" t="n">
        <v>-5.4</v>
      </c>
      <c r="K1826" t="n">
        <v>0.1</v>
      </c>
      <c r="L1826" s="2" t="n">
        <v>9392</v>
      </c>
      <c r="M1826" t="n">
        <v>27.7</v>
      </c>
      <c r="N1826" t="inlineStr">
        <is>
          <t>20251106900329</t>
        </is>
      </c>
      <c r="O1826">
        <f>HYPERLINK("https://dart.fss.or.kr/dsaf001/main.do?rcpNo=20251106900329", "공시열람")</f>
        <v/>
      </c>
    </row>
    <row r="1827">
      <c r="A1827" t="inlineStr">
        <is>
          <t>2025-11-06</t>
        </is>
      </c>
      <c r="B1827" t="inlineStr">
        <is>
          <t>넷마블</t>
        </is>
      </c>
      <c r="C1827" t="inlineStr">
        <is>
          <t>251270</t>
        </is>
      </c>
      <c r="D1827" t="inlineStr">
        <is>
          <t>연결</t>
        </is>
      </c>
      <c r="E1827" t="inlineStr">
        <is>
          <t>2025Q3</t>
        </is>
      </c>
      <c r="F1827" s="2" t="n">
        <v>696000</v>
      </c>
      <c r="G1827" t="n">
        <v>-3</v>
      </c>
      <c r="H1827" t="n">
        <v>7.5</v>
      </c>
      <c r="I1827" s="2" t="n">
        <v>90900</v>
      </c>
      <c r="J1827" t="n">
        <v>-10.1</v>
      </c>
      <c r="K1827" t="n">
        <v>38.8</v>
      </c>
      <c r="L1827" s="2" t="n">
        <v>40600</v>
      </c>
      <c r="M1827" t="n">
        <v>97.09999999999999</v>
      </c>
      <c r="N1827" t="inlineStr">
        <is>
          <t>20251106800358</t>
        </is>
      </c>
      <c r="O1827">
        <f>HYPERLINK("https://dart.fss.or.kr/dsaf001/main.do?rcpNo=20251106800358", "공시열람")</f>
        <v/>
      </c>
    </row>
    <row r="1828">
      <c r="A1828" t="inlineStr">
        <is>
          <t>2025-11-06</t>
        </is>
      </c>
      <c r="B1828" t="inlineStr">
        <is>
          <t>콘텐트리중앙</t>
        </is>
      </c>
      <c r="C1828" t="inlineStr">
        <is>
          <t>036420</t>
        </is>
      </c>
      <c r="D1828" t="inlineStr">
        <is>
          <t>연결</t>
        </is>
      </c>
      <c r="E1828" t="inlineStr">
        <is>
          <t>2025Q3</t>
        </is>
      </c>
      <c r="F1828" s="2" t="n">
        <v>278699</v>
      </c>
      <c r="G1828" t="n">
        <v>-11.7</v>
      </c>
      <c r="H1828" t="n">
        <v>22.1</v>
      </c>
      <c r="I1828" s="2" t="n">
        <v>11387</v>
      </c>
      <c r="J1828" t="n">
        <v>584.5</v>
      </c>
      <c r="K1828" t="inlineStr"/>
      <c r="L1828" s="2" t="n">
        <v>2029</v>
      </c>
      <c r="M1828" t="inlineStr"/>
      <c r="N1828" t="inlineStr">
        <is>
          <t>20251106800362</t>
        </is>
      </c>
      <c r="O1828">
        <f>HYPERLINK("https://dart.fss.or.kr/dsaf001/main.do?rcpNo=20251106800362", "공시열람")</f>
        <v/>
      </c>
    </row>
    <row r="1829">
      <c r="A1829" t="inlineStr">
        <is>
          <t>2025-11-06</t>
        </is>
      </c>
      <c r="B1829" t="inlineStr">
        <is>
          <t>LIG디펜스앤에어로스페이스</t>
        </is>
      </c>
      <c r="C1829" t="inlineStr">
        <is>
          <t>079550</t>
        </is>
      </c>
      <c r="D1829" t="inlineStr">
        <is>
          <t>연결</t>
        </is>
      </c>
      <c r="E1829" t="inlineStr">
        <is>
          <t>2025Q3</t>
        </is>
      </c>
      <c r="F1829" s="2" t="n">
        <v>1049200</v>
      </c>
      <c r="G1829" t="n">
        <v>11</v>
      </c>
      <c r="H1829" t="n">
        <v>41.7</v>
      </c>
      <c r="I1829" s="2" t="n">
        <v>89600</v>
      </c>
      <c r="J1829" t="n">
        <v>15.5</v>
      </c>
      <c r="K1829" t="n">
        <v>72.5</v>
      </c>
      <c r="L1829" s="2" t="n">
        <v>54200</v>
      </c>
      <c r="M1829" t="n">
        <v>33.1</v>
      </c>
      <c r="N1829" t="inlineStr">
        <is>
          <t>20251106800345</t>
        </is>
      </c>
      <c r="O1829">
        <f>HYPERLINK("https://dart.fss.or.kr/dsaf001/main.do?rcpNo=20251106800345", "공시열람")</f>
        <v/>
      </c>
    </row>
    <row r="1830">
      <c r="A1830" t="inlineStr">
        <is>
          <t>2025-11-06</t>
        </is>
      </c>
      <c r="B1830" t="inlineStr">
        <is>
          <t>DL이앤씨</t>
        </is>
      </c>
      <c r="C1830" t="inlineStr">
        <is>
          <t>375500</t>
        </is>
      </c>
      <c r="D1830" t="inlineStr">
        <is>
          <t>연결</t>
        </is>
      </c>
      <c r="E1830" t="inlineStr">
        <is>
          <t>2025Q3</t>
        </is>
      </c>
      <c r="F1830" s="2" t="n">
        <v>1906995</v>
      </c>
      <c r="G1830" t="n">
        <v>-4.24</v>
      </c>
      <c r="H1830" t="n">
        <v>-0.62</v>
      </c>
      <c r="I1830" s="2" t="n">
        <v>116756</v>
      </c>
      <c r="J1830" t="n">
        <v>-7.49</v>
      </c>
      <c r="K1830" t="n">
        <v>40.09</v>
      </c>
      <c r="L1830" s="2" t="n">
        <v>126321</v>
      </c>
      <c r="M1830" t="n">
        <v>178.99</v>
      </c>
      <c r="N1830" t="inlineStr">
        <is>
          <t>20251106800343</t>
        </is>
      </c>
      <c r="O1830">
        <f>HYPERLINK("https://dart.fss.or.kr/dsaf001/main.do?rcpNo=20251106800343", "공시열람")</f>
        <v/>
      </c>
    </row>
    <row r="1831">
      <c r="A1831" t="inlineStr">
        <is>
          <t>2025-11-06</t>
        </is>
      </c>
      <c r="B1831" t="inlineStr">
        <is>
          <t>CJ프레시웨이</t>
        </is>
      </c>
      <c r="C1831" t="inlineStr">
        <is>
          <t>051500</t>
        </is>
      </c>
      <c r="D1831" t="inlineStr">
        <is>
          <t>연결</t>
        </is>
      </c>
      <c r="E1831" t="inlineStr">
        <is>
          <t>2025Q3</t>
        </is>
      </c>
      <c r="F1831" s="2" t="n">
        <v>901158</v>
      </c>
      <c r="G1831" t="n">
        <v>2</v>
      </c>
      <c r="H1831" t="n">
        <v>8.300000000000001</v>
      </c>
      <c r="I1831" s="2" t="n">
        <v>33632</v>
      </c>
      <c r="J1831" t="n">
        <v>22.6</v>
      </c>
      <c r="K1831" t="n">
        <v>19.3</v>
      </c>
      <c r="L1831" s="2" t="n">
        <v>23273</v>
      </c>
      <c r="M1831" t="inlineStr"/>
      <c r="N1831" t="inlineStr">
        <is>
          <t>20251106900383</t>
        </is>
      </c>
      <c r="O1831">
        <f>HYPERLINK("https://dart.fss.or.kr/dsaf001/main.do?rcpNo=20251106900383", "공시열람")</f>
        <v/>
      </c>
    </row>
    <row r="1832">
      <c r="A1832" t="inlineStr">
        <is>
          <t>2025-11-06</t>
        </is>
      </c>
      <c r="B1832" t="inlineStr">
        <is>
          <t>두산로보틱스</t>
        </is>
      </c>
      <c r="C1832" t="inlineStr">
        <is>
          <t>454910</t>
        </is>
      </c>
      <c r="D1832" t="inlineStr">
        <is>
          <t>연결</t>
        </is>
      </c>
      <c r="E1832" t="inlineStr">
        <is>
          <t>2025Q3</t>
        </is>
      </c>
      <c r="F1832" s="2" t="n">
        <v>10165</v>
      </c>
      <c r="G1832" t="n">
        <v>124.3</v>
      </c>
      <c r="H1832" t="n">
        <v>1.3</v>
      </c>
      <c r="I1832" s="2" t="n">
        <v>-15265</v>
      </c>
      <c r="J1832" t="n">
        <v>2.5</v>
      </c>
      <c r="K1832" t="n">
        <v>-59.2</v>
      </c>
      <c r="L1832" s="2" t="n">
        <v>-12858</v>
      </c>
      <c r="M1832" t="n">
        <v>-86.8</v>
      </c>
      <c r="N1832" t="inlineStr">
        <is>
          <t>20251106800365</t>
        </is>
      </c>
      <c r="O1832">
        <f>HYPERLINK("https://dart.fss.or.kr/dsaf001/main.do?rcpNo=20251106800365", "공시열람")</f>
        <v/>
      </c>
    </row>
    <row r="1833">
      <c r="A1833" t="inlineStr">
        <is>
          <t>2025-11-06</t>
        </is>
      </c>
      <c r="B1833" t="inlineStr">
        <is>
          <t>블루엠텍</t>
        </is>
      </c>
      <c r="C1833" t="inlineStr">
        <is>
          <t>439580</t>
        </is>
      </c>
      <c r="D1833" t="inlineStr">
        <is>
          <t>연결</t>
        </is>
      </c>
      <c r="E1833" t="inlineStr">
        <is>
          <t>2025Q3</t>
        </is>
      </c>
      <c r="F1833" s="2" t="n">
        <v>52137</v>
      </c>
      <c r="G1833" t="n">
        <v>14.21</v>
      </c>
      <c r="H1833" t="n">
        <v>10.62</v>
      </c>
      <c r="I1833" s="2" t="n">
        <v>347</v>
      </c>
      <c r="J1833" t="inlineStr"/>
      <c r="K1833" t="inlineStr"/>
      <c r="L1833" s="2" t="n">
        <v>-487</v>
      </c>
      <c r="M1833" t="n">
        <v>85.83</v>
      </c>
      <c r="N1833" t="inlineStr">
        <is>
          <t>20251106900381</t>
        </is>
      </c>
      <c r="O1833">
        <f>HYPERLINK("https://dart.fss.or.kr/dsaf001/main.do?rcpNo=20251106900381", "공시열람")</f>
        <v/>
      </c>
    </row>
    <row r="1834">
      <c r="A1834" t="inlineStr">
        <is>
          <t>2025-11-06</t>
        </is>
      </c>
      <c r="B1834" t="inlineStr">
        <is>
          <t>케이티앤지</t>
        </is>
      </c>
      <c r="C1834" t="inlineStr">
        <is>
          <t>033780</t>
        </is>
      </c>
      <c r="D1834" t="inlineStr">
        <is>
          <t>연결</t>
        </is>
      </c>
      <c r="E1834" t="inlineStr">
        <is>
          <t>2025Q3</t>
        </is>
      </c>
      <c r="F1834" s="2" t="n">
        <v>1826896</v>
      </c>
      <c r="G1834" t="n">
        <v>18</v>
      </c>
      <c r="H1834" t="n">
        <v>11.6</v>
      </c>
      <c r="I1834" s="2" t="n">
        <v>465289</v>
      </c>
      <c r="J1834" t="n">
        <v>33</v>
      </c>
      <c r="K1834" t="n">
        <v>11.4</v>
      </c>
      <c r="L1834" s="2" t="n">
        <v>418712</v>
      </c>
      <c r="M1834" t="n">
        <v>73.40000000000001</v>
      </c>
      <c r="N1834" t="inlineStr">
        <is>
          <t>20251106800392</t>
        </is>
      </c>
      <c r="O1834">
        <f>HYPERLINK("https://dart.fss.or.kr/dsaf001/main.do?rcpNo=20251106800392", "공시열람")</f>
        <v/>
      </c>
    </row>
    <row r="1835">
      <c r="A1835" t="inlineStr">
        <is>
          <t>2025-11-06</t>
        </is>
      </c>
      <c r="B1835" t="inlineStr">
        <is>
          <t>CJ CGV</t>
        </is>
      </c>
      <c r="C1835" t="inlineStr">
        <is>
          <t>079160</t>
        </is>
      </c>
      <c r="D1835" t="inlineStr">
        <is>
          <t>연결</t>
        </is>
      </c>
      <c r="E1835" t="inlineStr">
        <is>
          <t>2025Q3</t>
        </is>
      </c>
      <c r="F1835" s="2" t="n">
        <v>583079</v>
      </c>
      <c r="G1835" t="n">
        <v>18.6</v>
      </c>
      <c r="H1835" t="n">
        <v>6.6</v>
      </c>
      <c r="I1835" s="2" t="n">
        <v>23344</v>
      </c>
      <c r="J1835" t="n">
        <v>1259.6</v>
      </c>
      <c r="K1835" t="n">
        <v>-27.2</v>
      </c>
      <c r="L1835" s="2" t="n">
        <v>-28707</v>
      </c>
      <c r="M1835" t="inlineStr"/>
      <c r="N1835" t="inlineStr">
        <is>
          <t>20251106800411</t>
        </is>
      </c>
      <c r="O1835">
        <f>HYPERLINK("https://dart.fss.or.kr/dsaf001/main.do?rcpNo=20251106800411", "공시열람")</f>
        <v/>
      </c>
    </row>
    <row r="1836">
      <c r="A1836" t="inlineStr">
        <is>
          <t>2025-11-06</t>
        </is>
      </c>
      <c r="B1836" t="inlineStr">
        <is>
          <t>KZ정밀</t>
        </is>
      </c>
      <c r="C1836" t="inlineStr">
        <is>
          <t>036560</t>
        </is>
      </c>
      <c r="D1836" t="inlineStr">
        <is>
          <t>별도</t>
        </is>
      </c>
      <c r="E1836" t="inlineStr">
        <is>
          <t>2025Q3</t>
        </is>
      </c>
      <c r="F1836" s="2" t="n">
        <v>27989</v>
      </c>
      <c r="G1836" t="n">
        <v>-12.9</v>
      </c>
      <c r="H1836" t="n">
        <v>48.1</v>
      </c>
      <c r="I1836" s="2" t="n">
        <v>2890</v>
      </c>
      <c r="J1836" t="n">
        <v>-27.9</v>
      </c>
      <c r="K1836" t="n">
        <v>148.9</v>
      </c>
      <c r="L1836" s="2" t="n">
        <v>2272</v>
      </c>
      <c r="M1836" t="n">
        <v>-48.5</v>
      </c>
      <c r="N1836" t="inlineStr">
        <is>
          <t>20251106900439</t>
        </is>
      </c>
      <c r="O1836">
        <f>HYPERLINK("https://dart.fss.or.kr/dsaf001/main.do?rcpNo=20251106900439", "공시열람")</f>
        <v/>
      </c>
    </row>
    <row r="1837">
      <c r="A1837" t="inlineStr">
        <is>
          <t>2025-11-06</t>
        </is>
      </c>
      <c r="B1837" t="inlineStr">
        <is>
          <t>텔레칩스</t>
        </is>
      </c>
      <c r="C1837" t="inlineStr">
        <is>
          <t>054450</t>
        </is>
      </c>
      <c r="D1837" t="inlineStr">
        <is>
          <t>연결</t>
        </is>
      </c>
      <c r="E1837" t="inlineStr">
        <is>
          <t>2025Q3</t>
        </is>
      </c>
      <c r="F1837" s="2" t="n">
        <v>50246</v>
      </c>
      <c r="G1837" t="n">
        <v>13.4</v>
      </c>
      <c r="H1837" t="n">
        <v>5.5</v>
      </c>
      <c r="I1837" s="2" t="n">
        <v>-2719</v>
      </c>
      <c r="J1837" t="n">
        <v>23.5</v>
      </c>
      <c r="K1837" t="inlineStr"/>
      <c r="L1837" s="2" t="n">
        <v>-4106</v>
      </c>
      <c r="M1837" t="n">
        <v>57.9</v>
      </c>
      <c r="N1837" t="inlineStr">
        <is>
          <t>20251106900420</t>
        </is>
      </c>
      <c r="O1837">
        <f>HYPERLINK("https://dart.fss.or.kr/dsaf001/main.do?rcpNo=20251106900420", "공시열람")</f>
        <v/>
      </c>
    </row>
    <row r="1838">
      <c r="A1838" t="inlineStr">
        <is>
          <t>2025-11-06</t>
        </is>
      </c>
      <c r="B1838" t="inlineStr">
        <is>
          <t>잉글우드랩</t>
        </is>
      </c>
      <c r="C1838" t="inlineStr">
        <is>
          <t>950140</t>
        </is>
      </c>
      <c r="D1838" t="inlineStr">
        <is>
          <t>연결</t>
        </is>
      </c>
      <c r="E1838" t="inlineStr">
        <is>
          <t>2025Q3</t>
        </is>
      </c>
      <c r="F1838" s="2" t="n">
        <v>61829</v>
      </c>
      <c r="G1838" t="n">
        <v>7.6</v>
      </c>
      <c r="H1838" t="n">
        <v>50.3</v>
      </c>
      <c r="I1838" s="2" t="n">
        <v>13233</v>
      </c>
      <c r="J1838" t="n">
        <v>31.5</v>
      </c>
      <c r="K1838" t="n">
        <v>224.9</v>
      </c>
      <c r="L1838" s="2" t="n">
        <v>11041</v>
      </c>
      <c r="M1838" t="n">
        <v>1940.4</v>
      </c>
      <c r="N1838" t="inlineStr">
        <is>
          <t>20251106900453</t>
        </is>
      </c>
      <c r="O1838">
        <f>HYPERLINK("https://dart.fss.or.kr/dsaf001/main.do?rcpNo=20251106900453", "공시열람")</f>
        <v/>
      </c>
    </row>
    <row r="1839">
      <c r="A1839" t="inlineStr">
        <is>
          <t>2025-11-06</t>
        </is>
      </c>
      <c r="B1839" t="inlineStr">
        <is>
          <t>아모레퍼시픽</t>
        </is>
      </c>
      <c r="C1839" t="inlineStr">
        <is>
          <t>090430</t>
        </is>
      </c>
      <c r="D1839" t="inlineStr">
        <is>
          <t>연결</t>
        </is>
      </c>
      <c r="E1839" t="inlineStr">
        <is>
          <t>2025Q3</t>
        </is>
      </c>
      <c r="F1839" s="2" t="n">
        <v>1016904</v>
      </c>
      <c r="G1839" t="n">
        <v>1.2</v>
      </c>
      <c r="H1839" t="n">
        <v>4.1</v>
      </c>
      <c r="I1839" s="2" t="n">
        <v>91887</v>
      </c>
      <c r="J1839" t="n">
        <v>24.7</v>
      </c>
      <c r="K1839" t="n">
        <v>41</v>
      </c>
      <c r="L1839" s="2" t="n">
        <v>68239</v>
      </c>
      <c r="M1839" t="n">
        <v>83.59999999999999</v>
      </c>
      <c r="N1839" t="inlineStr">
        <is>
          <t>20251106800593</t>
        </is>
      </c>
      <c r="O1839">
        <f>HYPERLINK("https://dart.fss.or.kr/dsaf001/main.do?rcpNo=20251106800593", "공시열람")</f>
        <v/>
      </c>
    </row>
    <row r="1840">
      <c r="A1840" t="inlineStr">
        <is>
          <t>2025-11-06</t>
        </is>
      </c>
      <c r="B1840" t="inlineStr">
        <is>
          <t>아모레퍼시픽홀딩스</t>
        </is>
      </c>
      <c r="C1840" t="inlineStr">
        <is>
          <t>002790</t>
        </is>
      </c>
      <c r="D1840" t="inlineStr">
        <is>
          <t>연결</t>
        </is>
      </c>
      <c r="E1840" t="inlineStr">
        <is>
          <t>2025Q3</t>
        </is>
      </c>
      <c r="F1840" s="2" t="n">
        <v>1108243</v>
      </c>
      <c r="G1840" t="n">
        <v>1.2</v>
      </c>
      <c r="H1840" t="n">
        <v>3.8</v>
      </c>
      <c r="I1840" s="2" t="n">
        <v>104261</v>
      </c>
      <c r="J1840" t="n">
        <v>30.1</v>
      </c>
      <c r="K1840" t="n">
        <v>39</v>
      </c>
      <c r="L1840" s="2" t="n">
        <v>83271</v>
      </c>
      <c r="M1840" t="n">
        <v>61.2</v>
      </c>
      <c r="N1840" t="inlineStr">
        <is>
          <t>20251106800654</t>
        </is>
      </c>
      <c r="O1840">
        <f>HYPERLINK("https://dart.fss.or.kr/dsaf001/main.do?rcpNo=20251106800654", "공시열람")</f>
        <v/>
      </c>
    </row>
    <row r="1841">
      <c r="A1841" t="inlineStr">
        <is>
          <t>2025-11-06</t>
        </is>
      </c>
      <c r="B1841" t="inlineStr">
        <is>
          <t>대신증권</t>
        </is>
      </c>
      <c r="C1841" t="inlineStr">
        <is>
          <t>003540</t>
        </is>
      </c>
      <c r="D1841" t="inlineStr">
        <is>
          <t>연결</t>
        </is>
      </c>
      <c r="E1841" t="inlineStr">
        <is>
          <t>2025Q3</t>
        </is>
      </c>
      <c r="F1841" s="2" t="n">
        <v>825821</v>
      </c>
      <c r="G1841" t="n">
        <v>-37.5</v>
      </c>
      <c r="H1841" t="n">
        <v>-16.5</v>
      </c>
      <c r="I1841" s="2" t="n">
        <v>73644</v>
      </c>
      <c r="J1841" t="n">
        <v>-45.7</v>
      </c>
      <c r="K1841" t="n">
        <v>1922.2</v>
      </c>
      <c r="L1841" s="2" t="n">
        <v>40067</v>
      </c>
      <c r="M1841" t="n">
        <v>1151.2</v>
      </c>
      <c r="N1841" t="inlineStr">
        <is>
          <t>20251106800667</t>
        </is>
      </c>
      <c r="O1841">
        <f>HYPERLINK("https://dart.fss.or.kr/dsaf001/main.do?rcpNo=20251106800667", "공시열람")</f>
        <v/>
      </c>
    </row>
    <row r="1842">
      <c r="A1842" t="inlineStr">
        <is>
          <t>2025-11-06</t>
        </is>
      </c>
      <c r="B1842" t="inlineStr">
        <is>
          <t>쎌바이오텍</t>
        </is>
      </c>
      <c r="C1842" t="inlineStr">
        <is>
          <t>049960</t>
        </is>
      </c>
      <c r="D1842" t="inlineStr">
        <is>
          <t>연결</t>
        </is>
      </c>
      <c r="E1842" t="inlineStr">
        <is>
          <t>2025Q3</t>
        </is>
      </c>
      <c r="F1842" s="2" t="n">
        <v>15355</v>
      </c>
      <c r="G1842" t="n">
        <v>28.9</v>
      </c>
      <c r="H1842" t="n">
        <v>26.3</v>
      </c>
      <c r="I1842" s="2" t="n">
        <v>2216</v>
      </c>
      <c r="J1842" t="n">
        <v>72.90000000000001</v>
      </c>
      <c r="K1842" t="n">
        <v>6.1</v>
      </c>
      <c r="L1842" s="2" t="n">
        <v>3449</v>
      </c>
      <c r="M1842" t="n">
        <v>255.9</v>
      </c>
      <c r="N1842" t="inlineStr">
        <is>
          <t>20251106900251</t>
        </is>
      </c>
      <c r="O1842">
        <f>HYPERLINK("https://dart.fss.or.kr/dsaf001/main.do?rcpNo=20251106900251", "공시열람")</f>
        <v/>
      </c>
    </row>
    <row r="1843">
      <c r="A1843" t="inlineStr">
        <is>
          <t>2025-11-06</t>
        </is>
      </c>
      <c r="B1843" t="inlineStr">
        <is>
          <t>이수앱지스</t>
        </is>
      </c>
      <c r="C1843" t="inlineStr">
        <is>
          <t>086890</t>
        </is>
      </c>
      <c r="D1843" t="inlineStr">
        <is>
          <t>별도</t>
        </is>
      </c>
      <c r="E1843" t="inlineStr">
        <is>
          <t>2025Q3</t>
        </is>
      </c>
      <c r="F1843" s="2" t="n">
        <v>15734</v>
      </c>
      <c r="G1843" t="n">
        <v>-31.1</v>
      </c>
      <c r="H1843" t="n">
        <v>79.5</v>
      </c>
      <c r="I1843" s="2" t="n">
        <v>562</v>
      </c>
      <c r="J1843" t="n">
        <v>-94</v>
      </c>
      <c r="K1843" t="n">
        <v>287.3</v>
      </c>
      <c r="L1843" s="2" t="n">
        <v>-255</v>
      </c>
      <c r="M1843" t="inlineStr"/>
      <c r="N1843" t="inlineStr">
        <is>
          <t>20251106900247</t>
        </is>
      </c>
      <c r="O1843">
        <f>HYPERLINK("https://dart.fss.or.kr/dsaf001/main.do?rcpNo=20251106900247", "공시열람")</f>
        <v/>
      </c>
    </row>
    <row r="1844">
      <c r="A1844" t="inlineStr">
        <is>
          <t>2025-11-06</t>
        </is>
      </c>
      <c r="B1844" t="inlineStr">
        <is>
          <t>현대에버다임</t>
        </is>
      </c>
      <c r="C1844" t="inlineStr">
        <is>
          <t>041440</t>
        </is>
      </c>
      <c r="D1844" t="inlineStr">
        <is>
          <t>연결</t>
        </is>
      </c>
      <c r="E1844" t="inlineStr">
        <is>
          <t>2025Q3</t>
        </is>
      </c>
      <c r="F1844" s="2" t="n">
        <v>64731</v>
      </c>
      <c r="G1844" t="n">
        <v>-24.1</v>
      </c>
      <c r="H1844" t="n">
        <v>5.9</v>
      </c>
      <c r="I1844" s="2" t="n">
        <v>500</v>
      </c>
      <c r="J1844" t="n">
        <v>-82.2</v>
      </c>
      <c r="K1844" t="inlineStr"/>
      <c r="L1844" s="2" t="n">
        <v>1714</v>
      </c>
      <c r="M1844" t="inlineStr"/>
      <c r="N1844" t="inlineStr">
        <is>
          <t>20251106900250</t>
        </is>
      </c>
      <c r="O1844">
        <f>HYPERLINK("https://dart.fss.or.kr/dsaf001/main.do?rcpNo=20251106900250", "공시열람")</f>
        <v/>
      </c>
    </row>
    <row r="1845">
      <c r="A1845" t="inlineStr">
        <is>
          <t>2025-11-06</t>
        </is>
      </c>
      <c r="B1845" t="inlineStr">
        <is>
          <t>코텍</t>
        </is>
      </c>
      <c r="C1845" t="inlineStr">
        <is>
          <t>052330</t>
        </is>
      </c>
      <c r="D1845" t="inlineStr">
        <is>
          <t>연결</t>
        </is>
      </c>
      <c r="E1845" t="inlineStr">
        <is>
          <t>2025Q3</t>
        </is>
      </c>
      <c r="F1845" s="2" t="n">
        <v>105637</v>
      </c>
      <c r="G1845" t="n">
        <v>11.9</v>
      </c>
      <c r="H1845" t="n">
        <v>23.8</v>
      </c>
      <c r="I1845" s="2" t="n">
        <v>8239</v>
      </c>
      <c r="J1845" t="n">
        <v>23.2</v>
      </c>
      <c r="K1845" t="n">
        <v>8</v>
      </c>
      <c r="L1845" s="2" t="n">
        <v>5771</v>
      </c>
      <c r="M1845" t="n">
        <v>164.7</v>
      </c>
      <c r="N1845" t="inlineStr">
        <is>
          <t>20251106900118</t>
        </is>
      </c>
      <c r="O1845">
        <f>HYPERLINK("https://dart.fss.or.kr/dsaf001/main.do?rcpNo=20251106900118", "공시열람")</f>
        <v/>
      </c>
    </row>
    <row r="1846">
      <c r="A1846" t="inlineStr">
        <is>
          <t>2025-11-06</t>
        </is>
      </c>
      <c r="B1846" t="inlineStr">
        <is>
          <t>케이카</t>
        </is>
      </c>
      <c r="C1846" t="inlineStr">
        <is>
          <t>381970</t>
        </is>
      </c>
      <c r="D1846" t="inlineStr">
        <is>
          <t>별도</t>
        </is>
      </c>
      <c r="E1846" t="inlineStr">
        <is>
          <t>2025Q3</t>
        </is>
      </c>
      <c r="F1846" s="2" t="n">
        <v>665536</v>
      </c>
      <c r="G1846" t="n">
        <v>9.300000000000001</v>
      </c>
      <c r="H1846" t="n">
        <v>14.8</v>
      </c>
      <c r="I1846" s="2" t="n">
        <v>24000</v>
      </c>
      <c r="J1846" t="n">
        <v>32.4</v>
      </c>
      <c r="K1846" t="n">
        <v>40.3</v>
      </c>
      <c r="L1846" s="2" t="n">
        <v>17170</v>
      </c>
      <c r="M1846" t="n">
        <v>55.7</v>
      </c>
      <c r="N1846" t="inlineStr">
        <is>
          <t>20251106800047</t>
        </is>
      </c>
      <c r="O1846">
        <f>HYPERLINK("https://dart.fss.or.kr/dsaf001/main.do?rcpNo=20251106800047", "공시열람")</f>
        <v/>
      </c>
    </row>
    <row r="1847">
      <c r="A1847" t="inlineStr">
        <is>
          <t>2025-11-06</t>
        </is>
      </c>
      <c r="B1847" t="inlineStr">
        <is>
          <t>헥토파이낸셜</t>
        </is>
      </c>
      <c r="C1847" t="inlineStr">
        <is>
          <t>234340</t>
        </is>
      </c>
      <c r="D1847" t="inlineStr">
        <is>
          <t>별도</t>
        </is>
      </c>
      <c r="E1847" t="inlineStr">
        <is>
          <t>2025Q3</t>
        </is>
      </c>
      <c r="F1847" s="2" t="n">
        <v>40023</v>
      </c>
      <c r="G1847" t="n">
        <v>2.4</v>
      </c>
      <c r="H1847" t="n">
        <v>11.9</v>
      </c>
      <c r="I1847" s="2" t="n">
        <v>5091</v>
      </c>
      <c r="J1847" t="n">
        <v>11.4</v>
      </c>
      <c r="K1847" t="n">
        <v>9.6</v>
      </c>
      <c r="L1847" s="2" t="n">
        <v>4471</v>
      </c>
      <c r="M1847" t="n">
        <v>-9</v>
      </c>
      <c r="N1847" t="inlineStr">
        <is>
          <t>20251106900057</t>
        </is>
      </c>
      <c r="O1847">
        <f>HYPERLINK("https://dart.fss.or.kr/dsaf001/main.do?rcpNo=20251106900057", "공시열람")</f>
        <v/>
      </c>
    </row>
    <row r="1848">
      <c r="A1848" t="inlineStr">
        <is>
          <t>2025-11-06</t>
        </is>
      </c>
      <c r="B1848" t="inlineStr">
        <is>
          <t>헥토이노베이션</t>
        </is>
      </c>
      <c r="C1848" t="inlineStr">
        <is>
          <t>214180</t>
        </is>
      </c>
      <c r="D1848" t="inlineStr">
        <is>
          <t>연결</t>
        </is>
      </c>
      <c r="E1848" t="inlineStr">
        <is>
          <t>2025Q3</t>
        </is>
      </c>
      <c r="F1848" s="2" t="n">
        <v>95626</v>
      </c>
      <c r="G1848" t="n">
        <v>4.2</v>
      </c>
      <c r="H1848" t="n">
        <v>19.2</v>
      </c>
      <c r="I1848" s="2" t="n">
        <v>14677</v>
      </c>
      <c r="J1848" t="n">
        <v>9.4</v>
      </c>
      <c r="K1848" t="n">
        <v>5.4</v>
      </c>
      <c r="L1848" s="2" t="n">
        <v>11761</v>
      </c>
      <c r="M1848" t="n">
        <v>-5.4</v>
      </c>
      <c r="N1848" t="inlineStr">
        <is>
          <t>20251106900049</t>
        </is>
      </c>
      <c r="O1848">
        <f>HYPERLINK("https://dart.fss.or.kr/dsaf001/main.do?rcpNo=20251106900049", "공시열람")</f>
        <v/>
      </c>
    </row>
    <row r="1849">
      <c r="A1849" t="inlineStr">
        <is>
          <t>2025-11-06</t>
        </is>
      </c>
      <c r="B1849" t="inlineStr">
        <is>
          <t>헥토이노베이션</t>
        </is>
      </c>
      <c r="C1849" t="inlineStr">
        <is>
          <t>214180</t>
        </is>
      </c>
      <c r="D1849" t="inlineStr">
        <is>
          <t>별도</t>
        </is>
      </c>
      <c r="E1849" t="inlineStr">
        <is>
          <t>2025Q3</t>
        </is>
      </c>
      <c r="F1849" s="2" t="n">
        <v>30507</v>
      </c>
      <c r="G1849" t="n">
        <v>3.6</v>
      </c>
      <c r="H1849" t="n">
        <v>5.4</v>
      </c>
      <c r="I1849" s="2" t="n">
        <v>7500</v>
      </c>
      <c r="J1849" t="n">
        <v>-13.8</v>
      </c>
      <c r="K1849" t="n">
        <v>-27.1</v>
      </c>
      <c r="L1849" s="2" t="n">
        <v>5932</v>
      </c>
      <c r="M1849" t="n">
        <v>-30</v>
      </c>
      <c r="N1849" t="inlineStr">
        <is>
          <t>20251106900053</t>
        </is>
      </c>
      <c r="O1849">
        <f>HYPERLINK("https://dart.fss.or.kr/dsaf001/main.do?rcpNo=20251106900053", "공시열람")</f>
        <v/>
      </c>
    </row>
    <row r="1850">
      <c r="A1850" t="inlineStr">
        <is>
          <t>2025-11-06</t>
        </is>
      </c>
      <c r="B1850" t="inlineStr">
        <is>
          <t>GS리테일</t>
        </is>
      </c>
      <c r="C1850" t="inlineStr">
        <is>
          <t>007070</t>
        </is>
      </c>
      <c r="D1850" t="inlineStr">
        <is>
          <t>연결</t>
        </is>
      </c>
      <c r="E1850" t="inlineStr">
        <is>
          <t>2025Q3</t>
        </is>
      </c>
      <c r="F1850" s="2" t="n">
        <v>3205418</v>
      </c>
      <c r="G1850" t="n">
        <v>7.7</v>
      </c>
      <c r="H1850" t="n">
        <v>5.3</v>
      </c>
      <c r="I1850" s="2" t="n">
        <v>111149</v>
      </c>
      <c r="J1850" t="n">
        <v>29.5</v>
      </c>
      <c r="K1850" t="n">
        <v>31.6</v>
      </c>
      <c r="L1850" s="2" t="n">
        <v>90291</v>
      </c>
      <c r="M1850" t="inlineStr"/>
      <c r="N1850" t="inlineStr">
        <is>
          <t>20251106800067</t>
        </is>
      </c>
      <c r="O1850">
        <f>HYPERLINK("https://dart.fss.or.kr/dsaf001/main.do?rcpNo=20251106800067", "공시열람")</f>
        <v/>
      </c>
    </row>
    <row r="1851">
      <c r="A1851" t="inlineStr">
        <is>
          <t>2025-11-06</t>
        </is>
      </c>
      <c r="B1851" t="inlineStr">
        <is>
          <t>미래에셋증권</t>
        </is>
      </c>
      <c r="C1851" t="inlineStr">
        <is>
          <t>006800</t>
        </is>
      </c>
      <c r="D1851" t="inlineStr">
        <is>
          <t>연결</t>
        </is>
      </c>
      <c r="E1851" t="inlineStr">
        <is>
          <t>2025Q3</t>
        </is>
      </c>
      <c r="F1851" s="2" t="n">
        <v>6672431</v>
      </c>
      <c r="G1851" t="n">
        <v>-13.3</v>
      </c>
      <c r="H1851" t="n">
        <v>22.5</v>
      </c>
      <c r="I1851" s="2" t="n">
        <v>222796</v>
      </c>
      <c r="J1851" t="n">
        <v>-55.5</v>
      </c>
      <c r="K1851" t="n">
        <v>-39.9</v>
      </c>
      <c r="L1851" s="2" t="n">
        <v>343773</v>
      </c>
      <c r="M1851" t="n">
        <v>18.8</v>
      </c>
      <c r="N1851" t="inlineStr">
        <is>
          <t>20251106800074</t>
        </is>
      </c>
      <c r="O1851">
        <f>HYPERLINK("https://dart.fss.or.kr/dsaf001/main.do?rcpNo=20251106800074", "공시열람")</f>
        <v/>
      </c>
    </row>
    <row r="1852">
      <c r="A1852" t="inlineStr">
        <is>
          <t>2025-11-06</t>
        </is>
      </c>
      <c r="B1852" t="inlineStr">
        <is>
          <t>에이피알</t>
        </is>
      </c>
      <c r="C1852" t="inlineStr">
        <is>
          <t>278470</t>
        </is>
      </c>
      <c r="D1852" t="inlineStr">
        <is>
          <t>연결</t>
        </is>
      </c>
      <c r="E1852" t="inlineStr">
        <is>
          <t>2025Q3</t>
        </is>
      </c>
      <c r="F1852" s="2" t="n">
        <v>385943</v>
      </c>
      <c r="G1852" t="n">
        <v>17.8</v>
      </c>
      <c r="H1852" t="n">
        <v>121.7</v>
      </c>
      <c r="I1852" s="2" t="n">
        <v>96128</v>
      </c>
      <c r="J1852" t="n">
        <v>13.7</v>
      </c>
      <c r="K1852" t="n">
        <v>252.8</v>
      </c>
      <c r="L1852" s="2" t="n">
        <v>74634</v>
      </c>
      <c r="M1852" t="n">
        <v>366.3</v>
      </c>
      <c r="N1852" t="inlineStr">
        <is>
          <t>20251106800081</t>
        </is>
      </c>
      <c r="O1852">
        <f>HYPERLINK("https://dart.fss.or.kr/dsaf001/main.do?rcpNo=20251106800081", "공시열람")</f>
        <v/>
      </c>
    </row>
    <row r="1853">
      <c r="A1853" t="inlineStr">
        <is>
          <t>2025-11-06</t>
        </is>
      </c>
      <c r="B1853" t="inlineStr">
        <is>
          <t>일동제약</t>
        </is>
      </c>
      <c r="C1853" t="inlineStr">
        <is>
          <t>249420</t>
        </is>
      </c>
      <c r="D1853" t="inlineStr">
        <is>
          <t>연결</t>
        </is>
      </c>
      <c r="E1853" t="inlineStr">
        <is>
          <t>2025Q3</t>
        </is>
      </c>
      <c r="F1853" s="2" t="n">
        <v>145456</v>
      </c>
      <c r="G1853" t="n">
        <v>5</v>
      </c>
      <c r="H1853" t="n">
        <v>-6.7</v>
      </c>
      <c r="I1853" s="2" t="n">
        <v>6760</v>
      </c>
      <c r="J1853" t="n">
        <v>1033.9</v>
      </c>
      <c r="K1853" t="n">
        <v>87.59999999999999</v>
      </c>
      <c r="L1853" s="2" t="n">
        <v>21489</v>
      </c>
      <c r="M1853" t="n">
        <v>334.2</v>
      </c>
      <c r="N1853" t="inlineStr">
        <is>
          <t>20251106800083</t>
        </is>
      </c>
      <c r="O1853">
        <f>HYPERLINK("https://dart.fss.or.kr/dsaf001/main.do?rcpNo=20251106800083", "공시열람")</f>
        <v/>
      </c>
    </row>
    <row r="1854">
      <c r="A1854" t="inlineStr">
        <is>
          <t>2025-11-06</t>
        </is>
      </c>
      <c r="B1854" t="inlineStr">
        <is>
          <t>일동제약</t>
        </is>
      </c>
      <c r="C1854" t="inlineStr">
        <is>
          <t>249420</t>
        </is>
      </c>
      <c r="D1854" t="inlineStr">
        <is>
          <t>별도</t>
        </is>
      </c>
      <c r="E1854" t="inlineStr">
        <is>
          <t>2025Q3</t>
        </is>
      </c>
      <c r="F1854" s="2" t="n">
        <v>143900</v>
      </c>
      <c r="G1854" t="n">
        <v>5.5</v>
      </c>
      <c r="H1854" t="n">
        <v>-6.9</v>
      </c>
      <c r="I1854" s="2" t="n">
        <v>9599</v>
      </c>
      <c r="J1854" t="n">
        <v>213.3</v>
      </c>
      <c r="K1854" t="n">
        <v>-8.1</v>
      </c>
      <c r="L1854" s="2" t="n">
        <v>29715</v>
      </c>
      <c r="M1854" t="n">
        <v>511.6</v>
      </c>
      <c r="N1854" t="inlineStr">
        <is>
          <t>20251106800084</t>
        </is>
      </c>
      <c r="O1854">
        <f>HYPERLINK("https://dart.fss.or.kr/dsaf001/main.do?rcpNo=20251106800084", "공시열람")</f>
        <v/>
      </c>
    </row>
    <row r="1855">
      <c r="A1855" t="inlineStr">
        <is>
          <t>2025-11-06</t>
        </is>
      </c>
      <c r="B1855" t="inlineStr">
        <is>
          <t>아비코전자</t>
        </is>
      </c>
      <c r="C1855" t="inlineStr">
        <is>
          <t>036010</t>
        </is>
      </c>
      <c r="D1855" t="inlineStr">
        <is>
          <t>연결</t>
        </is>
      </c>
      <c r="E1855" t="inlineStr">
        <is>
          <t>2025Q3</t>
        </is>
      </c>
      <c r="F1855" s="2" t="n">
        <v>34702</v>
      </c>
      <c r="G1855" t="n">
        <v>3.3</v>
      </c>
      <c r="H1855" t="n">
        <v>15.7</v>
      </c>
      <c r="I1855" s="2" t="n">
        <v>2418</v>
      </c>
      <c r="J1855" t="n">
        <v>-15</v>
      </c>
      <c r="K1855" t="inlineStr"/>
      <c r="L1855" s="2" t="n">
        <v>2812</v>
      </c>
      <c r="M1855" t="inlineStr"/>
      <c r="N1855" t="inlineStr">
        <is>
          <t>20251106900119</t>
        </is>
      </c>
      <c r="O1855">
        <f>HYPERLINK("https://dart.fss.or.kr/dsaf001/main.do?rcpNo=20251106900119", "공시열람")</f>
        <v/>
      </c>
    </row>
    <row r="1856">
      <c r="A1856" t="inlineStr">
        <is>
          <t>2025-11-06</t>
        </is>
      </c>
      <c r="B1856" t="inlineStr">
        <is>
          <t>롯데정밀화학</t>
        </is>
      </c>
      <c r="C1856" t="inlineStr">
        <is>
          <t>004000</t>
        </is>
      </c>
      <c r="D1856" t="inlineStr">
        <is>
          <t>연결</t>
        </is>
      </c>
      <c r="E1856" t="inlineStr">
        <is>
          <t>2025Q3</t>
        </is>
      </c>
      <c r="F1856" s="2" t="n">
        <v>443400</v>
      </c>
      <c r="G1856" t="n">
        <v>4.4</v>
      </c>
      <c r="H1856" t="n">
        <v>5.5</v>
      </c>
      <c r="I1856" s="2" t="n">
        <v>27600</v>
      </c>
      <c r="J1856" t="n">
        <v>217.2</v>
      </c>
      <c r="K1856" t="n">
        <v>168</v>
      </c>
      <c r="L1856" s="2" t="n">
        <v>35200</v>
      </c>
      <c r="M1856" t="inlineStr"/>
      <c r="N1856" t="inlineStr">
        <is>
          <t>20251106800239</t>
        </is>
      </c>
      <c r="O1856">
        <f>HYPERLINK("https://dart.fss.or.kr/dsaf001/main.do?rcpNo=20251106800239", "공시열람")</f>
        <v/>
      </c>
    </row>
    <row r="1857">
      <c r="A1857" t="inlineStr">
        <is>
          <t>2025-11-06</t>
        </is>
      </c>
      <c r="B1857" t="inlineStr">
        <is>
          <t>키이스트</t>
        </is>
      </c>
      <c r="C1857" t="inlineStr">
        <is>
          <t>054780</t>
        </is>
      </c>
      <c r="D1857" t="inlineStr">
        <is>
          <t>별도</t>
        </is>
      </c>
      <c r="E1857" t="inlineStr">
        <is>
          <t>2025Q3</t>
        </is>
      </c>
      <c r="F1857" s="2" t="n">
        <v>3628</v>
      </c>
      <c r="G1857" t="n">
        <v>18.7</v>
      </c>
      <c r="H1857" t="n">
        <v>-72.8</v>
      </c>
      <c r="I1857" s="2" t="n">
        <v>-1011</v>
      </c>
      <c r="J1857" t="n">
        <v>19.6</v>
      </c>
      <c r="K1857" t="inlineStr"/>
      <c r="L1857" s="2" t="n">
        <v>-1111</v>
      </c>
      <c r="M1857" t="inlineStr"/>
      <c r="N1857" t="inlineStr">
        <is>
          <t>20251106900126</t>
        </is>
      </c>
      <c r="O1857">
        <f>HYPERLINK("https://dart.fss.or.kr/dsaf001/main.do?rcpNo=20251106900126", "공시열람")</f>
        <v/>
      </c>
    </row>
    <row r="1858">
      <c r="A1858" t="inlineStr">
        <is>
          <t>2025-11-06</t>
        </is>
      </c>
      <c r="B1858" t="inlineStr">
        <is>
          <t>레드캡투어</t>
        </is>
      </c>
      <c r="C1858" t="inlineStr">
        <is>
          <t>038390</t>
        </is>
      </c>
      <c r="D1858" t="inlineStr">
        <is>
          <t>연결</t>
        </is>
      </c>
      <c r="E1858" t="inlineStr">
        <is>
          <t>2025Q3</t>
        </is>
      </c>
      <c r="F1858" s="2" t="n">
        <v>88927</v>
      </c>
      <c r="G1858" t="n">
        <v>-6.2</v>
      </c>
      <c r="H1858" t="n">
        <v>7</v>
      </c>
      <c r="I1858" s="2" t="n">
        <v>10292</v>
      </c>
      <c r="J1858" t="n">
        <v>-23.9</v>
      </c>
      <c r="K1858" t="n">
        <v>3.4</v>
      </c>
      <c r="L1858" s="2" t="n">
        <v>4978</v>
      </c>
      <c r="M1858" t="n">
        <v>19.8</v>
      </c>
      <c r="N1858" t="inlineStr">
        <is>
          <t>20251106900185</t>
        </is>
      </c>
      <c r="O1858">
        <f>HYPERLINK("https://dart.fss.or.kr/dsaf001/main.do?rcpNo=20251106900185", "공시열람")</f>
        <v/>
      </c>
    </row>
    <row r="1859">
      <c r="A1859" t="inlineStr">
        <is>
          <t>2025-11-06</t>
        </is>
      </c>
      <c r="B1859" t="inlineStr">
        <is>
          <t>일동홀딩스</t>
        </is>
      </c>
      <c r="C1859" t="inlineStr">
        <is>
          <t>000230</t>
        </is>
      </c>
      <c r="D1859" t="inlineStr">
        <is>
          <t>연결</t>
        </is>
      </c>
      <c r="E1859" t="inlineStr">
        <is>
          <t>2025Q3</t>
        </is>
      </c>
      <c r="F1859" s="2" t="n">
        <v>150369</v>
      </c>
      <c r="G1859" t="n">
        <v>3.4</v>
      </c>
      <c r="H1859" t="n">
        <v>-6.5</v>
      </c>
      <c r="I1859" s="2" t="n">
        <v>6533</v>
      </c>
      <c r="J1859" t="inlineStr"/>
      <c r="K1859" t="inlineStr"/>
      <c r="L1859" s="2" t="n">
        <v>15095</v>
      </c>
      <c r="M1859" t="inlineStr"/>
      <c r="N1859" t="inlineStr">
        <is>
          <t>20251106800193</t>
        </is>
      </c>
      <c r="O1859">
        <f>HYPERLINK("https://dart.fss.or.kr/dsaf001/main.do?rcpNo=20251106800193", "공시열람")</f>
        <v/>
      </c>
    </row>
    <row r="1860">
      <c r="A1860" t="inlineStr">
        <is>
          <t>2025-11-06</t>
        </is>
      </c>
      <c r="B1860" t="inlineStr">
        <is>
          <t>한화</t>
        </is>
      </c>
      <c r="C1860" t="inlineStr">
        <is>
          <t>000880</t>
        </is>
      </c>
      <c r="D1860" t="inlineStr">
        <is>
          <t>별도</t>
        </is>
      </c>
      <c r="E1860" t="inlineStr">
        <is>
          <t>2025Q3</t>
        </is>
      </c>
      <c r="F1860" s="2" t="n">
        <v>1076140</v>
      </c>
      <c r="G1860" t="n">
        <v>-4.78</v>
      </c>
      <c r="H1860" t="n">
        <v>-14.39</v>
      </c>
      <c r="I1860" s="2" t="n">
        <v>65040</v>
      </c>
      <c r="J1860" t="n">
        <v>-49.83</v>
      </c>
      <c r="K1860" t="n">
        <v>10.45</v>
      </c>
      <c r="L1860" s="2" t="n">
        <v>30226</v>
      </c>
      <c r="M1860" t="n">
        <v>-87.13</v>
      </c>
      <c r="N1860" t="inlineStr">
        <is>
          <t>20251106800199</t>
        </is>
      </c>
      <c r="O1860">
        <f>HYPERLINK("https://dart.fss.or.kr/dsaf001/main.do?rcpNo=20251106800199", "공시열람")</f>
        <v/>
      </c>
    </row>
    <row r="1861">
      <c r="A1861" t="inlineStr">
        <is>
          <t>2025-11-06</t>
        </is>
      </c>
      <c r="B1861" t="inlineStr">
        <is>
          <t>스튜디오드래곤</t>
        </is>
      </c>
      <c r="C1861" t="inlineStr">
        <is>
          <t>253450</t>
        </is>
      </c>
      <c r="D1861" t="inlineStr">
        <is>
          <t>연결</t>
        </is>
      </c>
      <c r="E1861" t="inlineStr">
        <is>
          <t>2025Q3</t>
        </is>
      </c>
      <c r="F1861" s="2" t="n">
        <v>136510</v>
      </c>
      <c r="G1861" t="n">
        <v>19.2</v>
      </c>
      <c r="H1861" t="n">
        <v>51.1</v>
      </c>
      <c r="I1861" s="2" t="n">
        <v>10469</v>
      </c>
      <c r="J1861" t="inlineStr"/>
      <c r="K1861" t="inlineStr"/>
      <c r="L1861" s="2" t="n">
        <v>8901</v>
      </c>
      <c r="M1861" t="inlineStr"/>
      <c r="N1861" t="inlineStr">
        <is>
          <t>20251106900204</t>
        </is>
      </c>
      <c r="O1861">
        <f>HYPERLINK("https://dart.fss.or.kr/dsaf001/main.do?rcpNo=20251106900204", "공시열람")</f>
        <v/>
      </c>
    </row>
    <row r="1862">
      <c r="A1862" t="inlineStr">
        <is>
          <t>2025-11-06</t>
        </is>
      </c>
      <c r="B1862" t="inlineStr">
        <is>
          <t>롯데칠성음료</t>
        </is>
      </c>
      <c r="C1862" t="inlineStr">
        <is>
          <t>005300</t>
        </is>
      </c>
      <c r="D1862" t="inlineStr">
        <is>
          <t>연결</t>
        </is>
      </c>
      <c r="E1862" t="inlineStr">
        <is>
          <t>2025Q3</t>
        </is>
      </c>
      <c r="F1862" s="2" t="n">
        <v>1079200</v>
      </c>
      <c r="G1862" t="n">
        <v>-0.7</v>
      </c>
      <c r="H1862" t="n">
        <v>1.3</v>
      </c>
      <c r="I1862" s="2" t="n">
        <v>91800</v>
      </c>
      <c r="J1862" t="n">
        <v>47.2</v>
      </c>
      <c r="K1862" t="n">
        <v>16.6</v>
      </c>
      <c r="L1862" s="2" t="n">
        <v>62000</v>
      </c>
      <c r="M1862" t="n">
        <v>39.3</v>
      </c>
      <c r="N1862" t="inlineStr">
        <is>
          <t>20251106800206</t>
        </is>
      </c>
      <c r="O1862">
        <f>HYPERLINK("https://dart.fss.or.kr/dsaf001/main.do?rcpNo=20251106800206", "공시열람")</f>
        <v/>
      </c>
    </row>
    <row r="1863">
      <c r="A1863" t="inlineStr">
        <is>
          <t>2025-11-06</t>
        </is>
      </c>
      <c r="B1863" t="inlineStr">
        <is>
          <t>케이엔더블유</t>
        </is>
      </c>
      <c r="C1863" t="inlineStr">
        <is>
          <t>105330</t>
        </is>
      </c>
      <c r="D1863" t="inlineStr">
        <is>
          <t>연결</t>
        </is>
      </c>
      <c r="E1863" t="inlineStr">
        <is>
          <t>2025Q3</t>
        </is>
      </c>
      <c r="F1863" s="2" t="n">
        <v>19897</v>
      </c>
      <c r="G1863" t="n">
        <v>-1.39</v>
      </c>
      <c r="H1863" t="n">
        <v>-1.45</v>
      </c>
      <c r="I1863" s="2" t="n">
        <v>-464</v>
      </c>
      <c r="J1863" t="n">
        <v>13.1</v>
      </c>
      <c r="K1863" t="inlineStr"/>
      <c r="L1863" s="2" t="n">
        <v>-882</v>
      </c>
      <c r="M1863" t="n">
        <v>-130.26</v>
      </c>
      <c r="N1863" t="inlineStr">
        <is>
          <t>20251106900231</t>
        </is>
      </c>
      <c r="O1863">
        <f>HYPERLINK("https://dart.fss.or.kr/dsaf001/main.do?rcpNo=20251106900231", "공시열람")</f>
        <v/>
      </c>
    </row>
    <row r="1864">
      <c r="A1864" t="inlineStr">
        <is>
          <t>2025-11-06</t>
        </is>
      </c>
      <c r="B1864" t="inlineStr">
        <is>
          <t>케이씨씨</t>
        </is>
      </c>
      <c r="C1864" t="inlineStr">
        <is>
          <t>002380</t>
        </is>
      </c>
      <c r="D1864" t="inlineStr">
        <is>
          <t>연결</t>
        </is>
      </c>
      <c r="E1864" t="inlineStr">
        <is>
          <t>2025Q3</t>
        </is>
      </c>
      <c r="F1864" s="2" t="n">
        <v>1622833</v>
      </c>
      <c r="G1864" t="n">
        <v>-4.8</v>
      </c>
      <c r="H1864" t="n">
        <v>-0.7</v>
      </c>
      <c r="I1864" s="2" t="n">
        <v>117264</v>
      </c>
      <c r="J1864" t="n">
        <v>-16.5</v>
      </c>
      <c r="K1864" t="n">
        <v>-6.4</v>
      </c>
      <c r="L1864" s="2" t="n">
        <v>326338</v>
      </c>
      <c r="M1864" t="inlineStr"/>
      <c r="N1864" t="inlineStr">
        <is>
          <t>20251106800227</t>
        </is>
      </c>
      <c r="O1864">
        <f>HYPERLINK("https://dart.fss.or.kr/dsaf001/main.do?rcpNo=20251106800227", "공시열람")</f>
        <v/>
      </c>
    </row>
    <row r="1865">
      <c r="A1865" t="inlineStr">
        <is>
          <t>2025-11-06</t>
        </is>
      </c>
      <c r="B1865" t="inlineStr">
        <is>
          <t>CJ ENM</t>
        </is>
      </c>
      <c r="C1865" t="inlineStr">
        <is>
          <t>035760</t>
        </is>
      </c>
      <c r="D1865" t="inlineStr">
        <is>
          <t>연결</t>
        </is>
      </c>
      <c r="E1865" t="inlineStr">
        <is>
          <t>2025Q3</t>
        </is>
      </c>
      <c r="F1865" s="2" t="n">
        <v>1245607</v>
      </c>
      <c r="G1865" t="n">
        <v>-5.1</v>
      </c>
      <c r="H1865" t="n">
        <v>10.8</v>
      </c>
      <c r="I1865" s="2" t="n">
        <v>17571</v>
      </c>
      <c r="J1865" t="n">
        <v>-38.6</v>
      </c>
      <c r="K1865" t="n">
        <v>11</v>
      </c>
      <c r="L1865" s="2" t="n">
        <v>79778</v>
      </c>
      <c r="M1865" t="inlineStr"/>
      <c r="N1865" t="inlineStr">
        <is>
          <t>20251106900223</t>
        </is>
      </c>
      <c r="O1865">
        <f>HYPERLINK("https://dart.fss.or.kr/dsaf001/main.do?rcpNo=20251106900223", "공시열람")</f>
        <v/>
      </c>
    </row>
    <row r="1866">
      <c r="A1866" t="inlineStr">
        <is>
          <t>2025-11-06</t>
        </is>
      </c>
      <c r="B1866" t="inlineStr">
        <is>
          <t>파크시스템스</t>
        </is>
      </c>
      <c r="C1866" t="inlineStr">
        <is>
          <t>140860</t>
        </is>
      </c>
      <c r="D1866" t="inlineStr">
        <is>
          <t>연결</t>
        </is>
      </c>
      <c r="E1866" t="inlineStr">
        <is>
          <t>2025Q3</t>
        </is>
      </c>
      <c r="F1866" s="2" t="n">
        <v>45621</v>
      </c>
      <c r="G1866" t="n">
        <v>-13</v>
      </c>
      <c r="H1866" t="n">
        <v>10</v>
      </c>
      <c r="I1866" s="2" t="n">
        <v>8634</v>
      </c>
      <c r="J1866" t="n">
        <v>-28</v>
      </c>
      <c r="K1866" t="n">
        <v>-1</v>
      </c>
      <c r="L1866" s="2" t="inlineStr"/>
      <c r="M1866" t="inlineStr"/>
      <c r="N1866" t="inlineStr">
        <is>
          <t>20251106900650</t>
        </is>
      </c>
      <c r="O1866">
        <f>HYPERLINK("https://dart.fss.or.kr/dsaf001/main.do?rcpNo=20251106900650", "공시열람")</f>
        <v/>
      </c>
    </row>
    <row r="1867">
      <c r="A1867" t="inlineStr">
        <is>
          <t>2025-11-06</t>
        </is>
      </c>
      <c r="B1867" t="inlineStr">
        <is>
          <t>코스메카코리아</t>
        </is>
      </c>
      <c r="C1867" t="inlineStr">
        <is>
          <t>241710</t>
        </is>
      </c>
      <c r="D1867" t="inlineStr">
        <is>
          <t>연결</t>
        </is>
      </c>
      <c r="E1867" t="inlineStr">
        <is>
          <t>2025Q3</t>
        </is>
      </c>
      <c r="F1867" s="2" t="n">
        <v>182371</v>
      </c>
      <c r="G1867" t="n">
        <v>12.8</v>
      </c>
      <c r="H1867" t="n">
        <v>44</v>
      </c>
      <c r="I1867" s="2" t="n">
        <v>27193</v>
      </c>
      <c r="J1867" t="n">
        <v>18.1</v>
      </c>
      <c r="K1867" t="n">
        <v>78.8</v>
      </c>
      <c r="L1867" s="2" t="n">
        <v>22338</v>
      </c>
      <c r="M1867" t="n">
        <v>161.1</v>
      </c>
      <c r="N1867" t="inlineStr">
        <is>
          <t>20251106900430</t>
        </is>
      </c>
      <c r="O1867">
        <f>HYPERLINK("https://dart.fss.or.kr/dsaf001/main.do?rcpNo=20251106900430", "공시열람")</f>
        <v/>
      </c>
    </row>
    <row r="1868">
      <c r="A1868" t="inlineStr">
        <is>
          <t>2025-11-06</t>
        </is>
      </c>
      <c r="B1868" t="inlineStr">
        <is>
          <t>원익머트리얼즈</t>
        </is>
      </c>
      <c r="C1868" t="inlineStr">
        <is>
          <t>104830</t>
        </is>
      </c>
      <c r="D1868" t="inlineStr">
        <is>
          <t>연결</t>
        </is>
      </c>
      <c r="E1868" t="inlineStr">
        <is>
          <t>2025Q3</t>
        </is>
      </c>
      <c r="F1868" s="2" t="n">
        <v>82833</v>
      </c>
      <c r="G1868" t="n">
        <v>10.45</v>
      </c>
      <c r="H1868" t="n">
        <v>4.41</v>
      </c>
      <c r="I1868" s="2" t="n">
        <v>14154</v>
      </c>
      <c r="J1868" t="n">
        <v>25.15</v>
      </c>
      <c r="K1868" t="n">
        <v>17.7</v>
      </c>
      <c r="L1868" s="2" t="n">
        <v>12534</v>
      </c>
      <c r="M1868" t="n">
        <v>32.27</v>
      </c>
      <c r="N1868" t="inlineStr">
        <is>
          <t>20251106900731</t>
        </is>
      </c>
      <c r="O1868">
        <f>HYPERLINK("https://dart.fss.or.kr/dsaf001/main.do?rcpNo=20251106900731", "공시열람")</f>
        <v/>
      </c>
    </row>
    <row r="1869">
      <c r="A1869" t="inlineStr">
        <is>
          <t>2025-11-05</t>
        </is>
      </c>
      <c r="B1869" t="inlineStr">
        <is>
          <t>KG파이낸셜</t>
        </is>
      </c>
      <c r="C1869" t="inlineStr">
        <is>
          <t>046440</t>
        </is>
      </c>
      <c r="D1869" t="inlineStr">
        <is>
          <t>연결</t>
        </is>
      </c>
      <c r="E1869" t="inlineStr">
        <is>
          <t>2025Q3</t>
        </is>
      </c>
      <c r="F1869" s="2" t="n">
        <v>60809</v>
      </c>
      <c r="G1869" t="n">
        <v>8.25</v>
      </c>
      <c r="H1869" t="n">
        <v>-9.19</v>
      </c>
      <c r="I1869" s="2" t="n">
        <v>10171</v>
      </c>
      <c r="J1869" t="n">
        <v>35.89</v>
      </c>
      <c r="K1869" t="n">
        <v>158.32</v>
      </c>
      <c r="L1869" s="2" t="n">
        <v>7805</v>
      </c>
      <c r="M1869" t="n">
        <v>161.03</v>
      </c>
      <c r="N1869" t="inlineStr">
        <is>
          <t>20251105900127</t>
        </is>
      </c>
      <c r="O1869">
        <f>HYPERLINK("https://dart.fss.or.kr/dsaf001/main.do?rcpNo=20251105900127", "공시열람")</f>
        <v/>
      </c>
    </row>
    <row r="1870">
      <c r="A1870" t="inlineStr">
        <is>
          <t>2025-11-05</t>
        </is>
      </c>
      <c r="B1870" t="inlineStr">
        <is>
          <t>LG유플러스</t>
        </is>
      </c>
      <c r="C1870" t="inlineStr">
        <is>
          <t>032640</t>
        </is>
      </c>
      <c r="D1870" t="inlineStr">
        <is>
          <t>별도</t>
        </is>
      </c>
      <c r="E1870" t="inlineStr">
        <is>
          <t>2025Q3</t>
        </is>
      </c>
      <c r="F1870" s="2" t="n">
        <v>3713500</v>
      </c>
      <c r="G1870" t="n">
        <v>6.2</v>
      </c>
      <c r="H1870" t="n">
        <v>6.2</v>
      </c>
      <c r="I1870" s="2" t="n">
        <v>156500</v>
      </c>
      <c r="J1870" t="n">
        <v>-49.6</v>
      </c>
      <c r="K1870" t="n">
        <v>-38.2</v>
      </c>
      <c r="L1870" s="2" t="n">
        <v>45200</v>
      </c>
      <c r="M1870" t="n">
        <v>-71.40000000000001</v>
      </c>
      <c r="N1870" t="inlineStr">
        <is>
          <t>20251105800129</t>
        </is>
      </c>
      <c r="O1870">
        <f>HYPERLINK("https://dart.fss.or.kr/dsaf001/main.do?rcpNo=20251105800129", "공시열람")</f>
        <v/>
      </c>
    </row>
    <row r="1871">
      <c r="A1871" t="inlineStr">
        <is>
          <t>2025-11-05</t>
        </is>
      </c>
      <c r="B1871" t="inlineStr">
        <is>
          <t>LG유플러스</t>
        </is>
      </c>
      <c r="C1871" t="inlineStr">
        <is>
          <t>032640</t>
        </is>
      </c>
      <c r="D1871" t="inlineStr">
        <is>
          <t>연결</t>
        </is>
      </c>
      <c r="E1871" t="inlineStr">
        <is>
          <t>2025Q3</t>
        </is>
      </c>
      <c r="F1871" s="2" t="n">
        <v>4010800</v>
      </c>
      <c r="G1871" t="n">
        <v>4.3</v>
      </c>
      <c r="H1871" t="n">
        <v>5.5</v>
      </c>
      <c r="I1871" s="2" t="n">
        <v>161700</v>
      </c>
      <c r="J1871" t="n">
        <v>-46.9</v>
      </c>
      <c r="K1871" t="n">
        <v>-34.3</v>
      </c>
      <c r="L1871" s="2" t="n">
        <v>49100</v>
      </c>
      <c r="M1871" t="n">
        <v>-63.6</v>
      </c>
      <c r="N1871" t="inlineStr">
        <is>
          <t>20251105800132</t>
        </is>
      </c>
      <c r="O1871">
        <f>HYPERLINK("https://dart.fss.or.kr/dsaf001/main.do?rcpNo=20251105800132", "공시열람")</f>
        <v/>
      </c>
    </row>
    <row r="1872">
      <c r="A1872" t="inlineStr">
        <is>
          <t>2025-11-05</t>
        </is>
      </c>
      <c r="B1872" t="inlineStr">
        <is>
          <t>키이스트</t>
        </is>
      </c>
      <c r="C1872" t="inlineStr">
        <is>
          <t>054780</t>
        </is>
      </c>
      <c r="D1872" t="inlineStr">
        <is>
          <t>별도</t>
        </is>
      </c>
      <c r="E1872" t="inlineStr">
        <is>
          <t>2025Q3</t>
        </is>
      </c>
      <c r="F1872" s="2" t="n">
        <v>3628</v>
      </c>
      <c r="G1872" t="n">
        <v>18.7</v>
      </c>
      <c r="H1872" t="n">
        <v>-267.9</v>
      </c>
      <c r="I1872" s="2" t="n">
        <v>-1011</v>
      </c>
      <c r="J1872" t="n">
        <v>19.6</v>
      </c>
      <c r="K1872" t="inlineStr"/>
      <c r="L1872" s="2" t="n">
        <v>-1111</v>
      </c>
      <c r="M1872" t="inlineStr"/>
      <c r="N1872" t="inlineStr">
        <is>
          <t>20251105900365</t>
        </is>
      </c>
      <c r="O1872">
        <f>HYPERLINK("https://dart.fss.or.kr/dsaf001/main.do?rcpNo=20251105900365", "공시열람")</f>
        <v/>
      </c>
    </row>
    <row r="1873">
      <c r="A1873" t="inlineStr">
        <is>
          <t>2025-11-05</t>
        </is>
      </c>
      <c r="B1873" t="inlineStr">
        <is>
          <t>롯데이노베이트</t>
        </is>
      </c>
      <c r="C1873" t="inlineStr">
        <is>
          <t>286940</t>
        </is>
      </c>
      <c r="D1873" t="inlineStr">
        <is>
          <t>연결</t>
        </is>
      </c>
      <c r="E1873" t="inlineStr">
        <is>
          <t>2025Q3</t>
        </is>
      </c>
      <c r="F1873" s="2" t="n">
        <v>277503</v>
      </c>
      <c r="G1873" t="n">
        <v>-1.2</v>
      </c>
      <c r="H1873" t="n">
        <v>-3.7</v>
      </c>
      <c r="I1873" s="2" t="n">
        <v>6621</v>
      </c>
      <c r="J1873" t="n">
        <v>-17.4</v>
      </c>
      <c r="K1873" t="n">
        <v>-20.2</v>
      </c>
      <c r="L1873" s="2" t="n">
        <v>4037</v>
      </c>
      <c r="M1873" t="n">
        <v>7.1</v>
      </c>
      <c r="N1873" t="inlineStr">
        <is>
          <t>20251105800198</t>
        </is>
      </c>
      <c r="O1873">
        <f>HYPERLINK("https://dart.fss.or.kr/dsaf001/main.do?rcpNo=20251105800198", "공시열람")</f>
        <v/>
      </c>
    </row>
    <row r="1874">
      <c r="A1874" t="inlineStr">
        <is>
          <t>2025-11-05</t>
        </is>
      </c>
      <c r="B1874" t="inlineStr">
        <is>
          <t>DN오토모티브</t>
        </is>
      </c>
      <c r="C1874" t="inlineStr">
        <is>
          <t>007340</t>
        </is>
      </c>
      <c r="D1874" t="inlineStr">
        <is>
          <t>연결</t>
        </is>
      </c>
      <c r="E1874" t="inlineStr">
        <is>
          <t>2025Q3</t>
        </is>
      </c>
      <c r="F1874" s="2" t="n">
        <v>918734</v>
      </c>
      <c r="G1874" t="n">
        <v>1</v>
      </c>
      <c r="H1874" t="n">
        <v>8.300000000000001</v>
      </c>
      <c r="I1874" s="2" t="n">
        <v>118686</v>
      </c>
      <c r="J1874" t="n">
        <v>-2.4</v>
      </c>
      <c r="K1874" t="n">
        <v>-8.699999999999999</v>
      </c>
      <c r="L1874" s="2" t="n">
        <v>78481</v>
      </c>
      <c r="M1874" t="n">
        <v>28.2</v>
      </c>
      <c r="N1874" t="inlineStr">
        <is>
          <t>20251105800213</t>
        </is>
      </c>
      <c r="O1874">
        <f>HYPERLINK("https://dart.fss.or.kr/dsaf001/main.do?rcpNo=20251105800213", "공시열람")</f>
        <v/>
      </c>
    </row>
    <row r="1875">
      <c r="A1875" t="inlineStr">
        <is>
          <t>2025-11-05</t>
        </is>
      </c>
      <c r="B1875" t="inlineStr">
        <is>
          <t>LX인터내셔널</t>
        </is>
      </c>
      <c r="C1875" t="inlineStr">
        <is>
          <t>001120</t>
        </is>
      </c>
      <c r="D1875" t="inlineStr">
        <is>
          <t>연결</t>
        </is>
      </c>
      <c r="E1875" t="inlineStr">
        <is>
          <t>2025Q3</t>
        </is>
      </c>
      <c r="F1875" s="2" t="n">
        <v>4507700</v>
      </c>
      <c r="G1875" t="n">
        <v>17.7</v>
      </c>
      <c r="H1875" t="n">
        <v>-1.2</v>
      </c>
      <c r="I1875" s="2" t="n">
        <v>64800</v>
      </c>
      <c r="J1875" t="n">
        <v>17.8</v>
      </c>
      <c r="K1875" t="n">
        <v>-58.1</v>
      </c>
      <c r="L1875" s="2" t="n">
        <v>47200</v>
      </c>
      <c r="M1875" t="n">
        <v>-60.9</v>
      </c>
      <c r="N1875" t="inlineStr">
        <is>
          <t>20251105800216</t>
        </is>
      </c>
      <c r="O1875">
        <f>HYPERLINK("https://dart.fss.or.kr/dsaf001/main.do?rcpNo=20251105800216", "공시열람")</f>
        <v/>
      </c>
    </row>
    <row r="1876">
      <c r="A1876" t="inlineStr">
        <is>
          <t>2025-11-05</t>
        </is>
      </c>
      <c r="B1876" t="inlineStr">
        <is>
          <t>LX홀딩스</t>
        </is>
      </c>
      <c r="C1876" t="inlineStr">
        <is>
          <t>383800</t>
        </is>
      </c>
      <c r="D1876" t="inlineStr">
        <is>
          <t>연결</t>
        </is>
      </c>
      <c r="E1876" t="inlineStr">
        <is>
          <t>2025Q3</t>
        </is>
      </c>
      <c r="F1876" s="2" t="n">
        <v>11142</v>
      </c>
      <c r="G1876" t="n">
        <v>9.9</v>
      </c>
      <c r="H1876" t="n">
        <v>1.3</v>
      </c>
      <c r="I1876" s="2" t="n">
        <v>37306</v>
      </c>
      <c r="J1876" t="n">
        <v>-12.1</v>
      </c>
      <c r="K1876" t="n">
        <v>-32</v>
      </c>
      <c r="L1876" s="2" t="n">
        <v>37555</v>
      </c>
      <c r="M1876" t="n">
        <v>-32.1</v>
      </c>
      <c r="N1876" t="inlineStr">
        <is>
          <t>20251105800506</t>
        </is>
      </c>
      <c r="O1876">
        <f>HYPERLINK("https://dart.fss.or.kr/dsaf001/main.do?rcpNo=20251105800506", "공시열람")</f>
        <v/>
      </c>
    </row>
    <row r="1877">
      <c r="A1877" t="inlineStr">
        <is>
          <t>2025-11-05</t>
        </is>
      </c>
      <c r="B1877" t="inlineStr">
        <is>
          <t>유한양행</t>
        </is>
      </c>
      <c r="C1877" t="inlineStr">
        <is>
          <t>000100</t>
        </is>
      </c>
      <c r="D1877" t="inlineStr">
        <is>
          <t>별도</t>
        </is>
      </c>
      <c r="E1877" t="inlineStr">
        <is>
          <t>2024Q3</t>
        </is>
      </c>
      <c r="F1877" s="2" t="n">
        <v>551126</v>
      </c>
      <c r="G1877" t="n">
        <v>-0.9</v>
      </c>
      <c r="H1877" t="n">
        <v>-5.8</v>
      </c>
      <c r="I1877" s="2" t="n">
        <v>24102</v>
      </c>
      <c r="J1877" t="n">
        <v>-47.2</v>
      </c>
      <c r="K1877" t="n">
        <v>-55.7</v>
      </c>
      <c r="L1877" s="2" t="n">
        <v>18135</v>
      </c>
      <c r="M1877" t="n">
        <v>-23.6</v>
      </c>
      <c r="N1877" t="inlineStr">
        <is>
          <t>20251105800241</t>
        </is>
      </c>
      <c r="O1877">
        <f>HYPERLINK("https://dart.fss.or.kr/dsaf001/main.do?rcpNo=20251105800241", "공시열람")</f>
        <v/>
      </c>
    </row>
    <row r="1878">
      <c r="A1878" t="inlineStr">
        <is>
          <t>2025-11-05</t>
        </is>
      </c>
      <c r="B1878" t="inlineStr">
        <is>
          <t>SKC</t>
        </is>
      </c>
      <c r="C1878" t="inlineStr">
        <is>
          <t>011790</t>
        </is>
      </c>
      <c r="D1878" t="inlineStr">
        <is>
          <t>연결</t>
        </is>
      </c>
      <c r="E1878" t="inlineStr">
        <is>
          <t>2025Q3</t>
        </is>
      </c>
      <c r="F1878" s="2" t="n">
        <v>506000</v>
      </c>
      <c r="G1878" t="n">
        <v>8.300000000000001</v>
      </c>
      <c r="H1878" t="n">
        <v>14.1</v>
      </c>
      <c r="I1878" s="2" t="n">
        <v>-52800</v>
      </c>
      <c r="J1878" t="n">
        <v>24.8</v>
      </c>
      <c r="K1878" t="n">
        <v>11.4</v>
      </c>
      <c r="L1878" s="2" t="n">
        <v>-99000</v>
      </c>
      <c r="M1878" t="n">
        <v>-99.8</v>
      </c>
      <c r="N1878" t="inlineStr">
        <is>
          <t>20251105800225</t>
        </is>
      </c>
      <c r="O1878">
        <f>HYPERLINK("https://dart.fss.or.kr/dsaf001/main.do?rcpNo=20251105800225", "공시열람")</f>
        <v/>
      </c>
    </row>
    <row r="1879">
      <c r="A1879" t="inlineStr">
        <is>
          <t>2025-11-05</t>
        </is>
      </c>
      <c r="B1879" t="inlineStr">
        <is>
          <t>SK리츠</t>
        </is>
      </c>
      <c r="C1879" t="inlineStr">
        <is>
          <t>395400</t>
        </is>
      </c>
      <c r="D1879" t="inlineStr">
        <is>
          <t>별도</t>
        </is>
      </c>
      <c r="E1879" t="inlineStr">
        <is>
          <t>2025Q3</t>
        </is>
      </c>
      <c r="F1879" s="2" t="n">
        <v>34581</v>
      </c>
      <c r="G1879" t="n">
        <v>-9.800000000000001</v>
      </c>
      <c r="H1879" t="n">
        <v>14.1</v>
      </c>
      <c r="I1879" s="2" t="n">
        <v>32656</v>
      </c>
      <c r="J1879" t="n">
        <v>-10.5</v>
      </c>
      <c r="K1879" t="n">
        <v>29.8</v>
      </c>
      <c r="L1879" s="2" t="n">
        <v>18722</v>
      </c>
      <c r="M1879" t="n">
        <v>128</v>
      </c>
      <c r="N1879" t="inlineStr">
        <is>
          <t>20251105800577</t>
        </is>
      </c>
      <c r="O1879">
        <f>HYPERLINK("https://dart.fss.or.kr/dsaf001/main.do?rcpNo=20251105800577", "공시열람")</f>
        <v/>
      </c>
    </row>
    <row r="1880">
      <c r="A1880" t="inlineStr">
        <is>
          <t>2025-11-05</t>
        </is>
      </c>
      <c r="B1880" t="inlineStr">
        <is>
          <t>케이씨씨글라스</t>
        </is>
      </c>
      <c r="C1880" t="inlineStr">
        <is>
          <t>344820</t>
        </is>
      </c>
      <c r="D1880" t="inlineStr">
        <is>
          <t>연결</t>
        </is>
      </c>
      <c r="E1880" t="inlineStr">
        <is>
          <t>2025Q3</t>
        </is>
      </c>
      <c r="F1880" s="2" t="n">
        <v>481193</v>
      </c>
      <c r="G1880" t="n">
        <v>-6.2</v>
      </c>
      <c r="H1880" t="n">
        <v>-1.3</v>
      </c>
      <c r="I1880" s="2" t="n">
        <v>-14239</v>
      </c>
      <c r="J1880" t="n">
        <v>59.8</v>
      </c>
      <c r="K1880" t="inlineStr"/>
      <c r="L1880" s="2" t="n">
        <v>-15607</v>
      </c>
      <c r="M1880" t="inlineStr"/>
      <c r="N1880" t="inlineStr">
        <is>
          <t>20251105800537</t>
        </is>
      </c>
      <c r="O1880">
        <f>HYPERLINK("https://dart.fss.or.kr/dsaf001/main.do?rcpNo=20251105800537", "공시열람")</f>
        <v/>
      </c>
    </row>
    <row r="1881">
      <c r="A1881" t="inlineStr">
        <is>
          <t>2025-11-05</t>
        </is>
      </c>
      <c r="B1881" t="inlineStr">
        <is>
          <t>세방전지</t>
        </is>
      </c>
      <c r="C1881" t="inlineStr">
        <is>
          <t>004490</t>
        </is>
      </c>
      <c r="D1881" t="inlineStr">
        <is>
          <t>연결</t>
        </is>
      </c>
      <c r="E1881" t="inlineStr">
        <is>
          <t>2025Q3</t>
        </is>
      </c>
      <c r="F1881" s="2" t="n">
        <v>527885</v>
      </c>
      <c r="G1881" t="n">
        <v>-4.3</v>
      </c>
      <c r="H1881" t="n">
        <v>4.5</v>
      </c>
      <c r="I1881" s="2" t="n">
        <v>26782</v>
      </c>
      <c r="J1881" t="n">
        <v>-26</v>
      </c>
      <c r="K1881" t="n">
        <v>-23.7</v>
      </c>
      <c r="L1881" s="2" t="n">
        <v>29714</v>
      </c>
      <c r="M1881" t="n">
        <v>-27.4</v>
      </c>
      <c r="N1881" t="inlineStr">
        <is>
          <t>20251105800528</t>
        </is>
      </c>
      <c r="O1881">
        <f>HYPERLINK("https://dart.fss.or.kr/dsaf001/main.do?rcpNo=20251105800528", "공시열람")</f>
        <v/>
      </c>
    </row>
    <row r="1882">
      <c r="A1882" t="inlineStr">
        <is>
          <t>2025-11-05</t>
        </is>
      </c>
      <c r="B1882" t="inlineStr">
        <is>
          <t>동원시스템즈</t>
        </is>
      </c>
      <c r="C1882" t="inlineStr">
        <is>
          <t>014820</t>
        </is>
      </c>
      <c r="D1882" t="inlineStr">
        <is>
          <t>별도</t>
        </is>
      </c>
      <c r="E1882" t="inlineStr">
        <is>
          <t>2025Q3</t>
        </is>
      </c>
      <c r="F1882" s="2" t="n">
        <v>331447</v>
      </c>
      <c r="G1882" t="n">
        <v>-2.73</v>
      </c>
      <c r="H1882" t="n">
        <v>3.11</v>
      </c>
      <c r="I1882" s="2" t="n">
        <v>17898</v>
      </c>
      <c r="J1882" t="n">
        <v>-19.88</v>
      </c>
      <c r="K1882" t="n">
        <v>-26.95</v>
      </c>
      <c r="L1882" s="2" t="n">
        <v>12313</v>
      </c>
      <c r="M1882" t="n">
        <v>-7.21</v>
      </c>
      <c r="N1882" t="inlineStr">
        <is>
          <t>20251105800473</t>
        </is>
      </c>
      <c r="O1882">
        <f>HYPERLINK("https://dart.fss.or.kr/dsaf001/main.do?rcpNo=20251105800473", "공시열람")</f>
        <v/>
      </c>
    </row>
    <row r="1883">
      <c r="A1883" t="inlineStr">
        <is>
          <t>2025-11-05</t>
        </is>
      </c>
      <c r="B1883" t="inlineStr">
        <is>
          <t>동원시스템즈</t>
        </is>
      </c>
      <c r="C1883" t="inlineStr">
        <is>
          <t>014820</t>
        </is>
      </c>
      <c r="D1883" t="inlineStr">
        <is>
          <t>연결</t>
        </is>
      </c>
      <c r="E1883" t="inlineStr">
        <is>
          <t>2025Q3</t>
        </is>
      </c>
      <c r="F1883" s="2" t="n">
        <v>356391</v>
      </c>
      <c r="G1883" t="n">
        <v>-2.72</v>
      </c>
      <c r="H1883" t="n">
        <v>2.26</v>
      </c>
      <c r="I1883" s="2" t="n">
        <v>20197</v>
      </c>
      <c r="J1883" t="n">
        <v>-22.05</v>
      </c>
      <c r="K1883" t="n">
        <v>-28.32</v>
      </c>
      <c r="L1883" s="2" t="n">
        <v>15294</v>
      </c>
      <c r="M1883" t="n">
        <v>-14.07</v>
      </c>
      <c r="N1883" t="inlineStr">
        <is>
          <t>20251105800470</t>
        </is>
      </c>
      <c r="O1883">
        <f>HYPERLINK("https://dart.fss.or.kr/dsaf001/main.do?rcpNo=20251105800470", "공시열람")</f>
        <v/>
      </c>
    </row>
    <row r="1884">
      <c r="A1884" t="inlineStr">
        <is>
          <t>2025-11-05</t>
        </is>
      </c>
      <c r="B1884" t="inlineStr">
        <is>
          <t>고영</t>
        </is>
      </c>
      <c r="C1884" t="inlineStr">
        <is>
          <t>098460</t>
        </is>
      </c>
      <c r="D1884" t="inlineStr">
        <is>
          <t>연결</t>
        </is>
      </c>
      <c r="E1884" t="inlineStr">
        <is>
          <t>2025Q3</t>
        </is>
      </c>
      <c r="F1884" s="2" t="n">
        <v>60286</v>
      </c>
      <c r="G1884" t="n">
        <v>15.7</v>
      </c>
      <c r="H1884" t="n">
        <v>30.2</v>
      </c>
      <c r="I1884" s="2" t="n">
        <v>4696</v>
      </c>
      <c r="J1884" t="n">
        <v>86.90000000000001</v>
      </c>
      <c r="K1884" t="n">
        <v>575.7</v>
      </c>
      <c r="L1884" s="2" t="n">
        <v>8454</v>
      </c>
      <c r="M1884" t="n">
        <v>291.1</v>
      </c>
      <c r="N1884" t="inlineStr">
        <is>
          <t>20251105900401</t>
        </is>
      </c>
      <c r="O1884">
        <f>HYPERLINK("https://dart.fss.or.kr/dsaf001/main.do?rcpNo=20251105900401", "공시열람")</f>
        <v/>
      </c>
    </row>
    <row r="1885">
      <c r="A1885" t="inlineStr">
        <is>
          <t>2025-11-05</t>
        </is>
      </c>
      <c r="B1885" t="inlineStr">
        <is>
          <t>하나투어</t>
        </is>
      </c>
      <c r="C1885" t="inlineStr">
        <is>
          <t>039130</t>
        </is>
      </c>
      <c r="D1885" t="inlineStr">
        <is>
          <t>연결</t>
        </is>
      </c>
      <c r="E1885" t="inlineStr">
        <is>
          <t>2025Q3</t>
        </is>
      </c>
      <c r="F1885" s="2" t="n">
        <v>123287</v>
      </c>
      <c r="G1885" t="n">
        <v>2.79</v>
      </c>
      <c r="H1885" t="n">
        <v>-22.65</v>
      </c>
      <c r="I1885" s="2" t="n">
        <v>8281</v>
      </c>
      <c r="J1885" t="n">
        <v>-14.19</v>
      </c>
      <c r="K1885" t="n">
        <v>-31.14</v>
      </c>
      <c r="L1885" s="2" t="n">
        <v>9161</v>
      </c>
      <c r="M1885" t="n">
        <v>-32.68</v>
      </c>
      <c r="N1885" t="inlineStr">
        <is>
          <t>20251105800421</t>
        </is>
      </c>
      <c r="O1885">
        <f>HYPERLINK("https://dart.fss.or.kr/dsaf001/main.do?rcpNo=20251105800421", "공시열람")</f>
        <v/>
      </c>
    </row>
    <row r="1886">
      <c r="A1886" t="inlineStr">
        <is>
          <t>2025-11-05</t>
        </is>
      </c>
      <c r="B1886" t="inlineStr">
        <is>
          <t>산일전기</t>
        </is>
      </c>
      <c r="C1886" t="inlineStr">
        <is>
          <t>062040</t>
        </is>
      </c>
      <c r="D1886" t="inlineStr">
        <is>
          <t>별도</t>
        </is>
      </c>
      <c r="E1886" t="inlineStr">
        <is>
          <t>2025Q3</t>
        </is>
      </c>
      <c r="F1886" s="2" t="n">
        <v>132735</v>
      </c>
      <c r="G1886" t="n">
        <v>3.49</v>
      </c>
      <c r="H1886" t="n">
        <v>66.47</v>
      </c>
      <c r="I1886" s="2" t="n">
        <v>42677</v>
      </c>
      <c r="J1886" t="n">
        <v>-7.87</v>
      </c>
      <c r="K1886" t="n">
        <v>53.56</v>
      </c>
      <c r="L1886" s="2" t="n">
        <v>36887</v>
      </c>
      <c r="M1886" t="n">
        <v>61.26</v>
      </c>
      <c r="N1886" t="inlineStr">
        <is>
          <t>20251105800429</t>
        </is>
      </c>
      <c r="O1886">
        <f>HYPERLINK("https://dart.fss.or.kr/dsaf001/main.do?rcpNo=20251105800429", "공시열람")</f>
        <v/>
      </c>
    </row>
    <row r="1887">
      <c r="A1887" t="inlineStr">
        <is>
          <t>2025-11-05</t>
        </is>
      </c>
      <c r="B1887" t="inlineStr">
        <is>
          <t>영진약품</t>
        </is>
      </c>
      <c r="C1887" t="inlineStr">
        <is>
          <t>003520</t>
        </is>
      </c>
      <c r="D1887" t="inlineStr">
        <is>
          <t>별도</t>
        </is>
      </c>
      <c r="E1887" t="inlineStr">
        <is>
          <t>2025Q3</t>
        </is>
      </c>
      <c r="F1887" s="2" t="n">
        <v>60850</v>
      </c>
      <c r="G1887" t="n">
        <v>-2.7</v>
      </c>
      <c r="H1887" t="n">
        <v>-1.9</v>
      </c>
      <c r="I1887" s="2" t="n">
        <v>4</v>
      </c>
      <c r="J1887" t="n">
        <v>-99.8</v>
      </c>
      <c r="K1887" t="n">
        <v>-99.7</v>
      </c>
      <c r="L1887" s="2" t="n">
        <v>-1167</v>
      </c>
      <c r="M1887" t="n">
        <v>-167.4</v>
      </c>
      <c r="N1887" t="inlineStr">
        <is>
          <t>20251105800393</t>
        </is>
      </c>
      <c r="O1887">
        <f>HYPERLINK("https://dart.fss.or.kr/dsaf001/main.do?rcpNo=20251105800393", "공시열람")</f>
        <v/>
      </c>
    </row>
    <row r="1888">
      <c r="A1888" t="inlineStr">
        <is>
          <t>2025-11-05</t>
        </is>
      </c>
      <c r="B1888" t="inlineStr">
        <is>
          <t>고려아연</t>
        </is>
      </c>
      <c r="C1888" t="inlineStr">
        <is>
          <t>010130</t>
        </is>
      </c>
      <c r="D1888" t="inlineStr">
        <is>
          <t>별도</t>
        </is>
      </c>
      <c r="E1888" t="inlineStr">
        <is>
          <t>2025Q3</t>
        </is>
      </c>
      <c r="F1888" s="2" t="n">
        <v>2609177</v>
      </c>
      <c r="G1888" t="n">
        <v>6</v>
      </c>
      <c r="H1888" t="n">
        <v>28.6</v>
      </c>
      <c r="I1888" s="2" t="n">
        <v>235157</v>
      </c>
      <c r="J1888" t="n">
        <v>-11.8</v>
      </c>
      <c r="K1888" t="n">
        <v>31.2</v>
      </c>
      <c r="L1888" s="2" t="n">
        <v>77663</v>
      </c>
      <c r="M1888" t="n">
        <v>-60.2</v>
      </c>
      <c r="N1888" t="inlineStr">
        <is>
          <t>20251105800376</t>
        </is>
      </c>
      <c r="O1888">
        <f>HYPERLINK("https://dart.fss.or.kr/dsaf001/main.do?rcpNo=20251105800376", "공시열람")</f>
        <v/>
      </c>
    </row>
    <row r="1889">
      <c r="A1889" t="inlineStr">
        <is>
          <t>2025-11-05</t>
        </is>
      </c>
      <c r="B1889" t="inlineStr">
        <is>
          <t>고려아연</t>
        </is>
      </c>
      <c r="C1889" t="inlineStr">
        <is>
          <t>010130</t>
        </is>
      </c>
      <c r="D1889" t="inlineStr">
        <is>
          <t>연결</t>
        </is>
      </c>
      <c r="E1889" t="inlineStr">
        <is>
          <t>2025Q3</t>
        </is>
      </c>
      <c r="F1889" s="2" t="n">
        <v>4159797</v>
      </c>
      <c r="G1889" t="n">
        <v>8.699999999999999</v>
      </c>
      <c r="H1889" t="n">
        <v>29.7</v>
      </c>
      <c r="I1889" s="2" t="n">
        <v>273407</v>
      </c>
      <c r="J1889" t="n">
        <v>5.6</v>
      </c>
      <c r="K1889" t="n">
        <v>82.3</v>
      </c>
      <c r="L1889" s="2" t="n">
        <v>70739</v>
      </c>
      <c r="M1889" t="n">
        <v>-53.7</v>
      </c>
      <c r="N1889" t="inlineStr">
        <is>
          <t>20251105800372</t>
        </is>
      </c>
      <c r="O1889">
        <f>HYPERLINK("https://dart.fss.or.kr/dsaf001/main.do?rcpNo=20251105800372", "공시열람")</f>
        <v/>
      </c>
    </row>
    <row r="1890">
      <c r="A1890" t="inlineStr">
        <is>
          <t>2025-11-05</t>
        </is>
      </c>
      <c r="B1890" t="inlineStr">
        <is>
          <t>SK케미칼</t>
        </is>
      </c>
      <c r="C1890" t="inlineStr">
        <is>
          <t>285130</t>
        </is>
      </c>
      <c r="D1890" t="inlineStr">
        <is>
          <t>연결</t>
        </is>
      </c>
      <c r="E1890" t="inlineStr">
        <is>
          <t>2025Q3</t>
        </is>
      </c>
      <c r="F1890" s="2" t="n">
        <v>609916</v>
      </c>
      <c r="G1890" t="n">
        <v>2.2</v>
      </c>
      <c r="H1890" t="n">
        <v>43.1</v>
      </c>
      <c r="I1890" s="2" t="n">
        <v>15062</v>
      </c>
      <c r="J1890" t="inlineStr"/>
      <c r="K1890" t="inlineStr"/>
      <c r="L1890" s="2" t="n">
        <v>47877</v>
      </c>
      <c r="M1890" t="inlineStr"/>
      <c r="N1890" t="inlineStr">
        <is>
          <t>20251105800335</t>
        </is>
      </c>
      <c r="O1890">
        <f>HYPERLINK("https://dart.fss.or.kr/dsaf001/main.do?rcpNo=20251105800335", "공시열람")</f>
        <v/>
      </c>
    </row>
    <row r="1891">
      <c r="A1891" t="inlineStr">
        <is>
          <t>2025-11-05</t>
        </is>
      </c>
      <c r="B1891" t="inlineStr">
        <is>
          <t>SK케미칼</t>
        </is>
      </c>
      <c r="C1891" t="inlineStr">
        <is>
          <t>285130</t>
        </is>
      </c>
      <c r="D1891" t="inlineStr">
        <is>
          <t>별도</t>
        </is>
      </c>
      <c r="E1891" t="inlineStr">
        <is>
          <t>2025Q3</t>
        </is>
      </c>
      <c r="F1891" s="2" t="n">
        <v>371487</v>
      </c>
      <c r="G1891" t="n">
        <v>-3.3</v>
      </c>
      <c r="H1891" t="n">
        <v>11.9</v>
      </c>
      <c r="I1891" s="2" t="n">
        <v>29873</v>
      </c>
      <c r="J1891" t="n">
        <v>18.8</v>
      </c>
      <c r="K1891" t="n">
        <v>1.3</v>
      </c>
      <c r="L1891" s="2" t="n">
        <v>24697</v>
      </c>
      <c r="M1891" t="n">
        <v>65.09999999999999</v>
      </c>
      <c r="N1891" t="inlineStr">
        <is>
          <t>20251105800339</t>
        </is>
      </c>
      <c r="O1891">
        <f>HYPERLINK("https://dart.fss.or.kr/dsaf001/main.do?rcpNo=20251105800339", "공시열람")</f>
        <v/>
      </c>
    </row>
    <row r="1892">
      <c r="A1892" t="inlineStr">
        <is>
          <t>2025-11-05</t>
        </is>
      </c>
      <c r="B1892" t="inlineStr">
        <is>
          <t>하림</t>
        </is>
      </c>
      <c r="C1892" t="inlineStr">
        <is>
          <t>136480</t>
        </is>
      </c>
      <c r="D1892" t="inlineStr">
        <is>
          <t>연결</t>
        </is>
      </c>
      <c r="E1892" t="inlineStr">
        <is>
          <t>2025Q3</t>
        </is>
      </c>
      <c r="F1892" s="2" t="n">
        <v>414259</v>
      </c>
      <c r="G1892" t="n">
        <v>6.93</v>
      </c>
      <c r="H1892" t="n">
        <v>8.73</v>
      </c>
      <c r="I1892" s="2" t="n">
        <v>18482</v>
      </c>
      <c r="J1892" t="n">
        <v>-6.52</v>
      </c>
      <c r="K1892" t="n">
        <v>-33.59</v>
      </c>
      <c r="L1892" s="2" t="n">
        <v>8485</v>
      </c>
      <c r="M1892" t="n">
        <v>-78.05</v>
      </c>
      <c r="N1892" t="inlineStr">
        <is>
          <t>20251105900350</t>
        </is>
      </c>
      <c r="O1892">
        <f>HYPERLINK("https://dart.fss.or.kr/dsaf001/main.do?rcpNo=20251105900350", "공시열람")</f>
        <v/>
      </c>
    </row>
    <row r="1893">
      <c r="A1893" t="inlineStr">
        <is>
          <t>2025-11-05</t>
        </is>
      </c>
      <c r="B1893" t="inlineStr">
        <is>
          <t>LG헬로비전</t>
        </is>
      </c>
      <c r="C1893" t="inlineStr">
        <is>
          <t>037560</t>
        </is>
      </c>
      <c r="D1893" t="inlineStr">
        <is>
          <t>연결</t>
        </is>
      </c>
      <c r="E1893" t="inlineStr">
        <is>
          <t>2025Q3</t>
        </is>
      </c>
      <c r="F1893" s="2" t="n">
        <v>298483</v>
      </c>
      <c r="G1893" t="n">
        <v>-15.7</v>
      </c>
      <c r="H1893" t="n">
        <v>-7.7</v>
      </c>
      <c r="I1893" s="2" t="n">
        <v>8977</v>
      </c>
      <c r="J1893" t="n">
        <v>-14.4</v>
      </c>
      <c r="K1893" t="n">
        <v>172.8</v>
      </c>
      <c r="L1893" s="2" t="n">
        <v>2010</v>
      </c>
      <c r="M1893" t="n">
        <v>-8.300000000000001</v>
      </c>
      <c r="N1893" t="inlineStr">
        <is>
          <t>20251105800131</t>
        </is>
      </c>
      <c r="O1893">
        <f>HYPERLINK("https://dart.fss.or.kr/dsaf001/main.do?rcpNo=20251105800131", "공시열람")</f>
        <v/>
      </c>
    </row>
    <row r="1894">
      <c r="A1894" t="inlineStr">
        <is>
          <t>2025-11-05</t>
        </is>
      </c>
      <c r="B1894" t="inlineStr">
        <is>
          <t>KG이니시스</t>
        </is>
      </c>
      <c r="C1894" t="inlineStr">
        <is>
          <t>035600</t>
        </is>
      </c>
      <c r="D1894" t="inlineStr">
        <is>
          <t>연결</t>
        </is>
      </c>
      <c r="E1894" t="inlineStr">
        <is>
          <t>2025Q3</t>
        </is>
      </c>
      <c r="F1894" s="2" t="n">
        <v>355928</v>
      </c>
      <c r="G1894" t="n">
        <v>10.1</v>
      </c>
      <c r="H1894" t="n">
        <v>5.3</v>
      </c>
      <c r="I1894" s="2" t="n">
        <v>28305</v>
      </c>
      <c r="J1894" t="n">
        <v>13.8</v>
      </c>
      <c r="K1894" t="inlineStr"/>
      <c r="L1894" s="2" t="n">
        <v>20461</v>
      </c>
      <c r="M1894" t="inlineStr"/>
      <c r="N1894" t="inlineStr">
        <is>
          <t>20251105900154</t>
        </is>
      </c>
      <c r="O1894">
        <f>HYPERLINK("https://dart.fss.or.kr/dsaf001/main.do?rcpNo=20251105900154", "공시열람")</f>
        <v/>
      </c>
    </row>
    <row r="1895">
      <c r="A1895" t="inlineStr">
        <is>
          <t>2025-11-05</t>
        </is>
      </c>
      <c r="B1895" t="inlineStr">
        <is>
          <t>에코프로머티</t>
        </is>
      </c>
      <c r="C1895" t="inlineStr">
        <is>
          <t>450080</t>
        </is>
      </c>
      <c r="D1895" t="inlineStr">
        <is>
          <t>별도</t>
        </is>
      </c>
      <c r="E1895" t="inlineStr">
        <is>
          <t>2025Q3</t>
        </is>
      </c>
      <c r="F1895" s="2" t="n">
        <v>63154</v>
      </c>
      <c r="G1895" t="n">
        <v>-19.1</v>
      </c>
      <c r="H1895" t="n">
        <v>-4.1</v>
      </c>
      <c r="I1895" s="2" t="n">
        <v>-25141</v>
      </c>
      <c r="J1895" t="n">
        <v>12.7</v>
      </c>
      <c r="K1895" t="n">
        <v>34.8</v>
      </c>
      <c r="L1895" s="2" t="n">
        <v>161936</v>
      </c>
      <c r="M1895" t="inlineStr"/>
      <c r="N1895" t="inlineStr">
        <is>
          <t>20251105800119</t>
        </is>
      </c>
      <c r="O1895">
        <f>HYPERLINK("https://dart.fss.or.kr/dsaf001/main.do?rcpNo=20251105800119", "공시열람")</f>
        <v/>
      </c>
    </row>
    <row r="1896">
      <c r="A1896" t="inlineStr">
        <is>
          <t>2025-11-05</t>
        </is>
      </c>
      <c r="B1896" t="inlineStr">
        <is>
          <t>JW생명과학</t>
        </is>
      </c>
      <c r="C1896" t="inlineStr">
        <is>
          <t>234080</t>
        </is>
      </c>
      <c r="D1896" t="inlineStr">
        <is>
          <t>별도</t>
        </is>
      </c>
      <c r="E1896" t="inlineStr">
        <is>
          <t>2025Q3</t>
        </is>
      </c>
      <c r="F1896" s="2" t="n">
        <v>56734</v>
      </c>
      <c r="G1896" t="n">
        <v>-0.79</v>
      </c>
      <c r="H1896" t="n">
        <v>-1.72</v>
      </c>
      <c r="I1896" s="2" t="n">
        <v>6566</v>
      </c>
      <c r="J1896" t="n">
        <v>-13.12</v>
      </c>
      <c r="K1896" t="n">
        <v>-29.94</v>
      </c>
      <c r="L1896" s="2" t="n">
        <v>4622</v>
      </c>
      <c r="M1896" t="n">
        <v>-35.54</v>
      </c>
      <c r="N1896" t="inlineStr">
        <is>
          <t>20251105800294</t>
        </is>
      </c>
      <c r="O1896">
        <f>HYPERLINK("https://dart.fss.or.kr/dsaf001/main.do?rcpNo=20251105800294", "공시열람")</f>
        <v/>
      </c>
    </row>
    <row r="1897">
      <c r="A1897" t="inlineStr">
        <is>
          <t>2025-11-05</t>
        </is>
      </c>
      <c r="B1897" t="inlineStr">
        <is>
          <t>HDC</t>
        </is>
      </c>
      <c r="C1897" t="inlineStr">
        <is>
          <t>012630</t>
        </is>
      </c>
      <c r="D1897" t="inlineStr">
        <is>
          <t>연결</t>
        </is>
      </c>
      <c r="E1897" t="inlineStr">
        <is>
          <t>2025Q3</t>
        </is>
      </c>
      <c r="F1897" s="2" t="n">
        <v>1822061</v>
      </c>
      <c r="G1897" t="n">
        <v>0.2</v>
      </c>
      <c r="H1897" t="n">
        <v>16.1</v>
      </c>
      <c r="I1897" s="2" t="n">
        <v>196158</v>
      </c>
      <c r="J1897" t="n">
        <v>17.9</v>
      </c>
      <c r="K1897" t="n">
        <v>111.2</v>
      </c>
      <c r="L1897" s="2" t="n">
        <v>116885</v>
      </c>
      <c r="M1897" t="n">
        <v>71</v>
      </c>
      <c r="N1897" t="inlineStr">
        <is>
          <t>20251105800091</t>
        </is>
      </c>
      <c r="O1897">
        <f>HYPERLINK("https://dart.fss.or.kr/dsaf001/main.do?rcpNo=20251105800091", "공시열람")</f>
        <v/>
      </c>
    </row>
    <row r="1898">
      <c r="A1898" t="inlineStr">
        <is>
          <t>2025-11-05</t>
        </is>
      </c>
      <c r="B1898" t="inlineStr">
        <is>
          <t>NAVER</t>
        </is>
      </c>
      <c r="C1898" t="inlineStr">
        <is>
          <t>035420</t>
        </is>
      </c>
      <c r="D1898" t="inlineStr">
        <is>
          <t>별도</t>
        </is>
      </c>
      <c r="E1898" t="inlineStr">
        <is>
          <t>2025Q3</t>
        </is>
      </c>
      <c r="F1898" s="2" t="n">
        <v>1830400</v>
      </c>
      <c r="G1898" t="n">
        <v>7.3</v>
      </c>
      <c r="H1898" t="n">
        <v>18.2</v>
      </c>
      <c r="I1898" s="2" t="n">
        <v>539600</v>
      </c>
      <c r="J1898" t="n">
        <v>10.1</v>
      </c>
      <c r="K1898" t="n">
        <v>14.3</v>
      </c>
      <c r="L1898" s="2" t="n">
        <v>804400</v>
      </c>
      <c r="M1898" t="n">
        <v>-24</v>
      </c>
      <c r="N1898" t="inlineStr">
        <is>
          <t>20251105800027</t>
        </is>
      </c>
      <c r="O1898">
        <f>HYPERLINK("https://dart.fss.or.kr/dsaf001/main.do?rcpNo=20251105800027", "공시열람")</f>
        <v/>
      </c>
    </row>
    <row r="1899">
      <c r="A1899" t="inlineStr">
        <is>
          <t>2025-11-05</t>
        </is>
      </c>
      <c r="B1899" t="inlineStr">
        <is>
          <t>NAVER</t>
        </is>
      </c>
      <c r="C1899" t="inlineStr">
        <is>
          <t>035420</t>
        </is>
      </c>
      <c r="D1899" t="inlineStr">
        <is>
          <t>연결</t>
        </is>
      </c>
      <c r="E1899" t="inlineStr">
        <is>
          <t>2025Q3</t>
        </is>
      </c>
      <c r="F1899" s="2" t="n">
        <v>3138100</v>
      </c>
      <c r="G1899" t="n">
        <v>7.6</v>
      </c>
      <c r="H1899" t="n">
        <v>15.6</v>
      </c>
      <c r="I1899" s="2" t="n">
        <v>570600</v>
      </c>
      <c r="J1899" t="n">
        <v>9.4</v>
      </c>
      <c r="K1899" t="n">
        <v>8.6</v>
      </c>
      <c r="L1899" s="2" t="n">
        <v>734700</v>
      </c>
      <c r="M1899" t="n">
        <v>38.6</v>
      </c>
      <c r="N1899" t="inlineStr">
        <is>
          <t>20251105800024</t>
        </is>
      </c>
      <c r="O1899">
        <f>HYPERLINK("https://dart.fss.or.kr/dsaf001/main.do?rcpNo=20251105800024", "공시열람")</f>
        <v/>
      </c>
    </row>
    <row r="1900">
      <c r="A1900" t="inlineStr">
        <is>
          <t>2025-11-05</t>
        </is>
      </c>
      <c r="B1900" t="inlineStr">
        <is>
          <t>카카오뱅크</t>
        </is>
      </c>
      <c r="C1900" t="inlineStr">
        <is>
          <t>323410</t>
        </is>
      </c>
      <c r="D1900" t="inlineStr">
        <is>
          <t>별도</t>
        </is>
      </c>
      <c r="E1900" t="inlineStr">
        <is>
          <t>2025Q3</t>
        </is>
      </c>
      <c r="F1900" s="2" t="n">
        <v>764658</v>
      </c>
      <c r="G1900" t="n">
        <v>-1.72</v>
      </c>
      <c r="H1900" t="n">
        <v>2.45</v>
      </c>
      <c r="I1900" s="2" t="n">
        <v>151119</v>
      </c>
      <c r="J1900" t="n">
        <v>-11.17</v>
      </c>
      <c r="K1900" t="n">
        <v>-13.02</v>
      </c>
      <c r="L1900" s="2" t="n">
        <v>111399</v>
      </c>
      <c r="M1900" t="n">
        <v>-10.28</v>
      </c>
      <c r="N1900" t="inlineStr">
        <is>
          <t>20251105800008</t>
        </is>
      </c>
      <c r="O1900">
        <f>HYPERLINK("https://dart.fss.or.kr/dsaf001/main.do?rcpNo=20251105800008", "공시열람")</f>
        <v/>
      </c>
    </row>
    <row r="1901">
      <c r="A1901" t="inlineStr">
        <is>
          <t>2025-11-05</t>
        </is>
      </c>
      <c r="B1901" t="inlineStr">
        <is>
          <t>카카오게임즈</t>
        </is>
      </c>
      <c r="C1901" t="inlineStr">
        <is>
          <t>293490</t>
        </is>
      </c>
      <c r="D1901" t="inlineStr">
        <is>
          <t>연결</t>
        </is>
      </c>
      <c r="E1901" t="inlineStr">
        <is>
          <t>2025Q3</t>
        </is>
      </c>
      <c r="F1901" s="2" t="n">
        <v>127468</v>
      </c>
      <c r="G1901" t="n">
        <v>10.07</v>
      </c>
      <c r="H1901" t="n">
        <v>-21.73</v>
      </c>
      <c r="I1901" s="2" t="n">
        <v>-5447</v>
      </c>
      <c r="J1901" t="n">
        <v>36.77</v>
      </c>
      <c r="K1901" t="inlineStr"/>
      <c r="L1901" s="2" t="n">
        <v>34615</v>
      </c>
      <c r="M1901" t="inlineStr"/>
      <c r="N1901" t="inlineStr">
        <is>
          <t>20251105900001</t>
        </is>
      </c>
      <c r="O1901">
        <f>HYPERLINK("https://dart.fss.or.kr/dsaf001/main.do?rcpNo=20251105900001", "공시열람")</f>
        <v/>
      </c>
    </row>
    <row r="1902">
      <c r="A1902" t="inlineStr">
        <is>
          <t>2025-11-05</t>
        </is>
      </c>
      <c r="B1902" t="inlineStr">
        <is>
          <t>PI첨단소재</t>
        </is>
      </c>
      <c r="C1902" t="inlineStr">
        <is>
          <t>178920</t>
        </is>
      </c>
      <c r="D1902" t="inlineStr">
        <is>
          <t>별도</t>
        </is>
      </c>
      <c r="E1902" t="inlineStr">
        <is>
          <t>2025Q3</t>
        </is>
      </c>
      <c r="F1902" s="2" t="n">
        <v>68418</v>
      </c>
      <c r="G1902" t="n">
        <v>-5.6</v>
      </c>
      <c r="H1902" t="n">
        <v>-3.2</v>
      </c>
      <c r="I1902" s="2" t="n">
        <v>11608</v>
      </c>
      <c r="J1902" t="n">
        <v>-28.2</v>
      </c>
      <c r="K1902" t="n">
        <v>-1.8</v>
      </c>
      <c r="L1902" s="2" t="n">
        <v>8427</v>
      </c>
      <c r="M1902" t="n">
        <v>34.8</v>
      </c>
      <c r="N1902" t="inlineStr">
        <is>
          <t>20251105800002</t>
        </is>
      </c>
      <c r="O1902">
        <f>HYPERLINK("https://dart.fss.or.kr/dsaf001/main.do?rcpNo=20251105800002", "공시열람")</f>
        <v/>
      </c>
    </row>
    <row r="1903">
      <c r="A1903" t="inlineStr">
        <is>
          <t>2025-11-05</t>
        </is>
      </c>
      <c r="B1903" t="inlineStr">
        <is>
          <t>동진쎄미켐</t>
        </is>
      </c>
      <c r="C1903" t="inlineStr">
        <is>
          <t>005290</t>
        </is>
      </c>
      <c r="D1903" t="inlineStr">
        <is>
          <t>연결</t>
        </is>
      </c>
      <c r="E1903" t="inlineStr">
        <is>
          <t>2025Q3</t>
        </is>
      </c>
      <c r="F1903" s="2" t="n">
        <v>299908</v>
      </c>
      <c r="G1903" t="n">
        <v>1.6</v>
      </c>
      <c r="H1903" t="n">
        <v>5.3</v>
      </c>
      <c r="I1903" s="2" t="n">
        <v>40372</v>
      </c>
      <c r="J1903" t="n">
        <v>-5.4</v>
      </c>
      <c r="K1903" t="n">
        <v>-24.7</v>
      </c>
      <c r="L1903" s="2" t="n">
        <v>23179</v>
      </c>
      <c r="M1903" t="n">
        <v>-30.4</v>
      </c>
      <c r="N1903" t="inlineStr">
        <is>
          <t>20251105900283</t>
        </is>
      </c>
      <c r="O1903">
        <f>HYPERLINK("https://dart.fss.or.kr/dsaf001/main.do?rcpNo=20251105900283", "공시열람")</f>
        <v/>
      </c>
    </row>
    <row r="1904">
      <c r="A1904" t="inlineStr">
        <is>
          <t>2025-11-05</t>
        </is>
      </c>
      <c r="B1904" t="inlineStr">
        <is>
          <t>ISC</t>
        </is>
      </c>
      <c r="C1904" t="inlineStr">
        <is>
          <t>095340</t>
        </is>
      </c>
      <c r="D1904" t="inlineStr">
        <is>
          <t>연결</t>
        </is>
      </c>
      <c r="E1904" t="inlineStr">
        <is>
          <t>2025Q3</t>
        </is>
      </c>
      <c r="F1904" s="2" t="n">
        <v>64521</v>
      </c>
      <c r="G1904" t="n">
        <v>24.9</v>
      </c>
      <c r="H1904" t="n">
        <v>28</v>
      </c>
      <c r="I1904" s="2" t="n">
        <v>17421</v>
      </c>
      <c r="J1904" t="n">
        <v>27</v>
      </c>
      <c r="K1904" t="n">
        <v>26.1</v>
      </c>
      <c r="L1904" s="2" t="n">
        <v>16220</v>
      </c>
      <c r="M1904" t="n">
        <v>45.1</v>
      </c>
      <c r="N1904" t="inlineStr">
        <is>
          <t>20251105900097</t>
        </is>
      </c>
      <c r="O1904">
        <f>HYPERLINK("https://dart.fss.or.kr/dsaf001/main.do?rcpNo=20251105900097", "공시열람")</f>
        <v/>
      </c>
    </row>
    <row r="1905">
      <c r="A1905" t="inlineStr">
        <is>
          <t>2025-11-05</t>
        </is>
      </c>
      <c r="B1905" t="inlineStr">
        <is>
          <t>하림</t>
        </is>
      </c>
      <c r="C1905" t="inlineStr">
        <is>
          <t>136480</t>
        </is>
      </c>
      <c r="D1905" t="inlineStr">
        <is>
          <t>별도</t>
        </is>
      </c>
      <c r="E1905" t="inlineStr">
        <is>
          <t>2025Q3</t>
        </is>
      </c>
      <c r="F1905" s="2" t="n">
        <v>402389</v>
      </c>
      <c r="G1905" t="n">
        <v>6.81</v>
      </c>
      <c r="H1905" t="n">
        <v>9.619999999999999</v>
      </c>
      <c r="I1905" s="2" t="n">
        <v>18588</v>
      </c>
      <c r="J1905" t="n">
        <v>-8.44</v>
      </c>
      <c r="K1905" t="n">
        <v>-27.27</v>
      </c>
      <c r="L1905" s="2" t="n">
        <v>8971</v>
      </c>
      <c r="M1905" t="n">
        <v>-75.70999999999999</v>
      </c>
      <c r="N1905" t="inlineStr">
        <is>
          <t>20251105900348</t>
        </is>
      </c>
      <c r="O1905">
        <f>HYPERLINK("https://dart.fss.or.kr/dsaf001/main.do?rcpNo=20251105900348", "공시열람")</f>
        <v/>
      </c>
    </row>
    <row r="1906">
      <c r="A1906" t="inlineStr">
        <is>
          <t>2025-11-05</t>
        </is>
      </c>
      <c r="B1906" t="inlineStr">
        <is>
          <t>JW신약</t>
        </is>
      </c>
      <c r="C1906" t="inlineStr">
        <is>
          <t>067290</t>
        </is>
      </c>
      <c r="D1906" t="inlineStr">
        <is>
          <t>별도</t>
        </is>
      </c>
      <c r="E1906" t="inlineStr">
        <is>
          <t>2025Q3</t>
        </is>
      </c>
      <c r="F1906" s="2" t="n">
        <v>20589</v>
      </c>
      <c r="G1906" t="n">
        <v>4.5</v>
      </c>
      <c r="H1906" t="n">
        <v>-34.7</v>
      </c>
      <c r="I1906" s="2" t="n">
        <v>2694</v>
      </c>
      <c r="J1906" t="n">
        <v>0.8</v>
      </c>
      <c r="K1906" t="n">
        <v>-66.8</v>
      </c>
      <c r="L1906" s="2" t="n">
        <v>2008</v>
      </c>
      <c r="M1906" t="n">
        <v>-66.8</v>
      </c>
      <c r="N1906" t="inlineStr">
        <is>
          <t>20251105900292</t>
        </is>
      </c>
      <c r="O1906">
        <f>HYPERLINK("https://dart.fss.or.kr/dsaf001/main.do?rcpNo=20251105900292", "공시열람")</f>
        <v/>
      </c>
    </row>
    <row r="1907">
      <c r="A1907" t="inlineStr">
        <is>
          <t>2025-11-05</t>
        </is>
      </c>
      <c r="B1907" t="inlineStr">
        <is>
          <t>달바글로벌</t>
        </is>
      </c>
      <c r="C1907" t="inlineStr">
        <is>
          <t>483650</t>
        </is>
      </c>
      <c r="D1907" t="inlineStr">
        <is>
          <t>연결</t>
        </is>
      </c>
      <c r="E1907" t="inlineStr">
        <is>
          <t>2025Q3</t>
        </is>
      </c>
      <c r="F1907" s="2" t="n">
        <v>117340</v>
      </c>
      <c r="G1907" t="n">
        <v>-8.6</v>
      </c>
      <c r="H1907" t="n">
        <v>59.3</v>
      </c>
      <c r="I1907" s="2" t="n">
        <v>16652</v>
      </c>
      <c r="J1907" t="n">
        <v>-43</v>
      </c>
      <c r="K1907" t="n">
        <v>18.6</v>
      </c>
      <c r="L1907" s="2" t="n">
        <v>14014</v>
      </c>
      <c r="M1907" t="n">
        <v>45.7</v>
      </c>
      <c r="N1907" t="inlineStr">
        <is>
          <t>20251105800352</t>
        </is>
      </c>
      <c r="O1907">
        <f>HYPERLINK("https://dart.fss.or.kr/dsaf001/main.do?rcpNo=20251105800352", "공시열람")</f>
        <v/>
      </c>
    </row>
    <row r="1908">
      <c r="A1908" t="inlineStr">
        <is>
          <t>2025-11-05</t>
        </is>
      </c>
      <c r="B1908" t="inlineStr">
        <is>
          <t>두산에너빌리티</t>
        </is>
      </c>
      <c r="C1908" t="inlineStr">
        <is>
          <t>034020</t>
        </is>
      </c>
      <c r="D1908" t="inlineStr">
        <is>
          <t>연결</t>
        </is>
      </c>
      <c r="E1908" t="inlineStr">
        <is>
          <t>2025Q3</t>
        </is>
      </c>
      <c r="F1908" s="2" t="n">
        <v>3880350</v>
      </c>
      <c r="G1908" t="n">
        <v>-15.1</v>
      </c>
      <c r="H1908" t="n">
        <v>14.3</v>
      </c>
      <c r="I1908" s="2" t="n">
        <v>137059</v>
      </c>
      <c r="J1908" t="n">
        <v>-49.4</v>
      </c>
      <c r="K1908" t="n">
        <v>19.4</v>
      </c>
      <c r="L1908" s="2" t="n">
        <v>-24028</v>
      </c>
      <c r="M1908" t="inlineStr"/>
      <c r="N1908" t="inlineStr">
        <is>
          <t>20251105800353</t>
        </is>
      </c>
      <c r="O1908">
        <f>HYPERLINK("https://dart.fss.or.kr/dsaf001/main.do?rcpNo=20251105800353", "공시열람")</f>
        <v/>
      </c>
    </row>
    <row r="1909">
      <c r="A1909" t="inlineStr">
        <is>
          <t>2025-11-05</t>
        </is>
      </c>
      <c r="B1909" t="inlineStr">
        <is>
          <t>한국항공우주</t>
        </is>
      </c>
      <c r="C1909" t="inlineStr">
        <is>
          <t>047810</t>
        </is>
      </c>
      <c r="D1909" t="inlineStr">
        <is>
          <t>연결</t>
        </is>
      </c>
      <c r="E1909" t="inlineStr">
        <is>
          <t>2025Q3</t>
        </is>
      </c>
      <c r="F1909" s="2" t="n">
        <v>702100</v>
      </c>
      <c r="G1909" t="n">
        <v>-15.2</v>
      </c>
      <c r="H1909" t="n">
        <v>-22.6</v>
      </c>
      <c r="I1909" s="2" t="n">
        <v>60200</v>
      </c>
      <c r="J1909" t="n">
        <v>-29.4</v>
      </c>
      <c r="K1909" t="n">
        <v>-21.1</v>
      </c>
      <c r="L1909" s="2" t="n">
        <v>39000</v>
      </c>
      <c r="M1909" t="n">
        <v>-42.6</v>
      </c>
      <c r="N1909" t="inlineStr">
        <is>
          <t>20251105800347</t>
        </is>
      </c>
      <c r="O1909">
        <f>HYPERLINK("https://dart.fss.or.kr/dsaf001/main.do?rcpNo=20251105800347", "공시열람")</f>
        <v/>
      </c>
    </row>
    <row r="1910">
      <c r="A1910" t="inlineStr">
        <is>
          <t>2025-11-05</t>
        </is>
      </c>
      <c r="B1910" t="inlineStr">
        <is>
          <t>두산퓨얼셀</t>
        </is>
      </c>
      <c r="C1910" t="inlineStr">
        <is>
          <t>336260</t>
        </is>
      </c>
      <c r="D1910" t="inlineStr">
        <is>
          <t>연결</t>
        </is>
      </c>
      <c r="E1910" t="inlineStr">
        <is>
          <t>2025Q3</t>
        </is>
      </c>
      <c r="F1910" s="2" t="n">
        <v>90806</v>
      </c>
      <c r="G1910" t="n">
        <v>-29.3</v>
      </c>
      <c r="H1910" t="n">
        <v>183.6</v>
      </c>
      <c r="I1910" s="2" t="n">
        <v>-15604</v>
      </c>
      <c r="J1910" t="n">
        <v>-715.1</v>
      </c>
      <c r="K1910" t="n">
        <v>-422</v>
      </c>
      <c r="L1910" s="2" t="n">
        <v>-17488</v>
      </c>
      <c r="M1910" t="n">
        <v>-376.3</v>
      </c>
      <c r="N1910" t="inlineStr">
        <is>
          <t>20251105800356</t>
        </is>
      </c>
      <c r="O1910">
        <f>HYPERLINK("https://dart.fss.or.kr/dsaf001/main.do?rcpNo=20251105800356", "공시열람")</f>
        <v/>
      </c>
    </row>
    <row r="1911">
      <c r="A1911" t="inlineStr">
        <is>
          <t>2025-11-05</t>
        </is>
      </c>
      <c r="B1911" t="inlineStr">
        <is>
          <t>에코프로에이치엔</t>
        </is>
      </c>
      <c r="C1911" t="inlineStr">
        <is>
          <t>383310</t>
        </is>
      </c>
      <c r="D1911" t="inlineStr">
        <is>
          <t>연결</t>
        </is>
      </c>
      <c r="E1911" t="inlineStr">
        <is>
          <t>2025Q3</t>
        </is>
      </c>
      <c r="F1911" s="2" t="n">
        <v>28397</v>
      </c>
      <c r="G1911" t="n">
        <v>-27.2</v>
      </c>
      <c r="H1911" t="n">
        <v>-49.4</v>
      </c>
      <c r="I1911" s="2" t="n">
        <v>2334</v>
      </c>
      <c r="J1911" t="n">
        <v>-36.3</v>
      </c>
      <c r="K1911" t="n">
        <v>-59</v>
      </c>
      <c r="L1911" s="2" t="n">
        <v>2498</v>
      </c>
      <c r="M1911" t="n">
        <v>-48.3</v>
      </c>
      <c r="N1911" t="inlineStr">
        <is>
          <t>20251105900115</t>
        </is>
      </c>
      <c r="O1911">
        <f>HYPERLINK("https://dart.fss.or.kr/dsaf001/main.do?rcpNo=20251105900115", "공시열람")</f>
        <v/>
      </c>
    </row>
    <row r="1912">
      <c r="A1912" t="inlineStr">
        <is>
          <t>2025-11-05</t>
        </is>
      </c>
      <c r="B1912" t="inlineStr">
        <is>
          <t>롯데렌탈</t>
        </is>
      </c>
      <c r="C1912" t="inlineStr">
        <is>
          <t>089860</t>
        </is>
      </c>
      <c r="D1912" t="inlineStr">
        <is>
          <t>연결</t>
        </is>
      </c>
      <c r="E1912" t="inlineStr">
        <is>
          <t>2025Q3</t>
        </is>
      </c>
      <c r="F1912" s="2" t="n">
        <v>757969</v>
      </c>
      <c r="G1912" t="n">
        <v>1.2</v>
      </c>
      <c r="H1912" t="n">
        <v>5.5</v>
      </c>
      <c r="I1912" s="2" t="n">
        <v>88996</v>
      </c>
      <c r="J1912" t="n">
        <v>15.3</v>
      </c>
      <c r="K1912" t="n">
        <v>10.6</v>
      </c>
      <c r="L1912" s="2" t="n">
        <v>38689</v>
      </c>
      <c r="M1912" t="n">
        <v>25</v>
      </c>
      <c r="N1912" t="inlineStr">
        <is>
          <t>20251105800343</t>
        </is>
      </c>
      <c r="O1912">
        <f>HYPERLINK("https://dart.fss.or.kr/dsaf001/main.do?rcpNo=20251105800343", "공시열람")</f>
        <v/>
      </c>
    </row>
    <row r="1913">
      <c r="A1913" t="inlineStr">
        <is>
          <t>2025-11-05</t>
        </is>
      </c>
      <c r="B1913" t="inlineStr">
        <is>
          <t>에코프로</t>
        </is>
      </c>
      <c r="C1913" t="inlineStr">
        <is>
          <t>086520</t>
        </is>
      </c>
      <c r="D1913" t="inlineStr">
        <is>
          <t>연결</t>
        </is>
      </c>
      <c r="E1913" t="inlineStr">
        <is>
          <t>2025Q3</t>
        </is>
      </c>
      <c r="F1913" s="2" t="n">
        <v>959693</v>
      </c>
      <c r="G1913" t="n">
        <v>3</v>
      </c>
      <c r="H1913" t="n">
        <v>61.5</v>
      </c>
      <c r="I1913" s="2" t="n">
        <v>149927</v>
      </c>
      <c r="J1913" t="n">
        <v>823.9</v>
      </c>
      <c r="K1913" t="inlineStr"/>
      <c r="L1913" s="2" t="n">
        <v>174622</v>
      </c>
      <c r="M1913" t="inlineStr"/>
      <c r="N1913" t="inlineStr">
        <is>
          <t>20251105900111</t>
        </is>
      </c>
      <c r="O1913">
        <f>HYPERLINK("https://dart.fss.or.kr/dsaf001/main.do?rcpNo=20251105900111", "공시열람")</f>
        <v/>
      </c>
    </row>
    <row r="1914">
      <c r="A1914" t="inlineStr">
        <is>
          <t>2025-11-05</t>
        </is>
      </c>
      <c r="B1914" t="inlineStr">
        <is>
          <t>에스케이바이오팜</t>
        </is>
      </c>
      <c r="C1914" t="inlineStr">
        <is>
          <t>326030</t>
        </is>
      </c>
      <c r="D1914" t="inlineStr">
        <is>
          <t>연결</t>
        </is>
      </c>
      <c r="E1914" t="inlineStr">
        <is>
          <t>2025Q3</t>
        </is>
      </c>
      <c r="F1914" s="2" t="n">
        <v>191727</v>
      </c>
      <c r="G1914" t="n">
        <v>8.800000000000001</v>
      </c>
      <c r="H1914" t="n">
        <v>40.4</v>
      </c>
      <c r="I1914" s="2" t="n">
        <v>70106</v>
      </c>
      <c r="J1914" t="n">
        <v>13.3</v>
      </c>
      <c r="K1914" t="n">
        <v>262.4</v>
      </c>
      <c r="L1914" s="2" t="n">
        <v>71367</v>
      </c>
      <c r="M1914" t="n">
        <v>1031.3</v>
      </c>
      <c r="N1914" t="inlineStr">
        <is>
          <t>20251105800102</t>
        </is>
      </c>
      <c r="O1914">
        <f>HYPERLINK("https://dart.fss.or.kr/dsaf001/main.do?rcpNo=20251105800102", "공시열람")</f>
        <v/>
      </c>
    </row>
    <row r="1915">
      <c r="A1915" t="inlineStr">
        <is>
          <t>2025-11-05</t>
        </is>
      </c>
      <c r="B1915" t="inlineStr">
        <is>
          <t>에스엠</t>
        </is>
      </c>
      <c r="C1915" t="inlineStr">
        <is>
          <t>041510</t>
        </is>
      </c>
      <c r="D1915" t="inlineStr">
        <is>
          <t>연결</t>
        </is>
      </c>
      <c r="E1915" t="inlineStr">
        <is>
          <t>2025Q3</t>
        </is>
      </c>
      <c r="F1915" s="2" t="n">
        <v>321592</v>
      </c>
      <c r="G1915" t="n">
        <v>6.2</v>
      </c>
      <c r="H1915" t="n">
        <v>32.8</v>
      </c>
      <c r="I1915" s="2" t="n">
        <v>48214</v>
      </c>
      <c r="J1915" t="n">
        <v>1.3</v>
      </c>
      <c r="K1915" t="n">
        <v>261.6</v>
      </c>
      <c r="L1915" s="2" t="n">
        <v>44685</v>
      </c>
      <c r="M1915" t="n">
        <v>1107</v>
      </c>
      <c r="N1915" t="inlineStr">
        <is>
          <t>20251105900235</t>
        </is>
      </c>
      <c r="O1915">
        <f>HYPERLINK("https://dart.fss.or.kr/dsaf001/main.do?rcpNo=20251105900235", "공시열람")</f>
        <v/>
      </c>
    </row>
    <row r="1916">
      <c r="A1916" t="inlineStr">
        <is>
          <t>2025-11-05</t>
        </is>
      </c>
      <c r="B1916" t="inlineStr">
        <is>
          <t>넥센타이어</t>
        </is>
      </c>
      <c r="C1916" t="inlineStr">
        <is>
          <t>002350</t>
        </is>
      </c>
      <c r="D1916" t="inlineStr">
        <is>
          <t>연결</t>
        </is>
      </c>
      <c r="E1916" t="inlineStr">
        <is>
          <t>2025Q3</t>
        </is>
      </c>
      <c r="F1916" s="2" t="n">
        <v>780696</v>
      </c>
      <c r="G1916" t="n">
        <v>-2.98</v>
      </c>
      <c r="H1916" t="n">
        <v>10.19</v>
      </c>
      <c r="I1916" s="2" t="n">
        <v>46486</v>
      </c>
      <c r="J1916" t="n">
        <v>9.039999999999999</v>
      </c>
      <c r="K1916" t="n">
        <v>-11.06</v>
      </c>
      <c r="L1916" s="2" t="n">
        <v>54829</v>
      </c>
      <c r="M1916" t="inlineStr"/>
      <c r="N1916" t="inlineStr">
        <is>
          <t>20251105800290</t>
        </is>
      </c>
      <c r="O1916">
        <f>HYPERLINK("https://dart.fss.or.kr/dsaf001/main.do?rcpNo=20251105800290", "공시열람")</f>
        <v/>
      </c>
    </row>
    <row r="1917">
      <c r="A1917" t="inlineStr">
        <is>
          <t>2025-11-05</t>
        </is>
      </c>
      <c r="B1917" t="inlineStr">
        <is>
          <t>현대홈쇼핑</t>
        </is>
      </c>
      <c r="C1917" t="inlineStr">
        <is>
          <t>057050</t>
        </is>
      </c>
      <c r="D1917" t="inlineStr">
        <is>
          <t>연결</t>
        </is>
      </c>
      <c r="E1917" t="inlineStr">
        <is>
          <t>2025Q3</t>
        </is>
      </c>
      <c r="F1917" s="2" t="n">
        <v>873916</v>
      </c>
      <c r="G1917" t="n">
        <v>-5.4</v>
      </c>
      <c r="H1917" t="n">
        <v>-2.7</v>
      </c>
      <c r="I1917" s="2" t="n">
        <v>24782</v>
      </c>
      <c r="J1917" t="n">
        <v>-17.9</v>
      </c>
      <c r="K1917" t="n">
        <v>26.6</v>
      </c>
      <c r="L1917" s="2" t="n">
        <v>24540</v>
      </c>
      <c r="M1917" t="n">
        <v>-7.6</v>
      </c>
      <c r="N1917" t="inlineStr">
        <is>
          <t>20251105800258</t>
        </is>
      </c>
      <c r="O1917">
        <f>HYPERLINK("https://dart.fss.or.kr/dsaf001/main.do?rcpNo=20251105800258", "공시열람")</f>
        <v/>
      </c>
    </row>
    <row r="1918">
      <c r="A1918" t="inlineStr">
        <is>
          <t>2025-11-05</t>
        </is>
      </c>
      <c r="B1918" t="inlineStr">
        <is>
          <t>에스엠</t>
        </is>
      </c>
      <c r="C1918" t="inlineStr">
        <is>
          <t>041510</t>
        </is>
      </c>
      <c r="D1918" t="inlineStr">
        <is>
          <t>별도</t>
        </is>
      </c>
      <c r="E1918" t="inlineStr">
        <is>
          <t>2025Q3</t>
        </is>
      </c>
      <c r="F1918" s="2" t="n">
        <v>224536</v>
      </c>
      <c r="G1918" t="n">
        <v>1.9</v>
      </c>
      <c r="H1918" t="n">
        <v>30.5</v>
      </c>
      <c r="I1918" s="2" t="n">
        <v>40200</v>
      </c>
      <c r="J1918" t="n">
        <v>-12.5</v>
      </c>
      <c r="K1918" t="n">
        <v>48.6</v>
      </c>
      <c r="L1918" s="2" t="n">
        <v>32286</v>
      </c>
      <c r="M1918" t="n">
        <v>101.8</v>
      </c>
      <c r="N1918" t="inlineStr">
        <is>
          <t>20251105900236</t>
        </is>
      </c>
      <c r="O1918">
        <f>HYPERLINK("https://dart.fss.or.kr/dsaf001/main.do?rcpNo=20251105900236", "공시열람")</f>
        <v/>
      </c>
    </row>
    <row r="1919">
      <c r="A1919" t="inlineStr">
        <is>
          <t>2025-11-05</t>
        </is>
      </c>
      <c r="B1919" t="inlineStr">
        <is>
          <t>한화솔루션</t>
        </is>
      </c>
      <c r="C1919" t="inlineStr">
        <is>
          <t>009830</t>
        </is>
      </c>
      <c r="D1919" t="inlineStr">
        <is>
          <t>연결</t>
        </is>
      </c>
      <c r="E1919" t="inlineStr">
        <is>
          <t>2025Q3</t>
        </is>
      </c>
      <c r="F1919" s="2" t="n">
        <v>3364316</v>
      </c>
      <c r="G1919" t="n">
        <v>7.93</v>
      </c>
      <c r="H1919" t="n">
        <v>22.52</v>
      </c>
      <c r="I1919" s="2" t="n">
        <v>-7418</v>
      </c>
      <c r="J1919" t="inlineStr"/>
      <c r="K1919" t="n">
        <v>90.76000000000001</v>
      </c>
      <c r="L1919" s="2" t="n">
        <v>4522</v>
      </c>
      <c r="M1919" t="inlineStr"/>
      <c r="N1919" t="inlineStr">
        <is>
          <t>20251105800242</t>
        </is>
      </c>
      <c r="O1919">
        <f>HYPERLINK("https://dart.fss.or.kr/dsaf001/main.do?rcpNo=20251105800242", "공시열람")</f>
        <v/>
      </c>
    </row>
    <row r="1920">
      <c r="A1920" t="inlineStr">
        <is>
          <t>2025-11-05</t>
        </is>
      </c>
      <c r="B1920" t="inlineStr">
        <is>
          <t>현대백화점</t>
        </is>
      </c>
      <c r="C1920" t="inlineStr">
        <is>
          <t>069960</t>
        </is>
      </c>
      <c r="D1920" t="inlineStr">
        <is>
          <t>연결</t>
        </is>
      </c>
      <c r="E1920" t="inlineStr">
        <is>
          <t>2025Q3</t>
        </is>
      </c>
      <c r="F1920" s="2" t="n">
        <v>1010300</v>
      </c>
      <c r="G1920" t="n">
        <v>-6.5</v>
      </c>
      <c r="H1920" t="n">
        <v>-2.6</v>
      </c>
      <c r="I1920" s="2" t="n">
        <v>72600</v>
      </c>
      <c r="J1920" t="n">
        <v>-16.5</v>
      </c>
      <c r="K1920" t="n">
        <v>12.3</v>
      </c>
      <c r="L1920" s="2" t="n">
        <v>47600</v>
      </c>
      <c r="M1920" t="n">
        <v>67.40000000000001</v>
      </c>
      <c r="N1920" t="inlineStr">
        <is>
          <t>20251105800250</t>
        </is>
      </c>
      <c r="O1920">
        <f>HYPERLINK("https://dart.fss.or.kr/dsaf001/main.do?rcpNo=20251105800250", "공시열람")</f>
        <v/>
      </c>
    </row>
    <row r="1921">
      <c r="A1921" t="inlineStr">
        <is>
          <t>2025-11-04</t>
        </is>
      </c>
      <c r="B1921" t="inlineStr">
        <is>
          <t>에코프로비엠</t>
        </is>
      </c>
      <c r="C1921" t="inlineStr">
        <is>
          <t>247540</t>
        </is>
      </c>
      <c r="D1921" t="inlineStr">
        <is>
          <t>연결</t>
        </is>
      </c>
      <c r="E1921" t="inlineStr">
        <is>
          <t>2025Q3</t>
        </is>
      </c>
      <c r="F1921" s="2" t="n">
        <v>625283</v>
      </c>
      <c r="G1921" t="n">
        <v>-19.8</v>
      </c>
      <c r="H1921" t="n">
        <v>19.8</v>
      </c>
      <c r="I1921" s="2" t="n">
        <v>50712</v>
      </c>
      <c r="J1921" t="n">
        <v>3.5</v>
      </c>
      <c r="K1921" t="inlineStr"/>
      <c r="L1921" s="2" t="n">
        <v>49302</v>
      </c>
      <c r="M1921" t="inlineStr"/>
      <c r="N1921" t="inlineStr">
        <is>
          <t>20251104900035</t>
        </is>
      </c>
      <c r="O1921">
        <f>HYPERLINK("https://dart.fss.or.kr/dsaf001/main.do?rcpNo=20251104900035", "공시열람")</f>
        <v/>
      </c>
    </row>
    <row r="1922">
      <c r="A1922" t="inlineStr">
        <is>
          <t>2025-11-04</t>
        </is>
      </c>
      <c r="B1922" t="inlineStr">
        <is>
          <t>디케이티</t>
        </is>
      </c>
      <c r="C1922" t="inlineStr">
        <is>
          <t>290550</t>
        </is>
      </c>
      <c r="D1922" t="inlineStr">
        <is>
          <t>연결</t>
        </is>
      </c>
      <c r="E1922" t="inlineStr">
        <is>
          <t>2025Q3</t>
        </is>
      </c>
      <c r="F1922" s="2" t="n">
        <v>105771</v>
      </c>
      <c r="G1922" t="n">
        <v>-10.9</v>
      </c>
      <c r="H1922" t="n">
        <v>29.5</v>
      </c>
      <c r="I1922" s="2" t="n">
        <v>4809</v>
      </c>
      <c r="J1922" t="n">
        <v>-41.6</v>
      </c>
      <c r="K1922" t="n">
        <v>-4.2</v>
      </c>
      <c r="L1922" s="2" t="inlineStr"/>
      <c r="M1922" t="inlineStr"/>
      <c r="N1922" t="inlineStr">
        <is>
          <t>20251104900057</t>
        </is>
      </c>
      <c r="O1922">
        <f>HYPERLINK("https://dart.fss.or.kr/dsaf001/main.do?rcpNo=20251104900057", "공시열람")</f>
        <v/>
      </c>
    </row>
    <row r="1923">
      <c r="A1923" t="inlineStr">
        <is>
          <t>2025-11-04</t>
        </is>
      </c>
      <c r="B1923" t="inlineStr">
        <is>
          <t>인크로스</t>
        </is>
      </c>
      <c r="C1923" t="inlineStr">
        <is>
          <t>216050</t>
        </is>
      </c>
      <c r="D1923" t="inlineStr">
        <is>
          <t>별도</t>
        </is>
      </c>
      <c r="E1923" t="inlineStr">
        <is>
          <t>2025Q3</t>
        </is>
      </c>
      <c r="F1923" s="2" t="n">
        <v>10984</v>
      </c>
      <c r="G1923" t="n">
        <v>21.5</v>
      </c>
      <c r="H1923" t="n">
        <v>-6.4</v>
      </c>
      <c r="I1923" s="2" t="n">
        <v>3482</v>
      </c>
      <c r="J1923" t="n">
        <v>51.3</v>
      </c>
      <c r="K1923" t="n">
        <v>-32.3</v>
      </c>
      <c r="L1923" s="2" t="n">
        <v>3500</v>
      </c>
      <c r="M1923" t="n">
        <v>-28</v>
      </c>
      <c r="N1923" t="inlineStr">
        <is>
          <t>20251104900067</t>
        </is>
      </c>
      <c r="O1923">
        <f>HYPERLINK("https://dart.fss.or.kr/dsaf001/main.do?rcpNo=20251104900067", "공시열람")</f>
        <v/>
      </c>
    </row>
    <row r="1924">
      <c r="A1924" t="inlineStr">
        <is>
          <t>2025-11-04</t>
        </is>
      </c>
      <c r="B1924" t="inlineStr">
        <is>
          <t>성광벤드</t>
        </is>
      </c>
      <c r="C1924" t="inlineStr">
        <is>
          <t>014620</t>
        </is>
      </c>
      <c r="D1924" t="inlineStr">
        <is>
          <t>연결</t>
        </is>
      </c>
      <c r="E1924" t="inlineStr">
        <is>
          <t>2025Q3</t>
        </is>
      </c>
      <c r="F1924" s="2" t="n">
        <v>64561</v>
      </c>
      <c r="G1924" t="n">
        <v>11.1</v>
      </c>
      <c r="H1924" t="n">
        <v>42.2</v>
      </c>
      <c r="I1924" s="2" t="n">
        <v>11731</v>
      </c>
      <c r="J1924" t="n">
        <v>8.9</v>
      </c>
      <c r="K1924" t="n">
        <v>50.2</v>
      </c>
      <c r="L1924" s="2" t="n">
        <v>10781</v>
      </c>
      <c r="M1924" t="n">
        <v>160.2</v>
      </c>
      <c r="N1924" t="inlineStr">
        <is>
          <t>20251104900064</t>
        </is>
      </c>
      <c r="O1924">
        <f>HYPERLINK("https://dart.fss.or.kr/dsaf001/main.do?rcpNo=20251104900064", "공시열람")</f>
        <v/>
      </c>
    </row>
    <row r="1925">
      <c r="A1925" t="inlineStr">
        <is>
          <t>2025-11-04</t>
        </is>
      </c>
      <c r="B1925" t="inlineStr">
        <is>
          <t>인크로스</t>
        </is>
      </c>
      <c r="C1925" t="inlineStr">
        <is>
          <t>216050</t>
        </is>
      </c>
      <c r="D1925" t="inlineStr">
        <is>
          <t>연결</t>
        </is>
      </c>
      <c r="E1925" t="inlineStr">
        <is>
          <t>2025Q3</t>
        </is>
      </c>
      <c r="F1925" s="2" t="n">
        <v>13012</v>
      </c>
      <c r="G1925" t="n">
        <v>25.7</v>
      </c>
      <c r="H1925" t="n">
        <v>-1.9</v>
      </c>
      <c r="I1925" s="2" t="n">
        <v>3647</v>
      </c>
      <c r="J1925" t="n">
        <v>62.7</v>
      </c>
      <c r="K1925" t="n">
        <v>-32</v>
      </c>
      <c r="L1925" s="2" t="n">
        <v>3682</v>
      </c>
      <c r="M1925" t="n">
        <v>-27</v>
      </c>
      <c r="N1925" t="inlineStr">
        <is>
          <t>20251104900068</t>
        </is>
      </c>
      <c r="O1925">
        <f>HYPERLINK("https://dart.fss.or.kr/dsaf001/main.do?rcpNo=20251104900068", "공시열람")</f>
        <v/>
      </c>
    </row>
    <row r="1926">
      <c r="A1926" t="inlineStr">
        <is>
          <t>2025-11-04</t>
        </is>
      </c>
      <c r="B1926" t="inlineStr">
        <is>
          <t>칩스앤미디어</t>
        </is>
      </c>
      <c r="C1926" t="inlineStr">
        <is>
          <t>094360</t>
        </is>
      </c>
      <c r="D1926" t="inlineStr">
        <is>
          <t>연결</t>
        </is>
      </c>
      <c r="E1926" t="inlineStr">
        <is>
          <t>2025Q3</t>
        </is>
      </c>
      <c r="F1926" s="2" t="n">
        <v>6617</v>
      </c>
      <c r="G1926" t="n">
        <v>0.1</v>
      </c>
      <c r="H1926" t="n">
        <v>-5.9</v>
      </c>
      <c r="I1926" s="2" t="n">
        <v>1525</v>
      </c>
      <c r="J1926" t="n">
        <v>10.8</v>
      </c>
      <c r="K1926" t="n">
        <v>-11.6</v>
      </c>
      <c r="L1926" s="2" t="n">
        <v>2179</v>
      </c>
      <c r="M1926" t="n">
        <v>29.5</v>
      </c>
      <c r="N1926" t="inlineStr">
        <is>
          <t>20251104900065</t>
        </is>
      </c>
      <c r="O1926">
        <f>HYPERLINK("https://dart.fss.or.kr/dsaf001/main.do?rcpNo=20251104900065", "공시열람")</f>
        <v/>
      </c>
    </row>
    <row r="1927">
      <c r="A1927" t="inlineStr">
        <is>
          <t>2025-11-04</t>
        </is>
      </c>
      <c r="B1927" t="inlineStr">
        <is>
          <t>비에이치</t>
        </is>
      </c>
      <c r="C1927" t="inlineStr">
        <is>
          <t>090460</t>
        </is>
      </c>
      <c r="D1927" t="inlineStr">
        <is>
          <t>연결</t>
        </is>
      </c>
      <c r="E1927" t="inlineStr">
        <is>
          <t>2025Q3</t>
        </is>
      </c>
      <c r="F1927" s="2" t="n">
        <v>562466</v>
      </c>
      <c r="G1927" t="n">
        <v>44.32</v>
      </c>
      <c r="H1927" t="n">
        <v>12.67</v>
      </c>
      <c r="I1927" s="2" t="n">
        <v>34483</v>
      </c>
      <c r="J1927" t="n">
        <v>115.05</v>
      </c>
      <c r="K1927" t="n">
        <v>-34.42</v>
      </c>
      <c r="L1927" s="2" t="inlineStr"/>
      <c r="M1927" t="inlineStr"/>
      <c r="N1927" t="inlineStr">
        <is>
          <t>20251104800038</t>
        </is>
      </c>
      <c r="O1927">
        <f>HYPERLINK("https://dart.fss.or.kr/dsaf001/main.do?rcpNo=20251104800038", "공시열람")</f>
        <v/>
      </c>
    </row>
    <row r="1928">
      <c r="A1928" t="inlineStr">
        <is>
          <t>2025-11-04</t>
        </is>
      </c>
      <c r="B1928" t="inlineStr">
        <is>
          <t>롯데웰푸드</t>
        </is>
      </c>
      <c r="C1928" t="inlineStr">
        <is>
          <t>280360</t>
        </is>
      </c>
      <c r="D1928" t="inlineStr">
        <is>
          <t>연결</t>
        </is>
      </c>
      <c r="E1928" t="inlineStr">
        <is>
          <t>2025Q3</t>
        </is>
      </c>
      <c r="F1928" s="2" t="n">
        <v>1156782</v>
      </c>
      <c r="G1928" t="n">
        <v>8.699999999999999</v>
      </c>
      <c r="H1928" t="n">
        <v>7.3</v>
      </c>
      <c r="I1928" s="2" t="n">
        <v>69263</v>
      </c>
      <c r="J1928" t="n">
        <v>101.7</v>
      </c>
      <c r="K1928" t="n">
        <v>-8.9</v>
      </c>
      <c r="L1928" s="2" t="n">
        <v>49943</v>
      </c>
      <c r="M1928" t="n">
        <v>8.199999999999999</v>
      </c>
      <c r="N1928" t="inlineStr">
        <is>
          <t>20251104800116</t>
        </is>
      </c>
      <c r="O1928">
        <f>HYPERLINK("https://dart.fss.or.kr/dsaf001/main.do?rcpNo=20251104800116", "공시열람")</f>
        <v/>
      </c>
    </row>
    <row r="1929">
      <c r="A1929" t="inlineStr">
        <is>
          <t>2025-11-04</t>
        </is>
      </c>
      <c r="B1929" t="inlineStr">
        <is>
          <t>GS건설</t>
        </is>
      </c>
      <c r="C1929" t="inlineStr">
        <is>
          <t>006360</t>
        </is>
      </c>
      <c r="D1929" t="inlineStr">
        <is>
          <t>연결</t>
        </is>
      </c>
      <c r="E1929" t="inlineStr">
        <is>
          <t>2025Q3</t>
        </is>
      </c>
      <c r="F1929" s="2" t="n">
        <v>3208011</v>
      </c>
      <c r="G1929" t="n">
        <v>0.37</v>
      </c>
      <c r="H1929" t="n">
        <v>3.18</v>
      </c>
      <c r="I1929" s="2" t="n">
        <v>148473</v>
      </c>
      <c r="J1929" t="n">
        <v>-8.380000000000001</v>
      </c>
      <c r="K1929" t="n">
        <v>81.53</v>
      </c>
      <c r="L1929" s="2" t="n">
        <v>122058</v>
      </c>
      <c r="M1929" t="n">
        <v>1.02</v>
      </c>
      <c r="N1929" t="inlineStr">
        <is>
          <t>20251104800042</t>
        </is>
      </c>
      <c r="O1929">
        <f>HYPERLINK("https://dart.fss.or.kr/dsaf001/main.do?rcpNo=20251104800042", "공시열람")</f>
        <v/>
      </c>
    </row>
    <row r="1930">
      <c r="A1930" t="inlineStr">
        <is>
          <t>2025-11-04</t>
        </is>
      </c>
      <c r="B1930" t="inlineStr">
        <is>
          <t>롯데손해보험</t>
        </is>
      </c>
      <c r="C1930" t="inlineStr">
        <is>
          <t>000400</t>
        </is>
      </c>
      <c r="D1930" t="inlineStr">
        <is>
          <t>별도</t>
        </is>
      </c>
      <c r="E1930" t="inlineStr">
        <is>
          <t>2025Q3</t>
        </is>
      </c>
      <c r="F1930" s="2" t="n">
        <v>765454</v>
      </c>
      <c r="G1930" t="n">
        <v>-12.4</v>
      </c>
      <c r="H1930" t="n">
        <v>8.199999999999999</v>
      </c>
      <c r="I1930" s="2" t="n">
        <v>68025</v>
      </c>
      <c r="J1930" t="n">
        <v>40.9</v>
      </c>
      <c r="K1930" t="n">
        <v>303.4</v>
      </c>
      <c r="L1930" s="2" t="n">
        <v>51532</v>
      </c>
      <c r="M1930" t="n">
        <v>315.1</v>
      </c>
      <c r="N1930" t="inlineStr">
        <is>
          <t>20251104800026</t>
        </is>
      </c>
      <c r="O1930">
        <f>HYPERLINK("https://dart.fss.or.kr/dsaf001/main.do?rcpNo=20251104800026", "공시열람")</f>
        <v/>
      </c>
    </row>
    <row r="1931">
      <c r="A1931" t="inlineStr">
        <is>
          <t>2025-11-04</t>
        </is>
      </c>
      <c r="B1931" t="inlineStr">
        <is>
          <t>뷰웍스</t>
        </is>
      </c>
      <c r="C1931" t="inlineStr">
        <is>
          <t>100120</t>
        </is>
      </c>
      <c r="D1931" t="inlineStr">
        <is>
          <t>연결</t>
        </is>
      </c>
      <c r="E1931" t="inlineStr">
        <is>
          <t>2025Q3</t>
        </is>
      </c>
      <c r="F1931" s="2" t="n">
        <v>53673</v>
      </c>
      <c r="G1931" t="n">
        <v>-14.4</v>
      </c>
      <c r="H1931" t="n">
        <v>10.9</v>
      </c>
      <c r="I1931" s="2" t="n">
        <v>4303</v>
      </c>
      <c r="J1931" t="n">
        <v>-34.1</v>
      </c>
      <c r="K1931" t="n">
        <v>-4.9</v>
      </c>
      <c r="L1931" s="2" t="inlineStr"/>
      <c r="M1931" t="inlineStr"/>
      <c r="N1931" t="inlineStr">
        <is>
          <t>20251104900267</t>
        </is>
      </c>
      <c r="O1931">
        <f>HYPERLINK("https://dart.fss.or.kr/dsaf001/main.do?rcpNo=20251104900267", "공시열람")</f>
        <v/>
      </c>
    </row>
    <row r="1932">
      <c r="A1932" t="inlineStr">
        <is>
          <t>2025-11-04</t>
        </is>
      </c>
      <c r="B1932" t="inlineStr">
        <is>
          <t>현대코퍼레이션</t>
        </is>
      </c>
      <c r="C1932" t="inlineStr">
        <is>
          <t>011760</t>
        </is>
      </c>
      <c r="D1932" t="inlineStr">
        <is>
          <t>연결</t>
        </is>
      </c>
      <c r="E1932" t="inlineStr">
        <is>
          <t>2025Q3</t>
        </is>
      </c>
      <c r="F1932" s="2" t="n">
        <v>1889891</v>
      </c>
      <c r="G1932" t="n">
        <v>-1.49</v>
      </c>
      <c r="H1932" t="n">
        <v>4.59</v>
      </c>
      <c r="I1932" s="2" t="n">
        <v>35398</v>
      </c>
      <c r="J1932" t="n">
        <v>2.16</v>
      </c>
      <c r="K1932" t="n">
        <v>-4.8</v>
      </c>
      <c r="L1932" s="2" t="n">
        <v>20952</v>
      </c>
      <c r="M1932" t="n">
        <v>-47.28</v>
      </c>
      <c r="N1932" t="inlineStr">
        <is>
          <t>20251104800482</t>
        </is>
      </c>
      <c r="O1932">
        <f>HYPERLINK("https://dart.fss.or.kr/dsaf001/main.do?rcpNo=20251104800482", "공시열람")</f>
        <v/>
      </c>
    </row>
    <row r="1933">
      <c r="A1933" t="inlineStr">
        <is>
          <t>2025-11-04</t>
        </is>
      </c>
      <c r="B1933" t="inlineStr">
        <is>
          <t>카카오페이</t>
        </is>
      </c>
      <c r="C1933" t="inlineStr">
        <is>
          <t>377300</t>
        </is>
      </c>
      <c r="D1933" t="inlineStr">
        <is>
          <t>연결</t>
        </is>
      </c>
      <c r="E1933" t="inlineStr">
        <is>
          <t>2025Q3</t>
        </is>
      </c>
      <c r="F1933" s="2" t="n">
        <v>238350</v>
      </c>
      <c r="G1933" t="n">
        <v>0</v>
      </c>
      <c r="H1933" t="n">
        <v>28</v>
      </c>
      <c r="I1933" s="2" t="n">
        <v>15801</v>
      </c>
      <c r="J1933" t="n">
        <v>69.40000000000001</v>
      </c>
      <c r="K1933" t="inlineStr"/>
      <c r="L1933" s="2" t="n">
        <v>19149</v>
      </c>
      <c r="M1933" t="inlineStr"/>
      <c r="N1933" t="inlineStr">
        <is>
          <t>20251104800192</t>
        </is>
      </c>
      <c r="O1933">
        <f>HYPERLINK("https://dart.fss.or.kr/dsaf001/main.do?rcpNo=20251104800192", "공시열람")</f>
        <v/>
      </c>
    </row>
    <row r="1934">
      <c r="A1934" t="inlineStr">
        <is>
          <t>2025-11-04</t>
        </is>
      </c>
      <c r="B1934" t="inlineStr">
        <is>
          <t>셀트리온</t>
        </is>
      </c>
      <c r="C1934" t="inlineStr">
        <is>
          <t>068270</t>
        </is>
      </c>
      <c r="D1934" t="inlineStr">
        <is>
          <t>연결</t>
        </is>
      </c>
      <c r="E1934" t="inlineStr">
        <is>
          <t>2025Q3</t>
        </is>
      </c>
      <c r="F1934" s="2" t="n">
        <v>1028969</v>
      </c>
      <c r="G1934" t="n">
        <v>7.02</v>
      </c>
      <c r="H1934" t="n">
        <v>16.67</v>
      </c>
      <c r="I1934" s="2" t="n">
        <v>301412</v>
      </c>
      <c r="J1934" t="n">
        <v>24.31</v>
      </c>
      <c r="K1934" t="n">
        <v>45.13</v>
      </c>
      <c r="L1934" s="2" t="n">
        <v>331923</v>
      </c>
      <c r="M1934" t="n">
        <v>294.7</v>
      </c>
      <c r="N1934" t="inlineStr">
        <is>
          <t>20251104800295</t>
        </is>
      </c>
      <c r="O1934">
        <f>HYPERLINK("https://dart.fss.or.kr/dsaf001/main.do?rcpNo=20251104800295", "공시열람")</f>
        <v/>
      </c>
    </row>
    <row r="1935">
      <c r="A1935" t="inlineStr">
        <is>
          <t>2025-11-04</t>
        </is>
      </c>
      <c r="B1935" t="inlineStr">
        <is>
          <t>대덕전자</t>
        </is>
      </c>
      <c r="C1935" t="inlineStr">
        <is>
          <t>353200</t>
        </is>
      </c>
      <c r="D1935" t="inlineStr">
        <is>
          <t>연결</t>
        </is>
      </c>
      <c r="E1935" t="inlineStr">
        <is>
          <t>2025Q3</t>
        </is>
      </c>
      <c r="F1935" s="2" t="n">
        <v>286173</v>
      </c>
      <c r="G1935" t="n">
        <v>16.4</v>
      </c>
      <c r="H1935" t="n">
        <v>23</v>
      </c>
      <c r="I1935" s="2" t="n">
        <v>24448</v>
      </c>
      <c r="J1935" t="n">
        <v>1210.1</v>
      </c>
      <c r="K1935" t="n">
        <v>165.2</v>
      </c>
      <c r="L1935" s="2" t="n">
        <v>23279</v>
      </c>
      <c r="M1935" t="n">
        <v>349.7</v>
      </c>
      <c r="N1935" t="inlineStr">
        <is>
          <t>20251104800301</t>
        </is>
      </c>
      <c r="O1935">
        <f>HYPERLINK("https://dart.fss.or.kr/dsaf001/main.do?rcpNo=20251104800301", "공시열람")</f>
        <v/>
      </c>
    </row>
    <row r="1936">
      <c r="A1936" t="inlineStr">
        <is>
          <t>2025-11-04</t>
        </is>
      </c>
      <c r="B1936" t="inlineStr">
        <is>
          <t>파라다이스</t>
        </is>
      </c>
      <c r="C1936" t="inlineStr">
        <is>
          <t>034230</t>
        </is>
      </c>
      <c r="D1936" t="inlineStr">
        <is>
          <t>연결</t>
        </is>
      </c>
      <c r="E1936" t="inlineStr">
        <is>
          <t>2025Q3</t>
        </is>
      </c>
      <c r="F1936" s="2" t="inlineStr"/>
      <c r="G1936" t="inlineStr"/>
      <c r="H1936" t="inlineStr"/>
      <c r="I1936" s="2" t="inlineStr"/>
      <c r="J1936" t="inlineStr"/>
      <c r="K1936" t="inlineStr"/>
      <c r="L1936" s="2" t="inlineStr"/>
      <c r="M1936" t="inlineStr"/>
      <c r="N1936" t="inlineStr">
        <is>
          <t>20251104800303</t>
        </is>
      </c>
      <c r="O1936">
        <f>HYPERLINK("https://dart.fss.or.kr/dsaf001/main.do?rcpNo=20251104800303", "공시열람")</f>
        <v/>
      </c>
    </row>
    <row r="1937">
      <c r="A1937" t="inlineStr">
        <is>
          <t>2025-11-04</t>
        </is>
      </c>
      <c r="B1937" t="inlineStr">
        <is>
          <t>크래프톤</t>
        </is>
      </c>
      <c r="C1937" t="inlineStr">
        <is>
          <t>259960</t>
        </is>
      </c>
      <c r="D1937" t="inlineStr">
        <is>
          <t>연결</t>
        </is>
      </c>
      <c r="E1937" t="inlineStr">
        <is>
          <t>2025Q3</t>
        </is>
      </c>
      <c r="F1937" s="2" t="n">
        <v>870600</v>
      </c>
      <c r="G1937" t="n">
        <v>31.5</v>
      </c>
      <c r="H1937" t="n">
        <v>21</v>
      </c>
      <c r="I1937" s="2" t="n">
        <v>348600</v>
      </c>
      <c r="J1937" t="n">
        <v>41.7</v>
      </c>
      <c r="K1937" t="n">
        <v>7.5</v>
      </c>
      <c r="L1937" s="2" t="n">
        <v>369400</v>
      </c>
      <c r="M1937" t="n">
        <v>204.4</v>
      </c>
      <c r="N1937" t="inlineStr">
        <is>
          <t>20251104800305</t>
        </is>
      </c>
      <c r="O1937">
        <f>HYPERLINK("https://dart.fss.or.kr/dsaf001/main.do?rcpNo=20251104800305", "공시열람")</f>
        <v/>
      </c>
    </row>
    <row r="1938">
      <c r="A1938" t="inlineStr">
        <is>
          <t>2025-11-04</t>
        </is>
      </c>
      <c r="B1938" t="inlineStr">
        <is>
          <t>애경산업</t>
        </is>
      </c>
      <c r="C1938" t="inlineStr">
        <is>
          <t>018250</t>
        </is>
      </c>
      <c r="D1938" t="inlineStr">
        <is>
          <t>연결</t>
        </is>
      </c>
      <c r="E1938" t="inlineStr">
        <is>
          <t>2025Q3</t>
        </is>
      </c>
      <c r="F1938" s="2" t="n">
        <v>169254</v>
      </c>
      <c r="G1938" t="n">
        <v>-1.2</v>
      </c>
      <c r="H1938" t="n">
        <v>2.4</v>
      </c>
      <c r="I1938" s="2" t="n">
        <v>7298</v>
      </c>
      <c r="J1938" t="n">
        <v>-34.6</v>
      </c>
      <c r="K1938" t="n">
        <v>-23.6</v>
      </c>
      <c r="L1938" s="2" t="n">
        <v>4326</v>
      </c>
      <c r="M1938" t="n">
        <v>-24</v>
      </c>
      <c r="N1938" t="inlineStr">
        <is>
          <t>20251104800302</t>
        </is>
      </c>
      <c r="O1938">
        <f>HYPERLINK("https://dart.fss.or.kr/dsaf001/main.do?rcpNo=20251104800302", "공시열람")</f>
        <v/>
      </c>
    </row>
    <row r="1939">
      <c r="A1939" t="inlineStr">
        <is>
          <t>2025-11-04</t>
        </is>
      </c>
      <c r="B1939" t="inlineStr">
        <is>
          <t>넥써쓰</t>
        </is>
      </c>
      <c r="C1939" t="inlineStr">
        <is>
          <t>205500</t>
        </is>
      </c>
      <c r="D1939" t="inlineStr">
        <is>
          <t>연결</t>
        </is>
      </c>
      <c r="E1939" t="inlineStr">
        <is>
          <t>2025Q3</t>
        </is>
      </c>
      <c r="F1939" s="2" t="n">
        <v>9194</v>
      </c>
      <c r="G1939" t="n">
        <v>-1.44</v>
      </c>
      <c r="H1939" t="n">
        <v>88.70999999999999</v>
      </c>
      <c r="I1939" s="2" t="n">
        <v>311</v>
      </c>
      <c r="J1939" t="n">
        <v>10.68</v>
      </c>
      <c r="K1939" t="n">
        <v>-70.20999999999999</v>
      </c>
      <c r="L1939" s="2" t="n">
        <v>-148</v>
      </c>
      <c r="M1939" t="n">
        <v>-115.23</v>
      </c>
      <c r="N1939" t="inlineStr">
        <is>
          <t>20251104900129</t>
        </is>
      </c>
      <c r="O1939">
        <f>HYPERLINK("https://dart.fss.or.kr/dsaf001/main.do?rcpNo=20251104900129", "공시열람")</f>
        <v/>
      </c>
    </row>
    <row r="1940">
      <c r="A1940" t="inlineStr">
        <is>
          <t>2025-11-04</t>
        </is>
      </c>
      <c r="B1940" t="inlineStr">
        <is>
          <t>금호타이어</t>
        </is>
      </c>
      <c r="C1940" t="inlineStr">
        <is>
          <t>073240</t>
        </is>
      </c>
      <c r="D1940" t="inlineStr">
        <is>
          <t>연결</t>
        </is>
      </c>
      <c r="E1940" t="inlineStr">
        <is>
          <t>2025Q3</t>
        </is>
      </c>
      <c r="F1940" s="2" t="n">
        <v>1113746</v>
      </c>
      <c r="G1940" t="n">
        <v>-8.800000000000001</v>
      </c>
      <c r="H1940" t="n">
        <v>-0.1</v>
      </c>
      <c r="I1940" s="2" t="n">
        <v>108507</v>
      </c>
      <c r="J1940" t="n">
        <v>-38.1</v>
      </c>
      <c r="K1940" t="n">
        <v>-22.6</v>
      </c>
      <c r="L1940" s="2" t="n">
        <v>91548</v>
      </c>
      <c r="M1940" t="n">
        <v>-0.7</v>
      </c>
      <c r="N1940" t="inlineStr">
        <is>
          <t>20251104800336</t>
        </is>
      </c>
      <c r="O1940">
        <f>HYPERLINK("https://dart.fss.or.kr/dsaf001/main.do?rcpNo=20251104800336", "공시열람")</f>
        <v/>
      </c>
    </row>
    <row r="1941">
      <c r="A1941" t="inlineStr">
        <is>
          <t>2025-11-04</t>
        </is>
      </c>
      <c r="B1941" t="inlineStr">
        <is>
          <t>현대리바트</t>
        </is>
      </c>
      <c r="C1941" t="inlineStr">
        <is>
          <t>079430</t>
        </is>
      </c>
      <c r="D1941" t="inlineStr">
        <is>
          <t>연결</t>
        </is>
      </c>
      <c r="E1941" t="inlineStr">
        <is>
          <t>2025Q3</t>
        </is>
      </c>
      <c r="F1941" s="2" t="n">
        <v>340655</v>
      </c>
      <c r="G1941" t="n">
        <v>-16.9</v>
      </c>
      <c r="H1941" t="n">
        <v>-25</v>
      </c>
      <c r="I1941" s="2" t="n">
        <v>3737</v>
      </c>
      <c r="J1941" t="n">
        <v>-26.4</v>
      </c>
      <c r="K1941" t="n">
        <v>-61.7</v>
      </c>
      <c r="L1941" s="2" t="n">
        <v>3002</v>
      </c>
      <c r="M1941" t="n">
        <v>-28.9</v>
      </c>
      <c r="N1941" t="inlineStr">
        <is>
          <t>20251104800259</t>
        </is>
      </c>
      <c r="O1941">
        <f>HYPERLINK("https://dart.fss.or.kr/dsaf001/main.do?rcpNo=20251104800259", "공시열람")</f>
        <v/>
      </c>
    </row>
    <row r="1942">
      <c r="A1942" t="inlineStr">
        <is>
          <t>2025-11-04</t>
        </is>
      </c>
      <c r="B1942" t="inlineStr">
        <is>
          <t>현대이지웰</t>
        </is>
      </c>
      <c r="C1942" t="inlineStr">
        <is>
          <t>090850</t>
        </is>
      </c>
      <c r="D1942" t="inlineStr">
        <is>
          <t>연결</t>
        </is>
      </c>
      <c r="E1942" t="inlineStr">
        <is>
          <t>2025Q3</t>
        </is>
      </c>
      <c r="F1942" s="2" t="n">
        <v>33641</v>
      </c>
      <c r="G1942" t="n">
        <v>13.6</v>
      </c>
      <c r="H1942" t="n">
        <v>-1.8</v>
      </c>
      <c r="I1942" s="2" t="n">
        <v>4808</v>
      </c>
      <c r="J1942" t="n">
        <v>-27.3</v>
      </c>
      <c r="K1942" t="n">
        <v>26.9</v>
      </c>
      <c r="L1942" s="2" t="n">
        <v>3984</v>
      </c>
      <c r="M1942" t="n">
        <v>10</v>
      </c>
      <c r="N1942" t="inlineStr">
        <is>
          <t>20251104900284</t>
        </is>
      </c>
      <c r="O1942">
        <f>HYPERLINK("https://dart.fss.or.kr/dsaf001/main.do?rcpNo=20251104900284", "공시열람")</f>
        <v/>
      </c>
    </row>
    <row r="1943">
      <c r="A1943" t="inlineStr">
        <is>
          <t>2025-11-04</t>
        </is>
      </c>
      <c r="B1943" t="inlineStr">
        <is>
          <t>LX세미콘</t>
        </is>
      </c>
      <c r="C1943" t="inlineStr">
        <is>
          <t>108320</t>
        </is>
      </c>
      <c r="D1943" t="inlineStr">
        <is>
          <t>연결</t>
        </is>
      </c>
      <c r="E1943" t="inlineStr">
        <is>
          <t>2025Q3</t>
        </is>
      </c>
      <c r="F1943" s="2" t="n">
        <v>394391</v>
      </c>
      <c r="G1943" t="n">
        <v>4.2</v>
      </c>
      <c r="H1943" t="n">
        <v>-6.1</v>
      </c>
      <c r="I1943" s="2" t="n">
        <v>14031</v>
      </c>
      <c r="J1943" t="n">
        <v>37.2</v>
      </c>
      <c r="K1943" t="n">
        <v>-59.1</v>
      </c>
      <c r="L1943" s="2" t="n">
        <v>10090</v>
      </c>
      <c r="M1943" t="n">
        <v>-60.2</v>
      </c>
      <c r="N1943" t="inlineStr">
        <is>
          <t>20251104800256</t>
        </is>
      </c>
      <c r="O1943">
        <f>HYPERLINK("https://dart.fss.or.kr/dsaf001/main.do?rcpNo=20251104800256", "공시열람")</f>
        <v/>
      </c>
    </row>
    <row r="1944">
      <c r="A1944" t="inlineStr">
        <is>
          <t>2025-11-04</t>
        </is>
      </c>
      <c r="B1944" t="inlineStr">
        <is>
          <t>프로티아</t>
        </is>
      </c>
      <c r="C1944" t="inlineStr">
        <is>
          <t>303360</t>
        </is>
      </c>
      <c r="D1944" t="inlineStr">
        <is>
          <t>별도</t>
        </is>
      </c>
      <c r="E1944" t="inlineStr">
        <is>
          <t>2025Q3</t>
        </is>
      </c>
      <c r="F1944" s="2" t="n">
        <v>4034</v>
      </c>
      <c r="G1944" t="n">
        <v>4.9</v>
      </c>
      <c r="H1944" t="n">
        <v>36.9</v>
      </c>
      <c r="I1944" s="2" t="n">
        <v>1175</v>
      </c>
      <c r="J1944" t="n">
        <v>12.6</v>
      </c>
      <c r="K1944" t="n">
        <v>117.6</v>
      </c>
      <c r="L1944" s="2" t="n">
        <v>1289</v>
      </c>
      <c r="M1944" t="n">
        <v>267.6</v>
      </c>
      <c r="N1944" t="inlineStr">
        <is>
          <t>20251104900252</t>
        </is>
      </c>
      <c r="O1944">
        <f>HYPERLINK("https://dart.fss.or.kr/dsaf001/main.do?rcpNo=20251104900252", "공시열람")</f>
        <v/>
      </c>
    </row>
    <row r="1945">
      <c r="A1945" t="inlineStr">
        <is>
          <t>2025-11-04</t>
        </is>
      </c>
      <c r="B1945" t="inlineStr">
        <is>
          <t>세아베스틸지주</t>
        </is>
      </c>
      <c r="C1945" t="inlineStr">
        <is>
          <t>001430</t>
        </is>
      </c>
      <c r="D1945" t="inlineStr">
        <is>
          <t>연결</t>
        </is>
      </c>
      <c r="E1945" t="inlineStr">
        <is>
          <t>2025Q3</t>
        </is>
      </c>
      <c r="F1945" s="2" t="n">
        <v>925909</v>
      </c>
      <c r="G1945" t="n">
        <v>-4</v>
      </c>
      <c r="H1945" t="n">
        <v>4.8</v>
      </c>
      <c r="I1945" s="2" t="n">
        <v>26737</v>
      </c>
      <c r="J1945" t="n">
        <v>-39.9</v>
      </c>
      <c r="K1945" t="n">
        <v>9.5</v>
      </c>
      <c r="L1945" s="2" t="n">
        <v>33646</v>
      </c>
      <c r="M1945" t="n">
        <v>195.9</v>
      </c>
      <c r="N1945" t="inlineStr">
        <is>
          <t>20251104800122</t>
        </is>
      </c>
      <c r="O1945">
        <f>HYPERLINK("https://dart.fss.or.kr/dsaf001/main.do?rcpNo=20251104800122", "공시열람")</f>
        <v/>
      </c>
    </row>
    <row r="1946">
      <c r="A1946" t="inlineStr">
        <is>
          <t>2025-11-04</t>
        </is>
      </c>
      <c r="B1946" t="inlineStr">
        <is>
          <t>호텔신라</t>
        </is>
      </c>
      <c r="C1946" t="inlineStr">
        <is>
          <t>008770</t>
        </is>
      </c>
      <c r="D1946" t="inlineStr">
        <is>
          <t>연결</t>
        </is>
      </c>
      <c r="E1946" t="inlineStr">
        <is>
          <t>2025Q3</t>
        </is>
      </c>
      <c r="F1946" s="2" t="n">
        <v>1025691</v>
      </c>
      <c r="G1946" t="n">
        <v>0</v>
      </c>
      <c r="H1946" t="n">
        <v>0.9</v>
      </c>
      <c r="I1946" s="2" t="n">
        <v>11440</v>
      </c>
      <c r="J1946" t="n">
        <v>32.1</v>
      </c>
      <c r="K1946" t="inlineStr"/>
      <c r="L1946" s="2" t="n">
        <v>-149159</v>
      </c>
      <c r="M1946" t="n">
        <v>-539.2</v>
      </c>
      <c r="N1946" t="inlineStr">
        <is>
          <t>20251104800297</t>
        </is>
      </c>
      <c r="O1946">
        <f>HYPERLINK("https://dart.fss.or.kr/dsaf001/main.do?rcpNo=20251104800297", "공시열람")</f>
        <v/>
      </c>
    </row>
    <row r="1947">
      <c r="A1947" t="inlineStr">
        <is>
          <t>2025-11-04</t>
        </is>
      </c>
      <c r="B1947" t="inlineStr">
        <is>
          <t>모델솔루션</t>
        </is>
      </c>
      <c r="C1947" t="inlineStr">
        <is>
          <t>417970</t>
        </is>
      </c>
      <c r="D1947" t="inlineStr">
        <is>
          <t>연결</t>
        </is>
      </c>
      <c r="E1947" t="inlineStr">
        <is>
          <t>2025Q3</t>
        </is>
      </c>
      <c r="F1947" s="2" t="n">
        <v>20516</v>
      </c>
      <c r="G1947" t="n">
        <v>11.39</v>
      </c>
      <c r="H1947" t="n">
        <v>24.13</v>
      </c>
      <c r="I1947" s="2" t="n">
        <v>3313</v>
      </c>
      <c r="J1947" t="n">
        <v>102.82</v>
      </c>
      <c r="K1947" t="n">
        <v>99.16</v>
      </c>
      <c r="L1947" s="2" t="n">
        <v>3071</v>
      </c>
      <c r="M1947" t="n">
        <v>88.52</v>
      </c>
      <c r="N1947" t="inlineStr">
        <is>
          <t>20251104900136</t>
        </is>
      </c>
      <c r="O1947">
        <f>HYPERLINK("https://dart.fss.or.kr/dsaf001/main.do?rcpNo=20251104900136", "공시열람")</f>
        <v/>
      </c>
    </row>
    <row r="1948">
      <c r="A1948" t="inlineStr">
        <is>
          <t>2025-11-04</t>
        </is>
      </c>
      <c r="B1948" t="inlineStr">
        <is>
          <t>강원랜드</t>
        </is>
      </c>
      <c r="C1948" t="inlineStr">
        <is>
          <t>035250</t>
        </is>
      </c>
      <c r="D1948" t="inlineStr">
        <is>
          <t>별도</t>
        </is>
      </c>
      <c r="E1948" t="inlineStr">
        <is>
          <t>2025Q3</t>
        </is>
      </c>
      <c r="F1948" s="2" t="n">
        <v>383662</v>
      </c>
      <c r="G1948" t="n">
        <v>6.4</v>
      </c>
      <c r="H1948" t="n">
        <v>2.2</v>
      </c>
      <c r="I1948" s="2" t="n">
        <v>71880</v>
      </c>
      <c r="J1948" t="n">
        <v>24.2</v>
      </c>
      <c r="K1948" t="n">
        <v>-22.7</v>
      </c>
      <c r="L1948" s="2" t="n">
        <v>112285</v>
      </c>
      <c r="M1948" t="n">
        <v>24.1</v>
      </c>
      <c r="N1948" t="inlineStr">
        <is>
          <t>20251104800327</t>
        </is>
      </c>
      <c r="O1948">
        <f>HYPERLINK("https://dart.fss.or.kr/dsaf001/main.do?rcpNo=20251104800327", "공시열람")</f>
        <v/>
      </c>
    </row>
    <row r="1949">
      <c r="A1949" t="inlineStr">
        <is>
          <t>2025-11-04</t>
        </is>
      </c>
      <c r="B1949" t="inlineStr">
        <is>
          <t>현대그린푸드</t>
        </is>
      </c>
      <c r="C1949" t="inlineStr">
        <is>
          <t>453340</t>
        </is>
      </c>
      <c r="D1949" t="inlineStr">
        <is>
          <t>연결</t>
        </is>
      </c>
      <c r="E1949" t="inlineStr">
        <is>
          <t>2025Q3</t>
        </is>
      </c>
      <c r="F1949" s="2" t="n">
        <v>617100</v>
      </c>
      <c r="G1949" t="n">
        <v>11.78</v>
      </c>
      <c r="H1949" t="n">
        <v>2.57</v>
      </c>
      <c r="I1949" s="2" t="n">
        <v>44500</v>
      </c>
      <c r="J1949" t="n">
        <v>43.94</v>
      </c>
      <c r="K1949" t="n">
        <v>16.1</v>
      </c>
      <c r="L1949" s="2" t="n">
        <v>37500</v>
      </c>
      <c r="M1949" t="n">
        <v>22.85</v>
      </c>
      <c r="N1949" t="inlineStr">
        <is>
          <t>20251104800193</t>
        </is>
      </c>
      <c r="O1949">
        <f>HYPERLINK("https://dart.fss.or.kr/dsaf001/main.do?rcpNo=20251104800193", "공시열람")</f>
        <v/>
      </c>
    </row>
    <row r="1950">
      <c r="A1950" t="inlineStr">
        <is>
          <t>2025-11-04</t>
        </is>
      </c>
      <c r="B1950" t="inlineStr">
        <is>
          <t>자이에스앤디</t>
        </is>
      </c>
      <c r="C1950" t="inlineStr">
        <is>
          <t>317400</t>
        </is>
      </c>
      <c r="D1950" t="inlineStr">
        <is>
          <t>연결</t>
        </is>
      </c>
      <c r="E1950" t="inlineStr">
        <is>
          <t>2025Q3</t>
        </is>
      </c>
      <c r="F1950" s="2" t="n">
        <v>402990</v>
      </c>
      <c r="G1950" t="n">
        <v>19.6</v>
      </c>
      <c r="H1950" t="n">
        <v>7.22</v>
      </c>
      <c r="I1950" s="2" t="n">
        <v>28354</v>
      </c>
      <c r="J1950" t="n">
        <v>1142.81</v>
      </c>
      <c r="K1950" t="n">
        <v>1039.17</v>
      </c>
      <c r="L1950" s="2" t="n">
        <v>37440</v>
      </c>
      <c r="M1950" t="n">
        <v>913.8099999999999</v>
      </c>
      <c r="N1950" t="inlineStr">
        <is>
          <t>20251104800150</t>
        </is>
      </c>
      <c r="O1950">
        <f>HYPERLINK("https://dart.fss.or.kr/dsaf001/main.do?rcpNo=20251104800150", "공시열람")</f>
        <v/>
      </c>
    </row>
    <row r="1951">
      <c r="A1951" t="inlineStr">
        <is>
          <t>2025-11-04</t>
        </is>
      </c>
      <c r="B1951" t="inlineStr">
        <is>
          <t>GKL</t>
        </is>
      </c>
      <c r="C1951" t="inlineStr">
        <is>
          <t>114090</t>
        </is>
      </c>
      <c r="D1951" t="inlineStr">
        <is>
          <t>별도</t>
        </is>
      </c>
      <c r="E1951" t="inlineStr">
        <is>
          <t>2025Q3</t>
        </is>
      </c>
      <c r="F1951" s="2" t="inlineStr"/>
      <c r="G1951" t="inlineStr"/>
      <c r="H1951" t="inlineStr"/>
      <c r="I1951" s="2" t="inlineStr"/>
      <c r="J1951" t="inlineStr"/>
      <c r="K1951" t="inlineStr"/>
      <c r="L1951" s="2" t="inlineStr"/>
      <c r="M1951" t="inlineStr"/>
      <c r="N1951" t="inlineStr">
        <is>
          <t>20251104800179</t>
        </is>
      </c>
      <c r="O1951">
        <f>HYPERLINK("https://dart.fss.or.kr/dsaf001/main.do?rcpNo=20251104800179", "공시열람")</f>
        <v/>
      </c>
    </row>
    <row r="1952">
      <c r="A1952" t="inlineStr">
        <is>
          <t>2025-11-04</t>
        </is>
      </c>
      <c r="B1952" t="inlineStr">
        <is>
          <t>카카오페이</t>
        </is>
      </c>
      <c r="C1952" t="inlineStr">
        <is>
          <t>377300</t>
        </is>
      </c>
      <c r="D1952" t="inlineStr">
        <is>
          <t>별도</t>
        </is>
      </c>
      <c r="E1952" t="inlineStr">
        <is>
          <t>2025Q3</t>
        </is>
      </c>
      <c r="F1952" s="2" t="n">
        <v>171023</v>
      </c>
      <c r="G1952" t="n">
        <v>2.3</v>
      </c>
      <c r="H1952" t="n">
        <v>9.6</v>
      </c>
      <c r="I1952" s="2" t="n">
        <v>9579</v>
      </c>
      <c r="J1952" t="n">
        <v>-32.6</v>
      </c>
      <c r="K1952" t="n">
        <v>2</v>
      </c>
      <c r="L1952" s="2" t="n">
        <v>15604</v>
      </c>
      <c r="M1952" t="inlineStr"/>
      <c r="N1952" t="inlineStr">
        <is>
          <t>20251104800188</t>
        </is>
      </c>
      <c r="O1952">
        <f>HYPERLINK("https://dart.fss.or.kr/dsaf001/main.do?rcpNo=20251104800188", "공시열람")</f>
        <v/>
      </c>
    </row>
    <row r="1953">
      <c r="A1953" t="inlineStr">
        <is>
          <t>2025-11-04</t>
        </is>
      </c>
      <c r="B1953" t="inlineStr">
        <is>
          <t>LX하우시스</t>
        </is>
      </c>
      <c r="C1953" t="inlineStr">
        <is>
          <t>108670</t>
        </is>
      </c>
      <c r="D1953" t="inlineStr">
        <is>
          <t>연결</t>
        </is>
      </c>
      <c r="E1953" t="inlineStr">
        <is>
          <t>2025Q3</t>
        </is>
      </c>
      <c r="F1953" s="2" t="n">
        <v>812664</v>
      </c>
      <c r="G1953" t="n">
        <v>-0.8</v>
      </c>
      <c r="H1953" t="n">
        <v>-8.699999999999999</v>
      </c>
      <c r="I1953" s="2" t="n">
        <v>22108</v>
      </c>
      <c r="J1953" t="n">
        <v>72.7</v>
      </c>
      <c r="K1953" t="n">
        <v>-1.1</v>
      </c>
      <c r="L1953" s="2" t="n">
        <v>13308</v>
      </c>
      <c r="M1953" t="n">
        <v>36.3</v>
      </c>
      <c r="N1953" t="inlineStr">
        <is>
          <t>20251104800427</t>
        </is>
      </c>
      <c r="O1953">
        <f>HYPERLINK("https://dart.fss.or.kr/dsaf001/main.do?rcpNo=20251104800427", "공시열람")</f>
        <v/>
      </c>
    </row>
    <row r="1954">
      <c r="A1954" t="inlineStr">
        <is>
          <t>2025-11-04</t>
        </is>
      </c>
      <c r="B1954" t="inlineStr">
        <is>
          <t>SM C&amp;C</t>
        </is>
      </c>
      <c r="C1954" t="inlineStr">
        <is>
          <t>048550</t>
        </is>
      </c>
      <c r="D1954" t="inlineStr">
        <is>
          <t>연결</t>
        </is>
      </c>
      <c r="E1954" t="inlineStr">
        <is>
          <t>2025Q3</t>
        </is>
      </c>
      <c r="F1954" s="2" t="n">
        <v>25382</v>
      </c>
      <c r="G1954" t="n">
        <v>20.2</v>
      </c>
      <c r="H1954" t="n">
        <v>2.5</v>
      </c>
      <c r="I1954" s="2" t="n">
        <v>-195</v>
      </c>
      <c r="J1954" t="n">
        <v>84.5</v>
      </c>
      <c r="K1954" t="n">
        <v>84.3</v>
      </c>
      <c r="L1954" s="2" t="n">
        <v>322</v>
      </c>
      <c r="M1954" t="inlineStr"/>
      <c r="N1954" t="inlineStr">
        <is>
          <t>20251104900388</t>
        </is>
      </c>
      <c r="O1954">
        <f>HYPERLINK("https://dart.fss.or.kr/dsaf001/main.do?rcpNo=20251104900388", "공시열람")</f>
        <v/>
      </c>
    </row>
    <row r="1955">
      <c r="A1955" t="inlineStr">
        <is>
          <t>2025-11-04</t>
        </is>
      </c>
      <c r="B1955" t="inlineStr">
        <is>
          <t>디어유</t>
        </is>
      </c>
      <c r="C1955" t="inlineStr">
        <is>
          <t>376300</t>
        </is>
      </c>
      <c r="D1955" t="inlineStr">
        <is>
          <t>연결</t>
        </is>
      </c>
      <c r="E1955" t="inlineStr">
        <is>
          <t>2025Q3</t>
        </is>
      </c>
      <c r="F1955" s="2" t="n">
        <v>22304</v>
      </c>
      <c r="G1955" t="n">
        <v>11</v>
      </c>
      <c r="H1955" t="n">
        <v>26</v>
      </c>
      <c r="I1955" s="2" t="n">
        <v>8715</v>
      </c>
      <c r="J1955" t="n">
        <v>17</v>
      </c>
      <c r="K1955" t="n">
        <v>37</v>
      </c>
      <c r="L1955" s="2" t="n">
        <v>9720</v>
      </c>
      <c r="M1955" t="n">
        <v>215</v>
      </c>
      <c r="N1955" t="inlineStr">
        <is>
          <t>20251104900345</t>
        </is>
      </c>
      <c r="O1955">
        <f>HYPERLINK("https://dart.fss.or.kr/dsaf001/main.do?rcpNo=20251104900345", "공시열람")</f>
        <v/>
      </c>
    </row>
    <row r="1956">
      <c r="A1956" t="inlineStr">
        <is>
          <t>2025-11-04</t>
        </is>
      </c>
      <c r="B1956" t="inlineStr">
        <is>
          <t>휴젤</t>
        </is>
      </c>
      <c r="C1956" t="inlineStr">
        <is>
          <t>145020</t>
        </is>
      </c>
      <c r="D1956" t="inlineStr">
        <is>
          <t>연결</t>
        </is>
      </c>
      <c r="E1956" t="inlineStr">
        <is>
          <t>2025Q3</t>
        </is>
      </c>
      <c r="F1956" s="2" t="n">
        <v>105898</v>
      </c>
      <c r="G1956" t="n">
        <v>-4</v>
      </c>
      <c r="H1956" t="n">
        <v>0.8</v>
      </c>
      <c r="I1956" s="2" t="n">
        <v>47402</v>
      </c>
      <c r="J1956" t="n">
        <v>-16.4</v>
      </c>
      <c r="K1956" t="n">
        <v>-11.2</v>
      </c>
      <c r="L1956" s="2" t="n">
        <v>38044</v>
      </c>
      <c r="M1956" t="n">
        <v>-9.5</v>
      </c>
      <c r="N1956" t="inlineStr">
        <is>
          <t>20251104900186</t>
        </is>
      </c>
      <c r="O1956">
        <f>HYPERLINK("https://dart.fss.or.kr/dsaf001/main.do?rcpNo=20251104900186", "공시열람")</f>
        <v/>
      </c>
    </row>
    <row r="1957">
      <c r="A1957" t="inlineStr">
        <is>
          <t>2025-11-03</t>
        </is>
      </c>
      <c r="B1957" t="inlineStr">
        <is>
          <t>HD현대</t>
        </is>
      </c>
      <c r="C1957" t="inlineStr">
        <is>
          <t>267250</t>
        </is>
      </c>
      <c r="D1957" t="inlineStr">
        <is>
          <t>연결</t>
        </is>
      </c>
      <c r="E1957" t="inlineStr">
        <is>
          <t>2025Q3</t>
        </is>
      </c>
      <c r="F1957" s="2" t="n">
        <v>7328500</v>
      </c>
      <c r="G1957" t="n">
        <v>12</v>
      </c>
      <c r="H1957" t="n">
        <v>-3.4</v>
      </c>
      <c r="I1957" s="2" t="n">
        <v>191200</v>
      </c>
      <c r="J1957" t="inlineStr"/>
      <c r="K1957" t="inlineStr"/>
      <c r="L1957" s="2" t="n">
        <v>13800</v>
      </c>
      <c r="M1957" t="inlineStr"/>
      <c r="N1957" t="inlineStr">
        <is>
          <t>20251103800385</t>
        </is>
      </c>
      <c r="O1957">
        <f>HYPERLINK("https://dart.fss.or.kr/dsaf001/main.do?rcpNo=20251103800385", "공시열람")</f>
        <v/>
      </c>
    </row>
    <row r="1958">
      <c r="A1958" t="inlineStr">
        <is>
          <t>2025-11-03</t>
        </is>
      </c>
      <c r="B1958" t="inlineStr">
        <is>
          <t>녹십자엠에스</t>
        </is>
      </c>
      <c r="C1958" t="inlineStr">
        <is>
          <t>142280</t>
        </is>
      </c>
      <c r="D1958" t="inlineStr">
        <is>
          <t>연결</t>
        </is>
      </c>
      <c r="E1958" t="inlineStr">
        <is>
          <t>2025Q3</t>
        </is>
      </c>
      <c r="F1958" s="2" t="n">
        <v>26446</v>
      </c>
      <c r="G1958" t="n">
        <v>-13.1</v>
      </c>
      <c r="H1958" t="n">
        <v>-1.8</v>
      </c>
      <c r="I1958" s="2" t="n">
        <v>944</v>
      </c>
      <c r="J1958" t="n">
        <v>-10.8</v>
      </c>
      <c r="K1958" t="n">
        <v>1.4</v>
      </c>
      <c r="L1958" s="2" t="n">
        <v>1443</v>
      </c>
      <c r="M1958" t="n">
        <v>706.1</v>
      </c>
      <c r="N1958" t="inlineStr">
        <is>
          <t>20251103900416</t>
        </is>
      </c>
      <c r="O1958">
        <f>HYPERLINK("https://dart.fss.or.kr/dsaf001/main.do?rcpNo=20251103900416", "공시열람")</f>
        <v/>
      </c>
    </row>
    <row r="1959">
      <c r="A1959" t="inlineStr">
        <is>
          <t>2025-11-03</t>
        </is>
      </c>
      <c r="B1959" t="inlineStr">
        <is>
          <t>롯데관광개발</t>
        </is>
      </c>
      <c r="C1959" t="inlineStr">
        <is>
          <t>032350</t>
        </is>
      </c>
      <c r="D1959" t="inlineStr">
        <is>
          <t>연결</t>
        </is>
      </c>
      <c r="E1959" t="inlineStr">
        <is>
          <t>2025Q3</t>
        </is>
      </c>
      <c r="F1959" s="2" t="inlineStr"/>
      <c r="G1959" t="inlineStr"/>
      <c r="H1959" t="inlineStr"/>
      <c r="I1959" s="2" t="inlineStr"/>
      <c r="J1959" t="inlineStr"/>
      <c r="K1959" t="inlineStr"/>
      <c r="L1959" s="2" t="inlineStr"/>
      <c r="M1959" t="inlineStr"/>
      <c r="N1959" t="inlineStr">
        <is>
          <t>20251103800398</t>
        </is>
      </c>
      <c r="O1959">
        <f>HYPERLINK("https://dart.fss.or.kr/dsaf001/main.do?rcpNo=20251103800398", "공시열람")</f>
        <v/>
      </c>
    </row>
    <row r="1960">
      <c r="A1960" t="inlineStr">
        <is>
          <t>2025-11-03</t>
        </is>
      </c>
      <c r="B1960" t="inlineStr">
        <is>
          <t>이녹스첨단소재</t>
        </is>
      </c>
      <c r="C1960" t="inlineStr">
        <is>
          <t>272290</t>
        </is>
      </c>
      <c r="D1960" t="inlineStr">
        <is>
          <t>연결</t>
        </is>
      </c>
      <c r="E1960" t="inlineStr">
        <is>
          <t>2025Q3</t>
        </is>
      </c>
      <c r="F1960" s="2" t="n">
        <v>112715</v>
      </c>
      <c r="G1960" t="n">
        <v>1.16</v>
      </c>
      <c r="H1960" t="n">
        <v>11.91</v>
      </c>
      <c r="I1960" s="2" t="n">
        <v>20627</v>
      </c>
      <c r="J1960" t="n">
        <v>-7.27</v>
      </c>
      <c r="K1960" t="n">
        <v>11.9</v>
      </c>
      <c r="L1960" s="2" t="n">
        <v>17635</v>
      </c>
      <c r="M1960" t="n">
        <v>115.35</v>
      </c>
      <c r="N1960" t="inlineStr">
        <is>
          <t>20251103900408</t>
        </is>
      </c>
      <c r="O1960">
        <f>HYPERLINK("https://dart.fss.or.kr/dsaf001/main.do?rcpNo=20251103900408", "공시열람")</f>
        <v/>
      </c>
    </row>
    <row r="1961">
      <c r="A1961" t="inlineStr">
        <is>
          <t>2025-11-03</t>
        </is>
      </c>
      <c r="B1961" t="inlineStr">
        <is>
          <t>지씨셀</t>
        </is>
      </c>
      <c r="C1961" t="inlineStr">
        <is>
          <t>144510</t>
        </is>
      </c>
      <c r="D1961" t="inlineStr">
        <is>
          <t>연결</t>
        </is>
      </c>
      <c r="E1961" t="inlineStr">
        <is>
          <t>2025Q3</t>
        </is>
      </c>
      <c r="F1961" s="2" t="n">
        <v>45017</v>
      </c>
      <c r="G1961" t="n">
        <v>4.8</v>
      </c>
      <c r="H1961" t="n">
        <v>-0.7</v>
      </c>
      <c r="I1961" s="2" t="n">
        <v>-397</v>
      </c>
      <c r="J1961" t="n">
        <v>88.2</v>
      </c>
      <c r="K1961" t="n">
        <v>85.40000000000001</v>
      </c>
      <c r="L1961" s="2" t="n">
        <v>-2421</v>
      </c>
      <c r="M1961" t="n">
        <v>-124.3</v>
      </c>
      <c r="N1961" t="inlineStr">
        <is>
          <t>20251103900391</t>
        </is>
      </c>
      <c r="O1961">
        <f>HYPERLINK("https://dart.fss.or.kr/dsaf001/main.do?rcpNo=20251103900391", "공시열람")</f>
        <v/>
      </c>
    </row>
    <row r="1962">
      <c r="A1962" t="inlineStr">
        <is>
          <t>2025-11-03</t>
        </is>
      </c>
      <c r="B1962" t="inlineStr">
        <is>
          <t>기아</t>
        </is>
      </c>
      <c r="C1962" t="inlineStr">
        <is>
          <t>000270</t>
        </is>
      </c>
      <c r="D1962" t="inlineStr">
        <is>
          <t>별도</t>
        </is>
      </c>
      <c r="E1962" t="inlineStr">
        <is>
          <t>2025Q3</t>
        </is>
      </c>
      <c r="F1962" s="2" t="inlineStr"/>
      <c r="G1962" t="inlineStr"/>
      <c r="H1962" t="inlineStr"/>
      <c r="I1962" s="2" t="inlineStr"/>
      <c r="J1962" t="inlineStr"/>
      <c r="K1962" t="inlineStr"/>
      <c r="L1962" s="2" t="inlineStr"/>
      <c r="M1962" t="inlineStr"/>
      <c r="N1962" t="inlineStr">
        <is>
          <t>20251103800395</t>
        </is>
      </c>
      <c r="O1962">
        <f>HYPERLINK("https://dart.fss.or.kr/dsaf001/main.do?rcpNo=20251103800395", "공시열람")</f>
        <v/>
      </c>
    </row>
    <row r="1963">
      <c r="A1963" t="inlineStr">
        <is>
          <t>2025-11-03</t>
        </is>
      </c>
      <c r="B1963" t="inlineStr">
        <is>
          <t>녹십자</t>
        </is>
      </c>
      <c r="C1963" t="inlineStr">
        <is>
          <t>006280</t>
        </is>
      </c>
      <c r="D1963" t="inlineStr">
        <is>
          <t>연결</t>
        </is>
      </c>
      <c r="E1963" t="inlineStr">
        <is>
          <t>2025Q3</t>
        </is>
      </c>
      <c r="F1963" s="2" t="n">
        <v>609500</v>
      </c>
      <c r="G1963" t="n">
        <v>21.8</v>
      </c>
      <c r="H1963" t="n">
        <v>31.1</v>
      </c>
      <c r="I1963" s="2" t="n">
        <v>29200</v>
      </c>
      <c r="J1963" t="n">
        <v>6.6</v>
      </c>
      <c r="K1963" t="n">
        <v>-26.3</v>
      </c>
      <c r="L1963" s="2" t="n">
        <v>18100</v>
      </c>
      <c r="M1963" t="n">
        <v>-49.4</v>
      </c>
      <c r="N1963" t="inlineStr">
        <is>
          <t>20251103800420</t>
        </is>
      </c>
      <c r="O1963">
        <f>HYPERLINK("https://dart.fss.or.kr/dsaf001/main.do?rcpNo=20251103800420", "공시열람")</f>
        <v/>
      </c>
    </row>
    <row r="1964">
      <c r="A1964" t="inlineStr">
        <is>
          <t>2025-11-03</t>
        </is>
      </c>
      <c r="B1964" t="inlineStr">
        <is>
          <t>GC메디아이</t>
        </is>
      </c>
      <c r="C1964" t="inlineStr">
        <is>
          <t>032620</t>
        </is>
      </c>
      <c r="D1964" t="inlineStr">
        <is>
          <t>연결</t>
        </is>
      </c>
      <c r="E1964" t="inlineStr">
        <is>
          <t>2025Q3</t>
        </is>
      </c>
      <c r="F1964" s="2" t="n">
        <v>50646</v>
      </c>
      <c r="G1964" t="n">
        <v>4.1</v>
      </c>
      <c r="H1964" t="n">
        <v>8.1</v>
      </c>
      <c r="I1964" s="2" t="n">
        <v>2996</v>
      </c>
      <c r="J1964" t="n">
        <v>169.5</v>
      </c>
      <c r="K1964" t="n">
        <v>392.2</v>
      </c>
      <c r="L1964" s="2" t="n">
        <v>2401</v>
      </c>
      <c r="M1964" t="inlineStr"/>
      <c r="N1964" t="inlineStr">
        <is>
          <t>20251103900431</t>
        </is>
      </c>
      <c r="O1964">
        <f>HYPERLINK("https://dart.fss.or.kr/dsaf001/main.do?rcpNo=20251103900431", "공시열람")</f>
        <v/>
      </c>
    </row>
    <row r="1965">
      <c r="A1965" t="inlineStr">
        <is>
          <t>2025-11-03</t>
        </is>
      </c>
      <c r="B1965" t="inlineStr">
        <is>
          <t>코렌텍</t>
        </is>
      </c>
      <c r="C1965" t="inlineStr">
        <is>
          <t>104540</t>
        </is>
      </c>
      <c r="D1965" t="inlineStr">
        <is>
          <t>연결</t>
        </is>
      </c>
      <c r="E1965" t="inlineStr">
        <is>
          <t>2025Q3</t>
        </is>
      </c>
      <c r="F1965" s="2" t="n">
        <v>25772</v>
      </c>
      <c r="G1965" t="n">
        <v>10.05</v>
      </c>
      <c r="H1965" t="n">
        <v>30.17</v>
      </c>
      <c r="I1965" s="2" t="n">
        <v>3593</v>
      </c>
      <c r="J1965" t="n">
        <v>157.98</v>
      </c>
      <c r="K1965" t="n">
        <v>221.43</v>
      </c>
      <c r="L1965" s="2" t="n">
        <v>2327</v>
      </c>
      <c r="M1965" t="n">
        <v>448.66</v>
      </c>
      <c r="N1965" t="inlineStr">
        <is>
          <t>20251103900624</t>
        </is>
      </c>
      <c r="O1965">
        <f>HYPERLINK("https://dart.fss.or.kr/dsaf001/main.do?rcpNo=20251103900624", "공시열람")</f>
        <v/>
      </c>
    </row>
    <row r="1966">
      <c r="A1966" t="inlineStr">
        <is>
          <t>2025-11-03</t>
        </is>
      </c>
      <c r="B1966" t="inlineStr">
        <is>
          <t>레뷰코퍼레이션</t>
        </is>
      </c>
      <c r="C1966" t="inlineStr">
        <is>
          <t>443250</t>
        </is>
      </c>
      <c r="D1966" t="inlineStr">
        <is>
          <t>연결</t>
        </is>
      </c>
      <c r="E1966" t="inlineStr">
        <is>
          <t>2025Q3</t>
        </is>
      </c>
      <c r="F1966" s="2" t="n">
        <v>14480</v>
      </c>
      <c r="G1966" t="n">
        <v>5.1</v>
      </c>
      <c r="H1966" t="n">
        <v>18.2</v>
      </c>
      <c r="I1966" s="2" t="n">
        <v>2693</v>
      </c>
      <c r="J1966" t="n">
        <v>14.2</v>
      </c>
      <c r="K1966" t="n">
        <v>20.5</v>
      </c>
      <c r="L1966" s="2" t="n">
        <v>2632</v>
      </c>
      <c r="M1966" t="n">
        <v>8.800000000000001</v>
      </c>
      <c r="N1966" t="inlineStr">
        <is>
          <t>20251103900489</t>
        </is>
      </c>
      <c r="O1966">
        <f>HYPERLINK("https://dart.fss.or.kr/dsaf001/main.do?rcpNo=20251103900489", "공시열람")</f>
        <v/>
      </c>
    </row>
    <row r="1967">
      <c r="A1967" t="inlineStr">
        <is>
          <t>2025-11-03</t>
        </is>
      </c>
      <c r="B1967" t="inlineStr">
        <is>
          <t>신세계I&amp;C</t>
        </is>
      </c>
      <c r="C1967" t="inlineStr">
        <is>
          <t>035510</t>
        </is>
      </c>
      <c r="D1967" t="inlineStr">
        <is>
          <t>연결</t>
        </is>
      </c>
      <c r="E1967" t="inlineStr">
        <is>
          <t>2025Q3</t>
        </is>
      </c>
      <c r="F1967" s="2" t="n">
        <v>163558</v>
      </c>
      <c r="G1967" t="n">
        <v>-9.85</v>
      </c>
      <c r="H1967" t="n">
        <v>13.51</v>
      </c>
      <c r="I1967" s="2" t="n">
        <v>12551</v>
      </c>
      <c r="J1967" t="n">
        <v>-6.71</v>
      </c>
      <c r="K1967" t="n">
        <v>119.96</v>
      </c>
      <c r="L1967" s="2" t="n">
        <v>12604</v>
      </c>
      <c r="M1967" t="n">
        <v>147.33</v>
      </c>
      <c r="N1967" t="inlineStr">
        <is>
          <t>20251103800511</t>
        </is>
      </c>
      <c r="O1967">
        <f>HYPERLINK("https://dart.fss.or.kr/dsaf001/main.do?rcpNo=20251103800511", "공시열람")</f>
        <v/>
      </c>
    </row>
    <row r="1968">
      <c r="A1968" t="inlineStr">
        <is>
          <t>2025-11-03</t>
        </is>
      </c>
      <c r="B1968" t="inlineStr">
        <is>
          <t>아바코</t>
        </is>
      </c>
      <c r="C1968" t="inlineStr">
        <is>
          <t>083930</t>
        </is>
      </c>
      <c r="D1968" t="inlineStr">
        <is>
          <t>별도</t>
        </is>
      </c>
      <c r="E1968" t="inlineStr">
        <is>
          <t>2025Q3</t>
        </is>
      </c>
      <c r="F1968" s="2" t="n">
        <v>50327</v>
      </c>
      <c r="G1968" t="n">
        <v>-68.40000000000001</v>
      </c>
      <c r="H1968" t="n">
        <v>-48.3</v>
      </c>
      <c r="I1968" s="2" t="n">
        <v>6058</v>
      </c>
      <c r="J1968" t="n">
        <v>-69.90000000000001</v>
      </c>
      <c r="K1968" t="n">
        <v>-26.8</v>
      </c>
      <c r="L1968" s="2" t="n">
        <v>8361</v>
      </c>
      <c r="M1968" t="n">
        <v>198</v>
      </c>
      <c r="N1968" t="inlineStr">
        <is>
          <t>20251103900569</t>
        </is>
      </c>
      <c r="O1968">
        <f>HYPERLINK("https://dart.fss.or.kr/dsaf001/main.do?rcpNo=20251103900569", "공시열람")</f>
        <v/>
      </c>
    </row>
    <row r="1969">
      <c r="A1969" t="inlineStr">
        <is>
          <t>2025-11-03</t>
        </is>
      </c>
      <c r="B1969" t="inlineStr">
        <is>
          <t>녹십자웰빙</t>
        </is>
      </c>
      <c r="C1969" t="inlineStr">
        <is>
          <t>234690</t>
        </is>
      </c>
      <c r="D1969" t="inlineStr">
        <is>
          <t>연결</t>
        </is>
      </c>
      <c r="E1969" t="inlineStr">
        <is>
          <t>2025Q3</t>
        </is>
      </c>
      <c r="F1969" s="2" t="n">
        <v>42273</v>
      </c>
      <c r="G1969" t="n">
        <v>8.6</v>
      </c>
      <c r="H1969" t="n">
        <v>28</v>
      </c>
      <c r="I1969" s="2" t="n">
        <v>5213</v>
      </c>
      <c r="J1969" t="n">
        <v>23.5</v>
      </c>
      <c r="K1969" t="n">
        <v>32.8</v>
      </c>
      <c r="L1969" s="2" t="n">
        <v>3443</v>
      </c>
      <c r="M1969" t="n">
        <v>47.8</v>
      </c>
      <c r="N1969" t="inlineStr">
        <is>
          <t>20251103900603</t>
        </is>
      </c>
      <c r="O1969">
        <f>HYPERLINK("https://dart.fss.or.kr/dsaf001/main.do?rcpNo=20251103900603", "공시열람")</f>
        <v/>
      </c>
    </row>
    <row r="1970">
      <c r="A1970" t="inlineStr">
        <is>
          <t>2025-11-03</t>
        </is>
      </c>
      <c r="B1970" t="inlineStr">
        <is>
          <t>KG모빌리티</t>
        </is>
      </c>
      <c r="C1970" t="inlineStr">
        <is>
          <t>003620</t>
        </is>
      </c>
      <c r="D1970" t="inlineStr">
        <is>
          <t>별도</t>
        </is>
      </c>
      <c r="E1970" t="inlineStr">
        <is>
          <t>2025Q3</t>
        </is>
      </c>
      <c r="F1970" s="2" t="inlineStr"/>
      <c r="G1970" t="inlineStr"/>
      <c r="H1970" t="inlineStr"/>
      <c r="I1970" s="2" t="inlineStr"/>
      <c r="J1970" t="inlineStr"/>
      <c r="K1970" t="inlineStr"/>
      <c r="L1970" s="2" t="inlineStr"/>
      <c r="M1970" t="inlineStr"/>
      <c r="N1970" t="inlineStr">
        <is>
          <t>20251103800384</t>
        </is>
      </c>
      <c r="O1970">
        <f>HYPERLINK("https://dart.fss.or.kr/dsaf001/main.do?rcpNo=20251103800384", "공시열람")</f>
        <v/>
      </c>
    </row>
    <row r="1971">
      <c r="A1971" t="inlineStr">
        <is>
          <t>2025-11-03</t>
        </is>
      </c>
      <c r="B1971" t="inlineStr">
        <is>
          <t>윈스테크넷</t>
        </is>
      </c>
      <c r="C1971" t="inlineStr">
        <is>
          <t>136540</t>
        </is>
      </c>
      <c r="D1971" t="inlineStr">
        <is>
          <t>연결</t>
        </is>
      </c>
      <c r="E1971" t="inlineStr">
        <is>
          <t>2025Q3</t>
        </is>
      </c>
      <c r="F1971" s="2" t="n">
        <v>18568</v>
      </c>
      <c r="G1971" t="n">
        <v>-15.4</v>
      </c>
      <c r="H1971" t="n">
        <v>-6.8</v>
      </c>
      <c r="I1971" s="2" t="n">
        <v>3429</v>
      </c>
      <c r="J1971" t="n">
        <v>-26.7</v>
      </c>
      <c r="K1971" t="n">
        <v>-11.8</v>
      </c>
      <c r="L1971" s="2" t="n">
        <v>3792</v>
      </c>
      <c r="M1971" t="n">
        <v>-21.6</v>
      </c>
      <c r="N1971" t="inlineStr">
        <is>
          <t>20251103900637</t>
        </is>
      </c>
      <c r="O1971">
        <f>HYPERLINK("https://dart.fss.or.kr/dsaf001/main.do?rcpNo=20251103900637", "공시열람")</f>
        <v/>
      </c>
    </row>
    <row r="1972">
      <c r="A1972" t="inlineStr">
        <is>
          <t>2025-11-03</t>
        </is>
      </c>
      <c r="B1972" t="inlineStr">
        <is>
          <t>윈스테크넷</t>
        </is>
      </c>
      <c r="C1972" t="inlineStr">
        <is>
          <t>136540</t>
        </is>
      </c>
      <c r="D1972" t="inlineStr">
        <is>
          <t>별도</t>
        </is>
      </c>
      <c r="E1972" t="inlineStr">
        <is>
          <t>2025Q3</t>
        </is>
      </c>
      <c r="F1972" s="2" t="n">
        <v>18013</v>
      </c>
      <c r="G1972" t="n">
        <v>-9</v>
      </c>
      <c r="H1972" t="n">
        <v>-9.699999999999999</v>
      </c>
      <c r="I1972" s="2" t="n">
        <v>3018</v>
      </c>
      <c r="J1972" t="n">
        <v>-28.5</v>
      </c>
      <c r="K1972" t="n">
        <v>-27.1</v>
      </c>
      <c r="L1972" s="2" t="n">
        <v>3442</v>
      </c>
      <c r="M1972" t="n">
        <v>-26.7</v>
      </c>
      <c r="N1972" t="inlineStr">
        <is>
          <t>20251103900641</t>
        </is>
      </c>
      <c r="O1972">
        <f>HYPERLINK("https://dart.fss.or.kr/dsaf001/main.do?rcpNo=20251103900641", "공시열람")</f>
        <v/>
      </c>
    </row>
    <row r="1973">
      <c r="A1973" t="inlineStr">
        <is>
          <t>2025-11-03</t>
        </is>
      </c>
      <c r="B1973" t="inlineStr">
        <is>
          <t>HS애드</t>
        </is>
      </c>
      <c r="C1973" t="inlineStr">
        <is>
          <t>035000</t>
        </is>
      </c>
      <c r="D1973" t="inlineStr">
        <is>
          <t>연결</t>
        </is>
      </c>
      <c r="E1973" t="inlineStr">
        <is>
          <t>2025Q3</t>
        </is>
      </c>
      <c r="F1973" s="2" t="n">
        <v>92195</v>
      </c>
      <c r="G1973" t="n">
        <v>-6.87</v>
      </c>
      <c r="H1973" t="n">
        <v>-20.84</v>
      </c>
      <c r="I1973" s="2" t="n">
        <v>5209</v>
      </c>
      <c r="J1973" t="n">
        <v>1029.18</v>
      </c>
      <c r="K1973" t="n">
        <v>-31.3</v>
      </c>
      <c r="L1973" s="2" t="n">
        <v>3455</v>
      </c>
      <c r="M1973" t="n">
        <v>-37.78</v>
      </c>
      <c r="N1973" t="inlineStr">
        <is>
          <t>20251103800623</t>
        </is>
      </c>
      <c r="O1973">
        <f>HYPERLINK("https://dart.fss.or.kr/dsaf001/main.do?rcpNo=20251103800623", "공시열람")</f>
        <v/>
      </c>
    </row>
    <row r="1974">
      <c r="A1974" t="inlineStr">
        <is>
          <t>2025-11-03</t>
        </is>
      </c>
      <c r="B1974" t="inlineStr">
        <is>
          <t>아이쓰리시스템</t>
        </is>
      </c>
      <c r="C1974" t="inlineStr">
        <is>
          <t>214430</t>
        </is>
      </c>
      <c r="D1974" t="inlineStr">
        <is>
          <t>별도</t>
        </is>
      </c>
      <c r="E1974" t="inlineStr">
        <is>
          <t>2025Q3</t>
        </is>
      </c>
      <c r="F1974" s="2" t="n">
        <v>32388</v>
      </c>
      <c r="G1974" t="n">
        <v>28</v>
      </c>
      <c r="H1974" t="n">
        <v>11.2</v>
      </c>
      <c r="I1974" s="2" t="n">
        <v>4217</v>
      </c>
      <c r="J1974" t="n">
        <v>59.4</v>
      </c>
      <c r="K1974" t="n">
        <v>47.2</v>
      </c>
      <c r="L1974" s="2" t="n">
        <v>3338</v>
      </c>
      <c r="M1974" t="n">
        <v>23.4</v>
      </c>
      <c r="N1974" t="inlineStr">
        <is>
          <t>20251103900638</t>
        </is>
      </c>
      <c r="O1974">
        <f>HYPERLINK("https://dart.fss.or.kr/dsaf001/main.do?rcpNo=20251103900638", "공시열람")</f>
        <v/>
      </c>
    </row>
    <row r="1975">
      <c r="A1975" t="inlineStr">
        <is>
          <t>2025-11-03</t>
        </is>
      </c>
      <c r="B1975" t="inlineStr">
        <is>
          <t>SK가스</t>
        </is>
      </c>
      <c r="C1975" t="inlineStr">
        <is>
          <t>018670</t>
        </is>
      </c>
      <c r="D1975" t="inlineStr">
        <is>
          <t>연결</t>
        </is>
      </c>
      <c r="E1975" t="inlineStr">
        <is>
          <t>2025Q3</t>
        </is>
      </c>
      <c r="F1975" s="2" t="n">
        <v>1950226</v>
      </c>
      <c r="G1975" t="n">
        <v>3.7</v>
      </c>
      <c r="H1975" t="n">
        <v>12.5</v>
      </c>
      <c r="I1975" s="2" t="n">
        <v>173453</v>
      </c>
      <c r="J1975" t="n">
        <v>43.7</v>
      </c>
      <c r="K1975" t="n">
        <v>303.3</v>
      </c>
      <c r="L1975" s="2" t="n">
        <v>112663</v>
      </c>
      <c r="M1975" t="n">
        <v>53.7</v>
      </c>
      <c r="N1975" t="inlineStr">
        <is>
          <t>20251103800111</t>
        </is>
      </c>
      <c r="O1975">
        <f>HYPERLINK("https://dart.fss.or.kr/dsaf001/main.do?rcpNo=20251103800111", "공시열람")</f>
        <v/>
      </c>
    </row>
    <row r="1976">
      <c r="A1976" t="inlineStr">
        <is>
          <t>2025-11-03</t>
        </is>
      </c>
      <c r="B1976" t="inlineStr">
        <is>
          <t>SK바이오사이언스</t>
        </is>
      </c>
      <c r="C1976" t="inlineStr">
        <is>
          <t>302440</t>
        </is>
      </c>
      <c r="D1976" t="inlineStr">
        <is>
          <t>연결</t>
        </is>
      </c>
      <c r="E1976" t="inlineStr">
        <is>
          <t>2025Q3</t>
        </is>
      </c>
      <c r="F1976" s="2" t="n">
        <v>150765</v>
      </c>
      <c r="G1976" t="n">
        <v>-6.9</v>
      </c>
      <c r="H1976" t="n">
        <v>144.6</v>
      </c>
      <c r="I1976" s="2" t="n">
        <v>-19371</v>
      </c>
      <c r="J1976" t="n">
        <v>48.2</v>
      </c>
      <c r="K1976" t="n">
        <v>51.1</v>
      </c>
      <c r="L1976" s="2" t="n">
        <v>21083</v>
      </c>
      <c r="M1976" t="n">
        <v>194.5</v>
      </c>
      <c r="N1976" t="inlineStr">
        <is>
          <t>20251103800373</t>
        </is>
      </c>
      <c r="O1976">
        <f>HYPERLINK("https://dart.fss.or.kr/dsaf001/main.do?rcpNo=20251103800373", "공시열람")</f>
        <v/>
      </c>
    </row>
    <row r="1977">
      <c r="A1977" t="inlineStr">
        <is>
          <t>2025-11-03</t>
        </is>
      </c>
      <c r="B1977" t="inlineStr">
        <is>
          <t>지누스</t>
        </is>
      </c>
      <c r="C1977" t="inlineStr">
        <is>
          <t>013890</t>
        </is>
      </c>
      <c r="D1977" t="inlineStr">
        <is>
          <t>연결</t>
        </is>
      </c>
      <c r="E1977" t="inlineStr">
        <is>
          <t>2025Q3</t>
        </is>
      </c>
      <c r="F1977" s="2" t="n">
        <v>241741</v>
      </c>
      <c r="G1977" t="n">
        <v>5.3</v>
      </c>
      <c r="H1977" t="n">
        <v>-11.4</v>
      </c>
      <c r="I1977" s="2" t="n">
        <v>-7764</v>
      </c>
      <c r="J1977" t="inlineStr"/>
      <c r="K1977" t="inlineStr"/>
      <c r="L1977" s="2" t="n">
        <v>-10099</v>
      </c>
      <c r="M1977" t="n">
        <v>-242.5</v>
      </c>
      <c r="N1977" t="inlineStr">
        <is>
          <t>20251103800362</t>
        </is>
      </c>
      <c r="O1977">
        <f>HYPERLINK("https://dart.fss.or.kr/dsaf001/main.do?rcpNo=20251103800362", "공시열람")</f>
        <v/>
      </c>
    </row>
    <row r="1978">
      <c r="A1978" t="inlineStr">
        <is>
          <t>2025-11-03</t>
        </is>
      </c>
      <c r="B1978" t="inlineStr">
        <is>
          <t>현대자동차</t>
        </is>
      </c>
      <c r="C1978" t="inlineStr">
        <is>
          <t>005380</t>
        </is>
      </c>
      <c r="D1978" t="inlineStr">
        <is>
          <t>별도</t>
        </is>
      </c>
      <c r="E1978" t="inlineStr">
        <is>
          <t>2025Q3</t>
        </is>
      </c>
      <c r="F1978" s="2" t="inlineStr"/>
      <c r="G1978" t="inlineStr"/>
      <c r="H1978" t="inlineStr"/>
      <c r="I1978" s="2" t="inlineStr"/>
      <c r="J1978" t="inlineStr"/>
      <c r="K1978" t="inlineStr"/>
      <c r="L1978" s="2" t="inlineStr"/>
      <c r="M1978" t="inlineStr"/>
      <c r="N1978" t="inlineStr">
        <is>
          <t>20251103800382</t>
        </is>
      </c>
      <c r="O1978">
        <f>HYPERLINK("https://dart.fss.or.kr/dsaf001/main.do?rcpNo=20251103800382", "공시열람")</f>
        <v/>
      </c>
    </row>
    <row r="1979">
      <c r="A1979" t="inlineStr">
        <is>
          <t>2025-11-03</t>
        </is>
      </c>
      <c r="B1979" t="inlineStr">
        <is>
          <t>HD현대</t>
        </is>
      </c>
      <c r="C1979" t="inlineStr">
        <is>
          <t>267250</t>
        </is>
      </c>
      <c r="D1979" t="inlineStr">
        <is>
          <t>연결</t>
        </is>
      </c>
      <c r="E1979" t="inlineStr">
        <is>
          <t>2025Q3</t>
        </is>
      </c>
      <c r="F1979" s="2" t="n">
        <v>18224300</v>
      </c>
      <c r="G1979" t="n">
        <v>5.9</v>
      </c>
      <c r="H1979" t="n">
        <v>9.800000000000001</v>
      </c>
      <c r="I1979" s="2" t="n">
        <v>1702400</v>
      </c>
      <c r="J1979" t="n">
        <v>49.5</v>
      </c>
      <c r="K1979" t="n">
        <v>294.5</v>
      </c>
      <c r="L1979" s="2" t="n">
        <v>986900</v>
      </c>
      <c r="M1979" t="n">
        <v>870.4</v>
      </c>
      <c r="N1979" t="inlineStr">
        <is>
          <t>20251103800380</t>
        </is>
      </c>
      <c r="O1979">
        <f>HYPERLINK("https://dart.fss.or.kr/dsaf001/main.do?rcpNo=20251103800380", "공시열람")</f>
        <v/>
      </c>
    </row>
    <row r="1980">
      <c r="A1980" t="inlineStr">
        <is>
          <t>2025-11-03</t>
        </is>
      </c>
      <c r="B1980" t="inlineStr">
        <is>
          <t>한화에어로스페이스</t>
        </is>
      </c>
      <c r="C1980" t="inlineStr">
        <is>
          <t>012450</t>
        </is>
      </c>
      <c r="D1980" t="inlineStr">
        <is>
          <t>연결</t>
        </is>
      </c>
      <c r="E1980" t="inlineStr">
        <is>
          <t>2025Q3</t>
        </is>
      </c>
      <c r="F1980" s="2" t="n">
        <v>6486500</v>
      </c>
      <c r="G1980" t="n">
        <v>2.8</v>
      </c>
      <c r="H1980" t="n">
        <v>146.5</v>
      </c>
      <c r="I1980" s="2" t="n">
        <v>856400</v>
      </c>
      <c r="J1980" t="n">
        <v>-0.9</v>
      </c>
      <c r="K1980" t="n">
        <v>79.5</v>
      </c>
      <c r="L1980" s="2" t="n">
        <v>712200</v>
      </c>
      <c r="M1980" t="n">
        <v>123.8</v>
      </c>
      <c r="N1980" t="inlineStr">
        <is>
          <t>20251103800122</t>
        </is>
      </c>
      <c r="O1980">
        <f>HYPERLINK("https://dart.fss.or.kr/dsaf001/main.do?rcpNo=20251103800122", "공시열람")</f>
        <v/>
      </c>
    </row>
    <row r="1981">
      <c r="A1981" t="inlineStr">
        <is>
          <t>2025-11-03</t>
        </is>
      </c>
      <c r="B1981" t="inlineStr">
        <is>
          <t>인산가</t>
        </is>
      </c>
      <c r="C1981" t="inlineStr">
        <is>
          <t>277410</t>
        </is>
      </c>
      <c r="D1981" t="inlineStr">
        <is>
          <t>연결</t>
        </is>
      </c>
      <c r="E1981" t="inlineStr">
        <is>
          <t>2025Q3</t>
        </is>
      </c>
      <c r="F1981" s="2" t="n">
        <v>10936</v>
      </c>
      <c r="G1981" t="n">
        <v>28.1</v>
      </c>
      <c r="H1981" t="n">
        <v>16.9</v>
      </c>
      <c r="I1981" s="2" t="n">
        <v>1657</v>
      </c>
      <c r="J1981" t="n">
        <v>197.4</v>
      </c>
      <c r="K1981" t="n">
        <v>105.6</v>
      </c>
      <c r="L1981" s="2" t="n">
        <v>1233</v>
      </c>
      <c r="M1981" t="n">
        <v>14127.5</v>
      </c>
      <c r="N1981" t="inlineStr">
        <is>
          <t>20251103900159</t>
        </is>
      </c>
      <c r="O1981">
        <f>HYPERLINK("https://dart.fss.or.kr/dsaf001/main.do?rcpNo=20251103900159", "공시열람")</f>
        <v/>
      </c>
    </row>
    <row r="1982">
      <c r="A1982" t="inlineStr">
        <is>
          <t>2025-11-03</t>
        </is>
      </c>
      <c r="B1982" t="inlineStr">
        <is>
          <t>서울평가정보</t>
        </is>
      </c>
      <c r="C1982" t="inlineStr">
        <is>
          <t>036120</t>
        </is>
      </c>
      <c r="D1982" t="inlineStr">
        <is>
          <t>연결</t>
        </is>
      </c>
      <c r="E1982" t="inlineStr">
        <is>
          <t>2025Q3</t>
        </is>
      </c>
      <c r="F1982" s="2" t="n">
        <v>8912</v>
      </c>
      <c r="G1982" t="n">
        <v>-42.33</v>
      </c>
      <c r="H1982" t="n">
        <v>10.56</v>
      </c>
      <c r="I1982" s="2" t="n">
        <v>772</v>
      </c>
      <c r="J1982" t="n">
        <v>-88.14</v>
      </c>
      <c r="K1982" t="n">
        <v>260.75</v>
      </c>
      <c r="L1982" s="2" t="n">
        <v>1027</v>
      </c>
      <c r="M1982" t="n">
        <v>1192.55</v>
      </c>
      <c r="N1982" t="inlineStr">
        <is>
          <t>20251103900166</t>
        </is>
      </c>
      <c r="O1982">
        <f>HYPERLINK("https://dart.fss.or.kr/dsaf001/main.do?rcpNo=20251103900166", "공시열람")</f>
        <v/>
      </c>
    </row>
    <row r="1983">
      <c r="A1983" t="inlineStr">
        <is>
          <t>2025-11-03</t>
        </is>
      </c>
      <c r="B1983" t="inlineStr">
        <is>
          <t>현대퓨처넷</t>
        </is>
      </c>
      <c r="C1983" t="inlineStr">
        <is>
          <t>126560</t>
        </is>
      </c>
      <c r="D1983" t="inlineStr">
        <is>
          <t>연결</t>
        </is>
      </c>
      <c r="E1983" t="inlineStr">
        <is>
          <t>2025Q3</t>
        </is>
      </c>
      <c r="F1983" s="2" t="n">
        <v>69303</v>
      </c>
      <c r="G1983" t="n">
        <v>10</v>
      </c>
      <c r="H1983" t="n">
        <v>3.7</v>
      </c>
      <c r="I1983" s="2" t="n">
        <v>3733</v>
      </c>
      <c r="J1983" t="n">
        <v>-14.6</v>
      </c>
      <c r="K1983" t="n">
        <v>-14.3</v>
      </c>
      <c r="L1983" s="2" t="n">
        <v>6046</v>
      </c>
      <c r="M1983" t="n">
        <v>19.2</v>
      </c>
      <c r="N1983" t="inlineStr">
        <is>
          <t>20251103800184</t>
        </is>
      </c>
      <c r="O1983">
        <f>HYPERLINK("https://dart.fss.or.kr/dsaf001/main.do?rcpNo=20251103800184", "공시열람")</f>
        <v/>
      </c>
    </row>
    <row r="1984">
      <c r="A1984" t="inlineStr">
        <is>
          <t>2025-11-03</t>
        </is>
      </c>
      <c r="B1984" t="inlineStr">
        <is>
          <t>대교</t>
        </is>
      </c>
      <c r="C1984" t="inlineStr">
        <is>
          <t>019680</t>
        </is>
      </c>
      <c r="D1984" t="inlineStr">
        <is>
          <t>연결</t>
        </is>
      </c>
      <c r="E1984" t="inlineStr">
        <is>
          <t>2025Q3</t>
        </is>
      </c>
      <c r="F1984" s="2" t="n">
        <v>160600</v>
      </c>
      <c r="G1984" t="n">
        <v>-1.2</v>
      </c>
      <c r="H1984" t="n">
        <v>-4.9</v>
      </c>
      <c r="I1984" s="2" t="n">
        <v>-30</v>
      </c>
      <c r="J1984" t="inlineStr"/>
      <c r="K1984" t="inlineStr"/>
      <c r="L1984" s="2" t="n">
        <v>-600</v>
      </c>
      <c r="M1984" t="inlineStr"/>
      <c r="N1984" t="inlineStr">
        <is>
          <t>20251103800191</t>
        </is>
      </c>
      <c r="O1984">
        <f>HYPERLINK("https://dart.fss.or.kr/dsaf001/main.do?rcpNo=20251103800191", "공시열람")</f>
        <v/>
      </c>
    </row>
    <row r="1985">
      <c r="A1985" t="inlineStr">
        <is>
          <t>2025-11-03</t>
        </is>
      </c>
      <c r="B1985" t="inlineStr">
        <is>
          <t>팬오션</t>
        </is>
      </c>
      <c r="C1985" t="inlineStr">
        <is>
          <t>028670</t>
        </is>
      </c>
      <c r="D1985" t="inlineStr">
        <is>
          <t>연결</t>
        </is>
      </c>
      <c r="E1985" t="inlineStr">
        <is>
          <t>2025Q3</t>
        </is>
      </c>
      <c r="F1985" s="2" t="n">
        <v>1269500</v>
      </c>
      <c r="G1985" t="n">
        <v>-1.9</v>
      </c>
      <c r="H1985" t="n">
        <v>-0.6</v>
      </c>
      <c r="I1985" s="2" t="n">
        <v>125200</v>
      </c>
      <c r="J1985" t="n">
        <v>1.8</v>
      </c>
      <c r="K1985" t="n">
        <v>-2.2</v>
      </c>
      <c r="L1985" s="2" t="n">
        <v>57900</v>
      </c>
      <c r="M1985" t="n">
        <v>-55.8</v>
      </c>
      <c r="N1985" t="inlineStr">
        <is>
          <t>20251103800189</t>
        </is>
      </c>
      <c r="O1985">
        <f>HYPERLINK("https://dart.fss.or.kr/dsaf001/main.do?rcpNo=20251103800189", "공시열람")</f>
        <v/>
      </c>
    </row>
    <row r="1986">
      <c r="A1986" t="inlineStr">
        <is>
          <t>2025-11-03</t>
        </is>
      </c>
      <c r="B1986" t="inlineStr">
        <is>
          <t>S-Oil</t>
        </is>
      </c>
      <c r="C1986" t="inlineStr">
        <is>
          <t>010950</t>
        </is>
      </c>
      <c r="D1986" t="inlineStr">
        <is>
          <t>연결</t>
        </is>
      </c>
      <c r="E1986" t="inlineStr">
        <is>
          <t>2025Q3</t>
        </is>
      </c>
      <c r="F1986" s="2" t="n">
        <v>8415367</v>
      </c>
      <c r="G1986" t="n">
        <v>4.6</v>
      </c>
      <c r="H1986" t="n">
        <v>-4.8</v>
      </c>
      <c r="I1986" s="2" t="n">
        <v>229216</v>
      </c>
      <c r="J1986" t="inlineStr"/>
      <c r="K1986" t="inlineStr"/>
      <c r="L1986" s="2" t="n">
        <v>63206</v>
      </c>
      <c r="M1986" t="inlineStr"/>
      <c r="N1986" t="inlineStr">
        <is>
          <t>20251103800223</t>
        </is>
      </c>
      <c r="O1986">
        <f>HYPERLINK("https://dart.fss.or.kr/dsaf001/main.do?rcpNo=20251103800223", "공시열람")</f>
        <v/>
      </c>
    </row>
    <row r="1987">
      <c r="A1987" t="inlineStr">
        <is>
          <t>2025-11-03</t>
        </is>
      </c>
      <c r="B1987" t="inlineStr">
        <is>
          <t>종근당</t>
        </is>
      </c>
      <c r="C1987" t="inlineStr">
        <is>
          <t>185750</t>
        </is>
      </c>
      <c r="D1987" t="inlineStr">
        <is>
          <t>별도</t>
        </is>
      </c>
      <c r="E1987" t="inlineStr">
        <is>
          <t>2025Q3</t>
        </is>
      </c>
      <c r="F1987" s="2" t="n">
        <v>427423</v>
      </c>
      <c r="G1987" t="n">
        <v>-0.5</v>
      </c>
      <c r="H1987" t="n">
        <v>4.6</v>
      </c>
      <c r="I1987" s="2" t="n">
        <v>20515</v>
      </c>
      <c r="J1987" t="n">
        <v>-7.5</v>
      </c>
      <c r="K1987" t="n">
        <v>-18.7</v>
      </c>
      <c r="L1987" s="2" t="n">
        <v>20073</v>
      </c>
      <c r="M1987" t="n">
        <v>-6.6</v>
      </c>
      <c r="N1987" t="inlineStr">
        <is>
          <t>20251103800227</t>
        </is>
      </c>
      <c r="O1987">
        <f>HYPERLINK("https://dart.fss.or.kr/dsaf001/main.do?rcpNo=20251103800227", "공시열람")</f>
        <v/>
      </c>
    </row>
    <row r="1988">
      <c r="A1988" t="inlineStr">
        <is>
          <t>2025-11-03</t>
        </is>
      </c>
      <c r="B1988" t="inlineStr">
        <is>
          <t>HD현대중공업</t>
        </is>
      </c>
      <c r="C1988" t="inlineStr">
        <is>
          <t>329180</t>
        </is>
      </c>
      <c r="D1988" t="inlineStr">
        <is>
          <t>연결</t>
        </is>
      </c>
      <c r="E1988" t="inlineStr">
        <is>
          <t>2025Q3</t>
        </is>
      </c>
      <c r="F1988" s="2" t="n">
        <v>4417900</v>
      </c>
      <c r="G1988" t="n">
        <v>6.5</v>
      </c>
      <c r="H1988" t="n">
        <v>22.4</v>
      </c>
      <c r="I1988" s="2" t="n">
        <v>557300</v>
      </c>
      <c r="J1988" t="n">
        <v>18.2</v>
      </c>
      <c r="K1988" t="n">
        <v>170.4</v>
      </c>
      <c r="L1988" s="2" t="n">
        <v>430800</v>
      </c>
      <c r="M1988" t="n">
        <v>496.7</v>
      </c>
      <c r="N1988" t="inlineStr">
        <is>
          <t>20251103800229</t>
        </is>
      </c>
      <c r="O1988">
        <f>HYPERLINK("https://dart.fss.or.kr/dsaf001/main.do?rcpNo=20251103800229", "공시열람")</f>
        <v/>
      </c>
    </row>
    <row r="1989">
      <c r="A1989" t="inlineStr">
        <is>
          <t>2025-11-03</t>
        </is>
      </c>
      <c r="B1989" t="inlineStr">
        <is>
          <t>HD현대중공업</t>
        </is>
      </c>
      <c r="C1989" t="inlineStr">
        <is>
          <t>329180</t>
        </is>
      </c>
      <c r="D1989" t="inlineStr">
        <is>
          <t>별도</t>
        </is>
      </c>
      <c r="E1989" t="inlineStr">
        <is>
          <t>2025Q3</t>
        </is>
      </c>
      <c r="F1989" s="2" t="n">
        <v>4418100</v>
      </c>
      <c r="G1989" t="n">
        <v>6.6</v>
      </c>
      <c r="H1989" t="n">
        <v>22.6</v>
      </c>
      <c r="I1989" s="2" t="n">
        <v>560100</v>
      </c>
      <c r="J1989" t="n">
        <v>19.4</v>
      </c>
      <c r="K1989" t="n">
        <v>175.2</v>
      </c>
      <c r="L1989" s="2" t="n">
        <v>432100</v>
      </c>
      <c r="M1989" t="n">
        <v>516.4</v>
      </c>
      <c r="N1989" t="inlineStr">
        <is>
          <t>20251103800231</t>
        </is>
      </c>
      <c r="O1989">
        <f>HYPERLINK("https://dart.fss.or.kr/dsaf001/main.do?rcpNo=20251103800231", "공시열람")</f>
        <v/>
      </c>
    </row>
    <row r="1990">
      <c r="A1990" t="inlineStr">
        <is>
          <t>2025-11-03</t>
        </is>
      </c>
      <c r="B1990" t="inlineStr">
        <is>
          <t>HD한국조선해양</t>
        </is>
      </c>
      <c r="C1990" t="inlineStr">
        <is>
          <t>009540</t>
        </is>
      </c>
      <c r="D1990" t="inlineStr">
        <is>
          <t>별도</t>
        </is>
      </c>
      <c r="E1990" t="inlineStr">
        <is>
          <t>2025Q3</t>
        </is>
      </c>
      <c r="F1990" s="2" t="n">
        <v>1966500</v>
      </c>
      <c r="G1990" t="n">
        <v>-7.2</v>
      </c>
      <c r="H1990" t="n">
        <v>19.7</v>
      </c>
      <c r="I1990" s="2" t="n">
        <v>306400</v>
      </c>
      <c r="J1990" t="n">
        <v>-17.6</v>
      </c>
      <c r="K1990" t="n">
        <v>72.5</v>
      </c>
      <c r="L1990" s="2" t="n">
        <v>256100</v>
      </c>
      <c r="M1990" t="n">
        <v>162.4</v>
      </c>
      <c r="N1990" t="inlineStr">
        <is>
          <t>20251103800238</t>
        </is>
      </c>
      <c r="O1990">
        <f>HYPERLINK("https://dart.fss.or.kr/dsaf001/main.do?rcpNo=20251103800238", "공시열람")</f>
        <v/>
      </c>
    </row>
    <row r="1991">
      <c r="A1991" t="inlineStr">
        <is>
          <t>2025-11-03</t>
        </is>
      </c>
      <c r="B1991" t="inlineStr">
        <is>
          <t>HD한국조선해양</t>
        </is>
      </c>
      <c r="C1991" t="inlineStr">
        <is>
          <t>009540</t>
        </is>
      </c>
      <c r="D1991" t="inlineStr">
        <is>
          <t>별도</t>
        </is>
      </c>
      <c r="E1991" t="inlineStr">
        <is>
          <t>2025Q3</t>
        </is>
      </c>
      <c r="F1991" s="2" t="n">
        <v>480100</v>
      </c>
      <c r="G1991" t="n">
        <v>242.2</v>
      </c>
      <c r="H1991" t="n">
        <v>325.6</v>
      </c>
      <c r="I1991" s="2" t="n">
        <v>289400</v>
      </c>
      <c r="J1991" t="inlineStr"/>
      <c r="K1991" t="inlineStr"/>
      <c r="L1991" s="2" t="n">
        <v>313100</v>
      </c>
      <c r="M1991" t="n">
        <v>4573.1</v>
      </c>
      <c r="N1991" t="inlineStr">
        <is>
          <t>20251103800239</t>
        </is>
      </c>
      <c r="O1991">
        <f>HYPERLINK("https://dart.fss.or.kr/dsaf001/main.do?rcpNo=20251103800239", "공시열람")</f>
        <v/>
      </c>
    </row>
    <row r="1992">
      <c r="A1992" t="inlineStr">
        <is>
          <t>2025-11-03</t>
        </is>
      </c>
      <c r="B1992" t="inlineStr">
        <is>
          <t>HD한국조선해양</t>
        </is>
      </c>
      <c r="C1992" t="inlineStr">
        <is>
          <t>009540</t>
        </is>
      </c>
      <c r="D1992" t="inlineStr">
        <is>
          <t>연결</t>
        </is>
      </c>
      <c r="E1992" t="inlineStr">
        <is>
          <t>2025Q3</t>
        </is>
      </c>
      <c r="F1992" s="2" t="n">
        <v>7581500</v>
      </c>
      <c r="G1992" t="n">
        <v>2.1</v>
      </c>
      <c r="H1992" t="n">
        <v>21.4</v>
      </c>
      <c r="I1992" s="2" t="n">
        <v>1053800</v>
      </c>
      <c r="J1992" t="n">
        <v>10.5</v>
      </c>
      <c r="K1992" t="n">
        <v>164.5</v>
      </c>
      <c r="L1992" s="2" t="n">
        <v>876700</v>
      </c>
      <c r="M1992" t="n">
        <v>397</v>
      </c>
      <c r="N1992" t="inlineStr">
        <is>
          <t>20251103800241</t>
        </is>
      </c>
      <c r="O1992">
        <f>HYPERLINK("https://dart.fss.or.kr/dsaf001/main.do?rcpNo=20251103800241", "공시열람")</f>
        <v/>
      </c>
    </row>
    <row r="1993">
      <c r="A1993" t="inlineStr">
        <is>
          <t>2025-11-03</t>
        </is>
      </c>
      <c r="B1993" t="inlineStr">
        <is>
          <t>HD현대마린엔진</t>
        </is>
      </c>
      <c r="C1993" t="inlineStr">
        <is>
          <t>071970</t>
        </is>
      </c>
      <c r="D1993" t="inlineStr">
        <is>
          <t>연결</t>
        </is>
      </c>
      <c r="E1993" t="inlineStr">
        <is>
          <t>2025Q3</t>
        </is>
      </c>
      <c r="F1993" s="2" t="n">
        <v>109169</v>
      </c>
      <c r="G1993" t="n">
        <v>10</v>
      </c>
      <c r="H1993" t="n">
        <v>35.1</v>
      </c>
      <c r="I1993" s="2" t="n">
        <v>20288</v>
      </c>
      <c r="J1993" t="n">
        <v>16.2</v>
      </c>
      <c r="K1993" t="n">
        <v>130.4</v>
      </c>
      <c r="L1993" s="2" t="n">
        <v>22588</v>
      </c>
      <c r="M1993" t="n">
        <v>137.5</v>
      </c>
      <c r="N1993" t="inlineStr">
        <is>
          <t>20251103800245</t>
        </is>
      </c>
      <c r="O1993">
        <f>HYPERLINK("https://dart.fss.or.kr/dsaf001/main.do?rcpNo=20251103800245", "공시열람")</f>
        <v/>
      </c>
    </row>
    <row r="1994">
      <c r="A1994" t="inlineStr">
        <is>
          <t>2025-11-03</t>
        </is>
      </c>
      <c r="B1994" t="inlineStr">
        <is>
          <t>현대로템</t>
        </is>
      </c>
      <c r="C1994" t="inlineStr">
        <is>
          <t>064350</t>
        </is>
      </c>
      <c r="D1994" t="inlineStr">
        <is>
          <t>연결</t>
        </is>
      </c>
      <c r="E1994" t="inlineStr">
        <is>
          <t>2025Q3</t>
        </is>
      </c>
      <c r="F1994" s="2" t="n">
        <v>1619635</v>
      </c>
      <c r="G1994" t="n">
        <v>14.2</v>
      </c>
      <c r="H1994" t="n">
        <v>48.1</v>
      </c>
      <c r="I1994" s="2" t="n">
        <v>277743</v>
      </c>
      <c r="J1994" t="n">
        <v>7.8</v>
      </c>
      <c r="K1994" t="n">
        <v>102.1</v>
      </c>
      <c r="L1994" s="2" t="n">
        <v>198375</v>
      </c>
      <c r="M1994" t="n">
        <v>91.2</v>
      </c>
      <c r="N1994" t="inlineStr">
        <is>
          <t>20251103800263</t>
        </is>
      </c>
      <c r="O1994">
        <f>HYPERLINK("https://dart.fss.or.kr/dsaf001/main.do?rcpNo=20251103800263", "공시열람")</f>
        <v/>
      </c>
    </row>
    <row r="1995">
      <c r="A1995" t="inlineStr">
        <is>
          <t>2025-11-03</t>
        </is>
      </c>
      <c r="B1995" t="inlineStr">
        <is>
          <t>한섬</t>
        </is>
      </c>
      <c r="C1995" t="inlineStr">
        <is>
          <t>020000</t>
        </is>
      </c>
      <c r="D1995" t="inlineStr">
        <is>
          <t>연결</t>
        </is>
      </c>
      <c r="E1995" t="inlineStr">
        <is>
          <t>2025Q3</t>
        </is>
      </c>
      <c r="F1995" s="2" t="n">
        <v>309626</v>
      </c>
      <c r="G1995" t="n">
        <v>-8.4</v>
      </c>
      <c r="H1995" t="n">
        <v>-1.5</v>
      </c>
      <c r="I1995" s="2" t="n">
        <v>2475</v>
      </c>
      <c r="J1995" t="n">
        <v>235.8</v>
      </c>
      <c r="K1995" t="n">
        <v>-59</v>
      </c>
      <c r="L1995" s="2" t="n">
        <v>1825</v>
      </c>
      <c r="M1995" t="n">
        <v>-63.2</v>
      </c>
      <c r="N1995" t="inlineStr">
        <is>
          <t>20251103800328</t>
        </is>
      </c>
      <c r="O1995">
        <f>HYPERLINK("https://dart.fss.or.kr/dsaf001/main.do?rcpNo=20251103800328", "공시열람")</f>
        <v/>
      </c>
    </row>
    <row r="1996">
      <c r="A1996" t="inlineStr">
        <is>
          <t>2025-11-03</t>
        </is>
      </c>
      <c r="B1996" t="inlineStr">
        <is>
          <t>GS피앤엘</t>
        </is>
      </c>
      <c r="C1996" t="inlineStr">
        <is>
          <t>499790</t>
        </is>
      </c>
      <c r="D1996" t="inlineStr">
        <is>
          <t>연결</t>
        </is>
      </c>
      <c r="E1996" t="inlineStr">
        <is>
          <t>2025Q3</t>
        </is>
      </c>
      <c r="F1996" s="2" t="n">
        <v>121962</v>
      </c>
      <c r="G1996" t="n">
        <v>8.800000000000001</v>
      </c>
      <c r="H1996" t="inlineStr"/>
      <c r="I1996" s="2" t="n">
        <v>19929</v>
      </c>
      <c r="J1996" t="n">
        <v>72.3</v>
      </c>
      <c r="K1996" t="inlineStr"/>
      <c r="L1996" s="2" t="n">
        <v>12784</v>
      </c>
      <c r="M1996" t="inlineStr"/>
      <c r="N1996" t="inlineStr">
        <is>
          <t>20251103800332</t>
        </is>
      </c>
      <c r="O1996">
        <f>HYPERLINK("https://dart.fss.or.kr/dsaf001/main.do?rcpNo=20251103800332", "공시열람")</f>
        <v/>
      </c>
    </row>
    <row r="1997">
      <c r="A1997" t="inlineStr">
        <is>
          <t>2025-11-03</t>
        </is>
      </c>
      <c r="B1997" t="inlineStr">
        <is>
          <t>중앙백신</t>
        </is>
      </c>
      <c r="C1997" t="inlineStr">
        <is>
          <t>072020</t>
        </is>
      </c>
      <c r="D1997" t="inlineStr">
        <is>
          <t>별도</t>
        </is>
      </c>
      <c r="E1997" t="inlineStr">
        <is>
          <t>2025Q3</t>
        </is>
      </c>
      <c r="F1997" s="2" t="n">
        <v>10977</v>
      </c>
      <c r="G1997" t="n">
        <v>-8.9</v>
      </c>
      <c r="H1997" t="n">
        <v>2.4</v>
      </c>
      <c r="I1997" s="2" t="n">
        <v>1548</v>
      </c>
      <c r="J1997" t="n">
        <v>3.2</v>
      </c>
      <c r="K1997" t="n">
        <v>-9.5</v>
      </c>
      <c r="L1997" s="2" t="n">
        <v>1697</v>
      </c>
      <c r="M1997" t="n">
        <v>81.90000000000001</v>
      </c>
      <c r="N1997" t="inlineStr">
        <is>
          <t>20251103900341</t>
        </is>
      </c>
      <c r="O1997">
        <f>HYPERLINK("https://dart.fss.or.kr/dsaf001/main.do?rcpNo=20251103900341", "공시열람")</f>
        <v/>
      </c>
    </row>
    <row r="1998">
      <c r="A1998" t="inlineStr">
        <is>
          <t>2025-11-03</t>
        </is>
      </c>
      <c r="B1998" t="inlineStr">
        <is>
          <t>현대바이오랜드</t>
        </is>
      </c>
      <c r="C1998" t="inlineStr">
        <is>
          <t>052260</t>
        </is>
      </c>
      <c r="D1998" t="inlineStr">
        <is>
          <t>연결</t>
        </is>
      </c>
      <c r="E1998" t="inlineStr">
        <is>
          <t>2025Q3</t>
        </is>
      </c>
      <c r="F1998" s="2" t="n">
        <v>35478</v>
      </c>
      <c r="G1998" t="n">
        <v>2.5</v>
      </c>
      <c r="H1998" t="n">
        <v>11</v>
      </c>
      <c r="I1998" s="2" t="n">
        <v>4714</v>
      </c>
      <c r="J1998" t="n">
        <v>-14.4</v>
      </c>
      <c r="K1998" t="n">
        <v>-1.1</v>
      </c>
      <c r="L1998" s="2" t="n">
        <v>3942</v>
      </c>
      <c r="M1998" t="n">
        <v>29.1</v>
      </c>
      <c r="N1998" t="inlineStr">
        <is>
          <t>20251103900346</t>
        </is>
      </c>
      <c r="O1998">
        <f>HYPERLINK("https://dart.fss.or.kr/dsaf001/main.do?rcpNo=20251103900346", "공시열람")</f>
        <v/>
      </c>
    </row>
    <row r="1999">
      <c r="A1999" t="inlineStr">
        <is>
          <t>2025-11-03</t>
        </is>
      </c>
      <c r="B1999" t="inlineStr">
        <is>
          <t>JW홀딩스</t>
        </is>
      </c>
      <c r="C1999" t="inlineStr">
        <is>
          <t>096760</t>
        </is>
      </c>
      <c r="D1999" t="inlineStr">
        <is>
          <t>별도</t>
        </is>
      </c>
      <c r="E1999" t="inlineStr">
        <is>
          <t>2025Q3</t>
        </is>
      </c>
      <c r="F1999" s="2" t="n">
        <v>20173</v>
      </c>
      <c r="G1999" t="n">
        <v>6.17</v>
      </c>
      <c r="H1999" t="n">
        <v>17.28</v>
      </c>
      <c r="I1999" s="2" t="n">
        <v>4882</v>
      </c>
      <c r="J1999" t="n">
        <v>42.48</v>
      </c>
      <c r="K1999" t="n">
        <v>38.42</v>
      </c>
      <c r="L1999" s="2" t="n">
        <v>2604</v>
      </c>
      <c r="M1999" t="n">
        <v>-7.45</v>
      </c>
      <c r="N1999" t="inlineStr">
        <is>
          <t>20251103800349</t>
        </is>
      </c>
      <c r="O1999">
        <f>HYPERLINK("https://dart.fss.or.kr/dsaf001/main.do?rcpNo=20251103800349", "공시열람")</f>
        <v/>
      </c>
    </row>
    <row r="2000">
      <c r="A2000" t="inlineStr">
        <is>
          <t>2025-11-03</t>
        </is>
      </c>
      <c r="B2000" t="inlineStr">
        <is>
          <t>JW중외제약</t>
        </is>
      </c>
      <c r="C2000" t="inlineStr">
        <is>
          <t>001060</t>
        </is>
      </c>
      <c r="D2000" t="inlineStr">
        <is>
          <t>별도</t>
        </is>
      </c>
      <c r="E2000" t="inlineStr">
        <is>
          <t>2025Q3</t>
        </is>
      </c>
      <c r="F2000" s="2" t="n">
        <v>198576</v>
      </c>
      <c r="G2000" t="n">
        <v>4.7</v>
      </c>
      <c r="H2000" t="n">
        <v>12.5</v>
      </c>
      <c r="I2000" s="2" t="n">
        <v>32632</v>
      </c>
      <c r="J2000" t="n">
        <v>28.4</v>
      </c>
      <c r="K2000" t="n">
        <v>23.9</v>
      </c>
      <c r="L2000" s="2" t="n">
        <v>30771</v>
      </c>
      <c r="M2000" t="n">
        <v>56.3</v>
      </c>
      <c r="N2000" t="inlineStr">
        <is>
          <t>20251103800357</t>
        </is>
      </c>
      <c r="O2000">
        <f>HYPERLINK("https://dart.fss.or.kr/dsaf001/main.do?rcpNo=20251103800357", "공시열람")</f>
        <v/>
      </c>
    </row>
    <row r="2001">
      <c r="A2001" t="inlineStr">
        <is>
          <t>2025-11-03</t>
        </is>
      </c>
      <c r="B2001" t="inlineStr">
        <is>
          <t>보락</t>
        </is>
      </c>
      <c r="C2001" t="inlineStr">
        <is>
          <t>002760</t>
        </is>
      </c>
      <c r="D2001" t="inlineStr">
        <is>
          <t>별도</t>
        </is>
      </c>
      <c r="E2001" t="inlineStr">
        <is>
          <t>2025Q3</t>
        </is>
      </c>
      <c r="F2001" s="2" t="n">
        <v>11933</v>
      </c>
      <c r="G2001" t="n">
        <v>-13.11</v>
      </c>
      <c r="H2001" t="n">
        <v>-5.5</v>
      </c>
      <c r="I2001" s="2" t="n">
        <v>984</v>
      </c>
      <c r="J2001" t="n">
        <v>10.44</v>
      </c>
      <c r="K2001" t="n">
        <v>59.48</v>
      </c>
      <c r="L2001" s="2" t="n">
        <v>1019</v>
      </c>
      <c r="M2001" t="n">
        <v>71.55</v>
      </c>
      <c r="N2001" t="inlineStr">
        <is>
          <t>20251103800265</t>
        </is>
      </c>
      <c r="O2001">
        <f>HYPERLINK("https://dart.fss.or.kr/dsaf001/main.do?rcpNo=20251103800265", "공시열람")</f>
        <v/>
      </c>
    </row>
    <row r="2002">
      <c r="A2002" t="inlineStr">
        <is>
          <t>2025-10-31</t>
        </is>
      </c>
      <c r="B2002" t="inlineStr">
        <is>
          <t>풍산</t>
        </is>
      </c>
      <c r="C2002" t="inlineStr">
        <is>
          <t>103140</t>
        </is>
      </c>
      <c r="D2002" t="inlineStr">
        <is>
          <t>연결</t>
        </is>
      </c>
      <c r="E2002" t="inlineStr">
        <is>
          <t>2025Q3</t>
        </is>
      </c>
      <c r="F2002" s="2" t="n">
        <v>1174161</v>
      </c>
      <c r="G2002" t="n">
        <v>-9.300000000000001</v>
      </c>
      <c r="H2002" t="n">
        <v>4</v>
      </c>
      <c r="I2002" s="2" t="n">
        <v>42584</v>
      </c>
      <c r="J2002" t="n">
        <v>-54.5</v>
      </c>
      <c r="K2002" t="n">
        <v>-42.7</v>
      </c>
      <c r="L2002" s="2" t="n">
        <v>32578</v>
      </c>
      <c r="M2002" t="n">
        <v>-31.6</v>
      </c>
      <c r="N2002" t="inlineStr">
        <is>
          <t>20251031800225</t>
        </is>
      </c>
      <c r="O2002">
        <f>HYPERLINK("https://dart.fss.or.kr/dsaf001/main.do?rcpNo=20251031800225", "공시열람")</f>
        <v/>
      </c>
    </row>
    <row r="2003">
      <c r="A2003" t="inlineStr">
        <is>
          <t>2025-10-31</t>
        </is>
      </c>
      <c r="B2003" t="inlineStr">
        <is>
          <t>기아</t>
        </is>
      </c>
      <c r="C2003" t="inlineStr">
        <is>
          <t>000270</t>
        </is>
      </c>
      <c r="D2003" t="inlineStr">
        <is>
          <t>연결</t>
        </is>
      </c>
      <c r="E2003" t="inlineStr">
        <is>
          <t>2025Q3</t>
        </is>
      </c>
      <c r="F2003" s="2" t="n">
        <v>28686037</v>
      </c>
      <c r="G2003" t="n">
        <v>-2.3</v>
      </c>
      <c r="H2003" t="n">
        <v>8.199999999999999</v>
      </c>
      <c r="I2003" s="2" t="n">
        <v>1462251</v>
      </c>
      <c r="J2003" t="n">
        <v>-47.1</v>
      </c>
      <c r="K2003" t="n">
        <v>-49.2</v>
      </c>
      <c r="L2003" s="2" t="n">
        <v>1422460</v>
      </c>
      <c r="M2003" t="n">
        <v>-37.3</v>
      </c>
      <c r="N2003" t="inlineStr">
        <is>
          <t>20251031800292</t>
        </is>
      </c>
      <c r="O2003">
        <f>HYPERLINK("https://dart.fss.or.kr/dsaf001/main.do?rcpNo=20251031800292", "공시열람")</f>
        <v/>
      </c>
    </row>
    <row r="2004">
      <c r="A2004" t="inlineStr">
        <is>
          <t>2025-10-31</t>
        </is>
      </c>
      <c r="B2004" t="inlineStr">
        <is>
          <t>코스모신소재</t>
        </is>
      </c>
      <c r="C2004" t="inlineStr">
        <is>
          <t>005070</t>
        </is>
      </c>
      <c r="D2004" t="inlineStr">
        <is>
          <t>별도</t>
        </is>
      </c>
      <c r="E2004" t="inlineStr">
        <is>
          <t>2025Q3</t>
        </is>
      </c>
      <c r="F2004" s="2" t="n">
        <v>105252</v>
      </c>
      <c r="G2004" t="n">
        <v>-12.4</v>
      </c>
      <c r="H2004" t="n">
        <v>-11.8</v>
      </c>
      <c r="I2004" s="2" t="n">
        <v>135</v>
      </c>
      <c r="J2004" t="n">
        <v>-74.5</v>
      </c>
      <c r="K2004" t="n">
        <v>-97.90000000000001</v>
      </c>
      <c r="L2004" s="2" t="n">
        <v>-2602</v>
      </c>
      <c r="M2004" t="n">
        <v>-134.1</v>
      </c>
      <c r="N2004" t="inlineStr">
        <is>
          <t>20251031800603</t>
        </is>
      </c>
      <c r="O2004">
        <f>HYPERLINK("https://dart.fss.or.kr/dsaf001/main.do?rcpNo=20251031800603", "공시열람")</f>
        <v/>
      </c>
    </row>
    <row r="2005">
      <c r="A2005" t="inlineStr">
        <is>
          <t>2025-10-31</t>
        </is>
      </c>
      <c r="B2005" t="inlineStr">
        <is>
          <t>현대위아</t>
        </is>
      </c>
      <c r="C2005" t="inlineStr">
        <is>
          <t>011210</t>
        </is>
      </c>
      <c r="D2005" t="inlineStr">
        <is>
          <t>연결</t>
        </is>
      </c>
      <c r="E2005" t="inlineStr">
        <is>
          <t>2025Q3</t>
        </is>
      </c>
      <c r="F2005" s="2" t="n">
        <v>2151875</v>
      </c>
      <c r="G2005" t="n">
        <v>-1.2</v>
      </c>
      <c r="H2005" t="n">
        <v>7.2</v>
      </c>
      <c r="I2005" s="2" t="n">
        <v>51848</v>
      </c>
      <c r="J2005" t="n">
        <v>-8</v>
      </c>
      <c r="K2005" t="n">
        <v>1.2</v>
      </c>
      <c r="L2005" s="2" t="n">
        <v>-11448</v>
      </c>
      <c r="M2005" t="n">
        <v>-1.7</v>
      </c>
      <c r="N2005" t="inlineStr">
        <is>
          <t>20251031800378</t>
        </is>
      </c>
      <c r="O2005">
        <f>HYPERLINK("https://dart.fss.or.kr/dsaf001/main.do?rcpNo=20251031800378", "공시열람")</f>
        <v/>
      </c>
    </row>
    <row r="2006">
      <c r="A2006" t="inlineStr">
        <is>
          <t>2025-10-31</t>
        </is>
      </c>
      <c r="B2006" t="inlineStr">
        <is>
          <t>에스원</t>
        </is>
      </c>
      <c r="C2006" t="inlineStr">
        <is>
          <t>012750</t>
        </is>
      </c>
      <c r="D2006" t="inlineStr">
        <is>
          <t>연결</t>
        </is>
      </c>
      <c r="E2006" t="inlineStr">
        <is>
          <t>2025Q3</t>
        </is>
      </c>
      <c r="F2006" s="2" t="n">
        <v>698740</v>
      </c>
      <c r="G2006" t="n">
        <v>-4.63</v>
      </c>
      <c r="H2006" t="n">
        <v>2.34</v>
      </c>
      <c r="I2006" s="2" t="n">
        <v>62125</v>
      </c>
      <c r="J2006" t="n">
        <v>0.92</v>
      </c>
      <c r="K2006" t="n">
        <v>3.11</v>
      </c>
      <c r="L2006" s="2" t="n">
        <v>48295</v>
      </c>
      <c r="M2006" t="n">
        <v>-11.14</v>
      </c>
      <c r="N2006" t="inlineStr">
        <is>
          <t>20251031800455</t>
        </is>
      </c>
      <c r="O2006">
        <f>HYPERLINK("https://dart.fss.or.kr/dsaf001/main.do?rcpNo=20251031800455", "공시열람")</f>
        <v/>
      </c>
    </row>
    <row r="2007">
      <c r="A2007" t="inlineStr">
        <is>
          <t>2025-10-31</t>
        </is>
      </c>
      <c r="B2007" t="inlineStr">
        <is>
          <t>효성 ITX</t>
        </is>
      </c>
      <c r="C2007" t="inlineStr">
        <is>
          <t>094280</t>
        </is>
      </c>
      <c r="D2007" t="inlineStr">
        <is>
          <t>연결</t>
        </is>
      </c>
      <c r="E2007" t="inlineStr">
        <is>
          <t>2025Q3</t>
        </is>
      </c>
      <c r="F2007" s="2" t="n">
        <v>124189</v>
      </c>
      <c r="G2007" t="n">
        <v>-2.26</v>
      </c>
      <c r="H2007" t="n">
        <v>2.04</v>
      </c>
      <c r="I2007" s="2" t="n">
        <v>4296</v>
      </c>
      <c r="J2007" t="n">
        <v>-2.3</v>
      </c>
      <c r="K2007" t="n">
        <v>8.630000000000001</v>
      </c>
      <c r="L2007" s="2" t="n">
        <v>2900</v>
      </c>
      <c r="M2007" t="n">
        <v>24.93</v>
      </c>
      <c r="N2007" t="inlineStr">
        <is>
          <t>20251031800477</t>
        </is>
      </c>
      <c r="O2007">
        <f>HYPERLINK("https://dart.fss.or.kr/dsaf001/main.do?rcpNo=20251031800477", "공시열람")</f>
        <v/>
      </c>
    </row>
    <row r="2008">
      <c r="A2008" t="inlineStr">
        <is>
          <t>2025-10-31</t>
        </is>
      </c>
      <c r="B2008" t="inlineStr">
        <is>
          <t>LG화학</t>
        </is>
      </c>
      <c r="C2008" t="inlineStr">
        <is>
          <t>051910</t>
        </is>
      </c>
      <c r="D2008" t="inlineStr">
        <is>
          <t>연결</t>
        </is>
      </c>
      <c r="E2008" t="inlineStr">
        <is>
          <t>2025Q3</t>
        </is>
      </c>
      <c r="F2008" s="2" t="n">
        <v>11196200</v>
      </c>
      <c r="G2008" t="n">
        <v>-1.9</v>
      </c>
      <c r="H2008" t="n">
        <v>-11.3</v>
      </c>
      <c r="I2008" s="2" t="n">
        <v>679700</v>
      </c>
      <c r="J2008" t="n">
        <v>42.6</v>
      </c>
      <c r="K2008" t="n">
        <v>38.9</v>
      </c>
      <c r="L2008" s="2" t="n">
        <v>447300</v>
      </c>
      <c r="M2008" t="n">
        <v>-55.8</v>
      </c>
      <c r="N2008" t="inlineStr">
        <is>
          <t>20251031800472</t>
        </is>
      </c>
      <c r="O2008">
        <f>HYPERLINK("https://dart.fss.or.kr/dsaf001/main.do?rcpNo=20251031800472", "공시열람")</f>
        <v/>
      </c>
    </row>
    <row r="2009">
      <c r="A2009" t="inlineStr">
        <is>
          <t>2025-10-31</t>
        </is>
      </c>
      <c r="B2009" t="inlineStr">
        <is>
          <t>한화비전</t>
        </is>
      </c>
      <c r="C2009" t="inlineStr">
        <is>
          <t>489790</t>
        </is>
      </c>
      <c r="D2009" t="inlineStr">
        <is>
          <t>연결</t>
        </is>
      </c>
      <c r="E2009" t="inlineStr">
        <is>
          <t>2025Q3</t>
        </is>
      </c>
      <c r="F2009" s="2" t="n">
        <v>422742</v>
      </c>
      <c r="G2009" t="n">
        <v>-7.5</v>
      </c>
      <c r="H2009" t="n">
        <v>203</v>
      </c>
      <c r="I2009" s="2" t="n">
        <v>31157</v>
      </c>
      <c r="J2009" t="n">
        <v>-44.6</v>
      </c>
      <c r="K2009" t="n">
        <v>268.3</v>
      </c>
      <c r="L2009" s="2" t="n">
        <v>-6750</v>
      </c>
      <c r="M2009" t="n">
        <v>48.4</v>
      </c>
      <c r="N2009" t="inlineStr">
        <is>
          <t>20251031800494</t>
        </is>
      </c>
      <c r="O2009">
        <f>HYPERLINK("https://dart.fss.or.kr/dsaf001/main.do?rcpNo=20251031800494", "공시열람")</f>
        <v/>
      </c>
    </row>
    <row r="2010">
      <c r="A2010" t="inlineStr">
        <is>
          <t>2025-10-31</t>
        </is>
      </c>
      <c r="B2010" t="inlineStr">
        <is>
          <t>종근당바이오</t>
        </is>
      </c>
      <c r="C2010" t="inlineStr">
        <is>
          <t>063160</t>
        </is>
      </c>
      <c r="D2010" t="inlineStr">
        <is>
          <t>별도</t>
        </is>
      </c>
      <c r="E2010" t="inlineStr">
        <is>
          <t>2025Q3</t>
        </is>
      </c>
      <c r="F2010" s="2" t="n">
        <v>34120</v>
      </c>
      <c r="G2010" t="n">
        <v>-17.2</v>
      </c>
      <c r="H2010" t="n">
        <v>-22.3</v>
      </c>
      <c r="I2010" s="2" t="n">
        <v>-1467</v>
      </c>
      <c r="J2010" t="inlineStr"/>
      <c r="K2010" t="inlineStr"/>
      <c r="L2010" s="2" t="n">
        <v>-2179</v>
      </c>
      <c r="M2010" t="inlineStr"/>
      <c r="N2010" t="inlineStr">
        <is>
          <t>20251031800537</t>
        </is>
      </c>
      <c r="O2010">
        <f>HYPERLINK("https://dart.fss.or.kr/dsaf001/main.do?rcpNo=20251031800537", "공시열람")</f>
        <v/>
      </c>
    </row>
    <row r="2011">
      <c r="A2011" t="inlineStr">
        <is>
          <t>2025-10-31</t>
        </is>
      </c>
      <c r="B2011" t="inlineStr">
        <is>
          <t>효성중공업</t>
        </is>
      </c>
      <c r="C2011" t="inlineStr">
        <is>
          <t>298040</t>
        </is>
      </c>
      <c r="D2011" t="inlineStr">
        <is>
          <t>연결</t>
        </is>
      </c>
      <c r="E2011" t="inlineStr">
        <is>
          <t>2025Q3</t>
        </is>
      </c>
      <c r="F2011" s="2" t="n">
        <v>1624136</v>
      </c>
      <c r="G2011" t="n">
        <v>6.48</v>
      </c>
      <c r="H2011" t="n">
        <v>41.82</v>
      </c>
      <c r="I2011" s="2" t="n">
        <v>219809</v>
      </c>
      <c r="J2011" t="n">
        <v>33.82</v>
      </c>
      <c r="K2011" t="n">
        <v>97.27</v>
      </c>
      <c r="L2011" s="2" t="n">
        <v>151766</v>
      </c>
      <c r="M2011" t="n">
        <v>109.57</v>
      </c>
      <c r="N2011" t="inlineStr">
        <is>
          <t>20251031800597</t>
        </is>
      </c>
      <c r="O2011">
        <f>HYPERLINK("https://dart.fss.or.kr/dsaf001/main.do?rcpNo=20251031800597", "공시열람")</f>
        <v/>
      </c>
    </row>
    <row r="2012">
      <c r="A2012" t="inlineStr">
        <is>
          <t>2025-10-31</t>
        </is>
      </c>
      <c r="B2012" t="inlineStr">
        <is>
          <t>아이센스</t>
        </is>
      </c>
      <c r="C2012" t="inlineStr">
        <is>
          <t>099190</t>
        </is>
      </c>
      <c r="D2012" t="inlineStr">
        <is>
          <t>연결</t>
        </is>
      </c>
      <c r="E2012" t="inlineStr">
        <is>
          <t>2025Q3</t>
        </is>
      </c>
      <c r="F2012" s="2" t="n">
        <v>78490</v>
      </c>
      <c r="G2012" t="n">
        <v>2.2</v>
      </c>
      <c r="H2012" t="n">
        <v>9.699999999999999</v>
      </c>
      <c r="I2012" s="2" t="n">
        <v>1016</v>
      </c>
      <c r="J2012" t="n">
        <v>-39.6</v>
      </c>
      <c r="K2012" t="n">
        <v>-73.40000000000001</v>
      </c>
      <c r="L2012" s="2" t="n">
        <v>-554</v>
      </c>
      <c r="M2012" t="inlineStr"/>
      <c r="N2012" t="inlineStr">
        <is>
          <t>20251031900575</t>
        </is>
      </c>
      <c r="O2012">
        <f>HYPERLINK("https://dart.fss.or.kr/dsaf001/main.do?rcpNo=20251031900575", "공시열람")</f>
        <v/>
      </c>
    </row>
    <row r="2013">
      <c r="A2013" t="inlineStr">
        <is>
          <t>2025-10-31</t>
        </is>
      </c>
      <c r="B2013" t="inlineStr">
        <is>
          <t>효성</t>
        </is>
      </c>
      <c r="C2013" t="inlineStr">
        <is>
          <t>004800</t>
        </is>
      </c>
      <c r="D2013" t="inlineStr">
        <is>
          <t>연결</t>
        </is>
      </c>
      <c r="E2013" t="inlineStr">
        <is>
          <t>2025Q3</t>
        </is>
      </c>
      <c r="F2013" s="2" t="n">
        <v>612172</v>
      </c>
      <c r="G2013" t="n">
        <v>1.7</v>
      </c>
      <c r="H2013" t="n">
        <v>6</v>
      </c>
      <c r="I2013" s="2" t="n">
        <v>121853</v>
      </c>
      <c r="J2013" t="n">
        <v>22.9</v>
      </c>
      <c r="K2013" t="n">
        <v>156.9</v>
      </c>
      <c r="L2013" s="2" t="n">
        <v>84998</v>
      </c>
      <c r="M2013" t="n">
        <v>-75</v>
      </c>
      <c r="N2013" t="inlineStr">
        <is>
          <t>20251031800888</t>
        </is>
      </c>
      <c r="O2013">
        <f>HYPERLINK("https://dart.fss.or.kr/dsaf001/main.do?rcpNo=20251031800888", "공시열람")</f>
        <v/>
      </c>
    </row>
    <row r="2014">
      <c r="A2014" t="inlineStr">
        <is>
          <t>2025-10-31</t>
        </is>
      </c>
      <c r="B2014" t="inlineStr">
        <is>
          <t>세이브존I&amp;C</t>
        </is>
      </c>
      <c r="C2014" t="inlineStr">
        <is>
          <t>067830</t>
        </is>
      </c>
      <c r="D2014" t="inlineStr">
        <is>
          <t>별도</t>
        </is>
      </c>
      <c r="E2014" t="inlineStr">
        <is>
          <t>2025Q3</t>
        </is>
      </c>
      <c r="F2014" s="2" t="n">
        <v>27854</v>
      </c>
      <c r="G2014" t="n">
        <v>-5.26</v>
      </c>
      <c r="H2014" t="n">
        <v>1.78</v>
      </c>
      <c r="I2014" s="2" t="n">
        <v>-683</v>
      </c>
      <c r="J2014" t="inlineStr"/>
      <c r="K2014" t="n">
        <v>2.94</v>
      </c>
      <c r="L2014" s="2" t="n">
        <v>827</v>
      </c>
      <c r="M2014" t="n">
        <v>-37.47</v>
      </c>
      <c r="N2014" t="inlineStr">
        <is>
          <t>20251031800601</t>
        </is>
      </c>
      <c r="O2014">
        <f>HYPERLINK("https://dart.fss.or.kr/dsaf001/main.do?rcpNo=20251031800601", "공시열람")</f>
        <v/>
      </c>
    </row>
    <row r="2015">
      <c r="A2015" t="inlineStr">
        <is>
          <t>2025-10-31</t>
        </is>
      </c>
      <c r="B2015" t="inlineStr">
        <is>
          <t>대한유화</t>
        </is>
      </c>
      <c r="C2015" t="inlineStr">
        <is>
          <t>006650</t>
        </is>
      </c>
      <c r="D2015" t="inlineStr">
        <is>
          <t>연결</t>
        </is>
      </c>
      <c r="E2015" t="inlineStr">
        <is>
          <t>2025Q3</t>
        </is>
      </c>
      <c r="F2015" s="2" t="n">
        <v>909919</v>
      </c>
      <c r="G2015" t="n">
        <v>7.46</v>
      </c>
      <c r="H2015" t="n">
        <v>33.27</v>
      </c>
      <c r="I2015" s="2" t="n">
        <v>42849</v>
      </c>
      <c r="J2015" t="inlineStr"/>
      <c r="K2015" t="inlineStr"/>
      <c r="L2015" s="2" t="n">
        <v>42352</v>
      </c>
      <c r="M2015" t="inlineStr"/>
      <c r="N2015" t="inlineStr">
        <is>
          <t>20251031800647</t>
        </is>
      </c>
      <c r="O2015">
        <f>HYPERLINK("https://dart.fss.or.kr/dsaf001/main.do?rcpNo=20251031800647", "공시열람")</f>
        <v/>
      </c>
    </row>
    <row r="2016">
      <c r="A2016" t="inlineStr">
        <is>
          <t>2025-10-31</t>
        </is>
      </c>
      <c r="B2016" t="inlineStr">
        <is>
          <t>하츠</t>
        </is>
      </c>
      <c r="C2016" t="inlineStr">
        <is>
          <t>066130</t>
        </is>
      </c>
      <c r="D2016" t="inlineStr">
        <is>
          <t>별도</t>
        </is>
      </c>
      <c r="E2016" t="inlineStr">
        <is>
          <t>2025Q3</t>
        </is>
      </c>
      <c r="F2016" s="2" t="n">
        <v>40316</v>
      </c>
      <c r="G2016" t="n">
        <v>-16.1</v>
      </c>
      <c r="H2016" t="n">
        <v>-7.5</v>
      </c>
      <c r="I2016" s="2" t="n">
        <v>2211</v>
      </c>
      <c r="J2016" t="n">
        <v>-33</v>
      </c>
      <c r="K2016" t="n">
        <v>-27</v>
      </c>
      <c r="L2016" s="2" t="n">
        <v>965</v>
      </c>
      <c r="M2016" t="n">
        <v>-67.3</v>
      </c>
      <c r="N2016" t="inlineStr">
        <is>
          <t>20251031900677</t>
        </is>
      </c>
      <c r="O2016">
        <f>HYPERLINK("https://dart.fss.or.kr/dsaf001/main.do?rcpNo=20251031900677", "공시열람")</f>
        <v/>
      </c>
    </row>
    <row r="2017">
      <c r="A2017" t="inlineStr">
        <is>
          <t>2025-10-31</t>
        </is>
      </c>
      <c r="B2017" t="inlineStr">
        <is>
          <t>경보제약</t>
        </is>
      </c>
      <c r="C2017" t="inlineStr">
        <is>
          <t>214390</t>
        </is>
      </c>
      <c r="D2017" t="inlineStr">
        <is>
          <t>별도</t>
        </is>
      </c>
      <c r="E2017" t="inlineStr">
        <is>
          <t>2025Q3</t>
        </is>
      </c>
      <c r="F2017" s="2" t="n">
        <v>66987</v>
      </c>
      <c r="G2017" t="n">
        <v>2.6</v>
      </c>
      <c r="H2017" t="n">
        <v>15</v>
      </c>
      <c r="I2017" s="2" t="n">
        <v>474</v>
      </c>
      <c r="J2017" t="n">
        <v>-80.3</v>
      </c>
      <c r="K2017" t="n">
        <v>-85</v>
      </c>
      <c r="L2017" s="2" t="n">
        <v>3032</v>
      </c>
      <c r="M2017" t="n">
        <v>180.5</v>
      </c>
      <c r="N2017" t="inlineStr">
        <is>
          <t>20251031800726</t>
        </is>
      </c>
      <c r="O2017">
        <f>HYPERLINK("https://dart.fss.or.kr/dsaf001/main.do?rcpNo=20251031800726", "공시열람")</f>
        <v/>
      </c>
    </row>
    <row r="2018">
      <c r="A2018" t="inlineStr">
        <is>
          <t>2025-10-31</t>
        </is>
      </c>
      <c r="B2018" t="inlineStr">
        <is>
          <t>효성티앤씨</t>
        </is>
      </c>
      <c r="C2018" t="inlineStr">
        <is>
          <t>298020</t>
        </is>
      </c>
      <c r="D2018" t="inlineStr">
        <is>
          <t>연결</t>
        </is>
      </c>
      <c r="E2018" t="inlineStr">
        <is>
          <t>2025Q3</t>
        </is>
      </c>
      <c r="F2018" s="2" t="n">
        <v>2009801</v>
      </c>
      <c r="G2018" t="n">
        <v>6.4</v>
      </c>
      <c r="H2018" t="n">
        <v>3.8</v>
      </c>
      <c r="I2018" s="2" t="n">
        <v>56059</v>
      </c>
      <c r="J2018" t="n">
        <v>-23.5</v>
      </c>
      <c r="K2018" t="n">
        <v>-17.1</v>
      </c>
      <c r="L2018" s="2" t="n">
        <v>15661</v>
      </c>
      <c r="M2018" t="n">
        <v>-43.3</v>
      </c>
      <c r="N2018" t="inlineStr">
        <is>
          <t>20251031800779</t>
        </is>
      </c>
      <c r="O2018">
        <f>HYPERLINK("https://dart.fss.or.kr/dsaf001/main.do?rcpNo=20251031800779", "공시열람")</f>
        <v/>
      </c>
    </row>
    <row r="2019">
      <c r="A2019" t="inlineStr">
        <is>
          <t>2025-10-31</t>
        </is>
      </c>
      <c r="B2019" t="inlineStr">
        <is>
          <t>바이오니아</t>
        </is>
      </c>
      <c r="C2019" t="inlineStr">
        <is>
          <t>064550</t>
        </is>
      </c>
      <c r="D2019" t="inlineStr">
        <is>
          <t>연결</t>
        </is>
      </c>
      <c r="E2019" t="inlineStr">
        <is>
          <t>2025Q3</t>
        </is>
      </c>
      <c r="F2019" s="2" t="n">
        <v>88065</v>
      </c>
      <c r="G2019" t="n">
        <v>-0.25</v>
      </c>
      <c r="H2019" t="n">
        <v>33.67</v>
      </c>
      <c r="I2019" s="2" t="n">
        <v>2885</v>
      </c>
      <c r="J2019" t="n">
        <v>-45.54</v>
      </c>
      <c r="K2019" t="inlineStr"/>
      <c r="L2019" s="2" t="n">
        <v>63</v>
      </c>
      <c r="M2019" t="inlineStr"/>
      <c r="N2019" t="inlineStr">
        <is>
          <t>20251031900777</t>
        </is>
      </c>
      <c r="O2019">
        <f>HYPERLINK("https://dart.fss.or.kr/dsaf001/main.do?rcpNo=20251031900777", "공시열람")</f>
        <v/>
      </c>
    </row>
    <row r="2020">
      <c r="A2020" t="inlineStr">
        <is>
          <t>2025-10-31</t>
        </is>
      </c>
      <c r="B2020" t="inlineStr">
        <is>
          <t>골프존</t>
        </is>
      </c>
      <c r="C2020" t="inlineStr">
        <is>
          <t>215000</t>
        </is>
      </c>
      <c r="D2020" t="inlineStr">
        <is>
          <t>연결</t>
        </is>
      </c>
      <c r="E2020" t="inlineStr">
        <is>
          <t>2025Q3</t>
        </is>
      </c>
      <c r="F2020" s="2" t="n">
        <v>120849</v>
      </c>
      <c r="G2020" t="n">
        <v>-0.2</v>
      </c>
      <c r="H2020" t="n">
        <v>-17.3</v>
      </c>
      <c r="I2020" s="2" t="n">
        <v>15291</v>
      </c>
      <c r="J2020" t="n">
        <v>-22.7</v>
      </c>
      <c r="K2020" t="n">
        <v>-44.4</v>
      </c>
      <c r="L2020" s="2" t="inlineStr"/>
      <c r="M2020" t="inlineStr"/>
      <c r="N2020" t="inlineStr">
        <is>
          <t>20251031900856</t>
        </is>
      </c>
      <c r="O2020">
        <f>HYPERLINK("https://dart.fss.or.kr/dsaf001/main.do?rcpNo=20251031900856", "공시열람")</f>
        <v/>
      </c>
    </row>
    <row r="2021">
      <c r="A2021" t="inlineStr">
        <is>
          <t>2025-10-31</t>
        </is>
      </c>
      <c r="B2021" t="inlineStr">
        <is>
          <t>송원산업</t>
        </is>
      </c>
      <c r="C2021" t="inlineStr">
        <is>
          <t>004430</t>
        </is>
      </c>
      <c r="D2021" t="inlineStr">
        <is>
          <t>연결</t>
        </is>
      </c>
      <c r="E2021" t="inlineStr">
        <is>
          <t>2025Q3</t>
        </is>
      </c>
      <c r="F2021" s="2" t="n">
        <v>258616</v>
      </c>
      <c r="G2021" t="n">
        <v>-2.6</v>
      </c>
      <c r="H2021" t="n">
        <v>-9.5</v>
      </c>
      <c r="I2021" s="2" t="n">
        <v>5391</v>
      </c>
      <c r="J2021" t="n">
        <v>-37.3</v>
      </c>
      <c r="K2021" t="n">
        <v>-75.7</v>
      </c>
      <c r="L2021" s="2" t="n">
        <v>1697</v>
      </c>
      <c r="M2021" t="n">
        <v>-85.2</v>
      </c>
      <c r="N2021" t="inlineStr">
        <is>
          <t>20251031800381</t>
        </is>
      </c>
      <c r="O2021">
        <f>HYPERLINK("https://dart.fss.or.kr/dsaf001/main.do?rcpNo=20251031800381", "공시열람")</f>
        <v/>
      </c>
    </row>
    <row r="2022">
      <c r="A2022" t="inlineStr">
        <is>
          <t>2025-10-31</t>
        </is>
      </c>
      <c r="B2022" t="inlineStr">
        <is>
          <t>현대오토에버</t>
        </is>
      </c>
      <c r="C2022" t="inlineStr">
        <is>
          <t>307950</t>
        </is>
      </c>
      <c r="D2022" t="inlineStr">
        <is>
          <t>연결</t>
        </is>
      </c>
      <c r="E2022" t="inlineStr">
        <is>
          <t>2025Q3</t>
        </is>
      </c>
      <c r="F2022" s="2" t="n">
        <v>1054258</v>
      </c>
      <c r="G2022" t="n">
        <v>1.2</v>
      </c>
      <c r="H2022" t="n">
        <v>16.5</v>
      </c>
      <c r="I2022" s="2" t="n">
        <v>70755</v>
      </c>
      <c r="J2022" t="n">
        <v>-13</v>
      </c>
      <c r="K2022" t="n">
        <v>34.8</v>
      </c>
      <c r="L2022" s="2" t="n">
        <v>52786</v>
      </c>
      <c r="M2022" t="n">
        <v>18.1</v>
      </c>
      <c r="N2022" t="inlineStr">
        <is>
          <t>20251031800368</t>
        </is>
      </c>
      <c r="O2022">
        <f>HYPERLINK("https://dart.fss.or.kr/dsaf001/main.do?rcpNo=20251031800368", "공시열람")</f>
        <v/>
      </c>
    </row>
    <row r="2023">
      <c r="A2023" t="inlineStr">
        <is>
          <t>2025-10-31</t>
        </is>
      </c>
      <c r="B2023" t="inlineStr">
        <is>
          <t>LG전자</t>
        </is>
      </c>
      <c r="C2023" t="inlineStr">
        <is>
          <t>066570</t>
        </is>
      </c>
      <c r="D2023" t="inlineStr">
        <is>
          <t>연결</t>
        </is>
      </c>
      <c r="E2023" t="inlineStr">
        <is>
          <t>2025Q3</t>
        </is>
      </c>
      <c r="F2023" s="2" t="n">
        <v>21873700</v>
      </c>
      <c r="G2023" t="n">
        <v>5.5</v>
      </c>
      <c r="H2023" t="n">
        <v>-1.4</v>
      </c>
      <c r="I2023" s="2" t="n">
        <v>688900</v>
      </c>
      <c r="J2023" t="n">
        <v>7.7</v>
      </c>
      <c r="K2023" t="n">
        <v>-8.4</v>
      </c>
      <c r="L2023" s="2" t="n">
        <v>461000</v>
      </c>
      <c r="M2023" t="n">
        <v>411.1</v>
      </c>
      <c r="N2023" t="inlineStr">
        <is>
          <t>20251031800296</t>
        </is>
      </c>
      <c r="O2023">
        <f>HYPERLINK("https://dart.fss.or.kr/dsaf001/main.do?rcpNo=20251031800296", "공시열람")</f>
        <v/>
      </c>
    </row>
    <row r="2024">
      <c r="A2024" t="inlineStr">
        <is>
          <t>2025-10-31</t>
        </is>
      </c>
      <c r="B2024" t="inlineStr">
        <is>
          <t>환인제약</t>
        </is>
      </c>
      <c r="C2024" t="inlineStr">
        <is>
          <t>016580</t>
        </is>
      </c>
      <c r="D2024" t="inlineStr">
        <is>
          <t>연결</t>
        </is>
      </c>
      <c r="E2024" t="inlineStr">
        <is>
          <t>2025Q3</t>
        </is>
      </c>
      <c r="F2024" s="2" t="n">
        <v>65736</v>
      </c>
      <c r="G2024" t="n">
        <v>2.5</v>
      </c>
      <c r="H2024" t="n">
        <v>-3.5</v>
      </c>
      <c r="I2024" s="2" t="n">
        <v>3555</v>
      </c>
      <c r="J2024" t="n">
        <v>31.6</v>
      </c>
      <c r="K2024" t="n">
        <v>-32.8</v>
      </c>
      <c r="L2024" s="2" t="n">
        <v>3276</v>
      </c>
      <c r="M2024" t="n">
        <v>-27.5</v>
      </c>
      <c r="N2024" t="inlineStr">
        <is>
          <t>20251031800136</t>
        </is>
      </c>
      <c r="O2024">
        <f>HYPERLINK("https://dart.fss.or.kr/dsaf001/main.do?rcpNo=20251031800136", "공시열람")</f>
        <v/>
      </c>
    </row>
    <row r="2025">
      <c r="A2025" t="inlineStr">
        <is>
          <t>2025-10-31</t>
        </is>
      </c>
      <c r="B2025" t="inlineStr">
        <is>
          <t>현대모비스</t>
        </is>
      </c>
      <c r="C2025" t="inlineStr">
        <is>
          <t>012330</t>
        </is>
      </c>
      <c r="D2025" t="inlineStr">
        <is>
          <t>연결</t>
        </is>
      </c>
      <c r="E2025" t="inlineStr">
        <is>
          <t>2025Q3</t>
        </is>
      </c>
      <c r="F2025" s="2" t="n">
        <v>15031932</v>
      </c>
      <c r="G2025" t="n">
        <v>-5.67</v>
      </c>
      <c r="H2025" t="n">
        <v>7.36</v>
      </c>
      <c r="I2025" s="2" t="n">
        <v>780299</v>
      </c>
      <c r="J2025" t="n">
        <v>-10.31</v>
      </c>
      <c r="K2025" t="n">
        <v>-14.12</v>
      </c>
      <c r="L2025" s="2" t="n">
        <v>930500</v>
      </c>
      <c r="M2025" t="n">
        <v>1.01</v>
      </c>
      <c r="N2025" t="inlineStr">
        <is>
          <t>20251031800088</t>
        </is>
      </c>
      <c r="O2025">
        <f>HYPERLINK("https://dart.fss.or.kr/dsaf001/main.do?rcpNo=20251031800088", "공시열람")</f>
        <v/>
      </c>
    </row>
    <row r="2026">
      <c r="A2026" t="inlineStr">
        <is>
          <t>2025-10-31</t>
        </is>
      </c>
      <c r="B2026" t="inlineStr">
        <is>
          <t>대우건설</t>
        </is>
      </c>
      <c r="C2026" t="inlineStr">
        <is>
          <t>047040</t>
        </is>
      </c>
      <c r="D2026" t="inlineStr">
        <is>
          <t>연결</t>
        </is>
      </c>
      <c r="E2026" t="inlineStr">
        <is>
          <t>2025Q3</t>
        </is>
      </c>
      <c r="F2026" s="2" t="n">
        <v>1990600</v>
      </c>
      <c r="G2026" t="n">
        <v>-12.4</v>
      </c>
      <c r="H2026" t="n">
        <v>-21.9</v>
      </c>
      <c r="I2026" s="2" t="n">
        <v>56600</v>
      </c>
      <c r="J2026" t="n">
        <v>-31.1</v>
      </c>
      <c r="K2026" t="n">
        <v>-9.1</v>
      </c>
      <c r="L2026" s="2" t="n">
        <v>-52900</v>
      </c>
      <c r="M2026" t="n">
        <v>-231.3</v>
      </c>
      <c r="N2026" t="inlineStr">
        <is>
          <t>20251031800051</t>
        </is>
      </c>
      <c r="O2026">
        <f>HYPERLINK("https://dart.fss.or.kr/dsaf001/main.do?rcpNo=20251031800051", "공시열람")</f>
        <v/>
      </c>
    </row>
    <row r="2027">
      <c r="A2027" t="inlineStr">
        <is>
          <t>2025-10-31</t>
        </is>
      </c>
      <c r="B2027" t="inlineStr">
        <is>
          <t>롯데하이마트</t>
        </is>
      </c>
      <c r="C2027" t="inlineStr">
        <is>
          <t>071840</t>
        </is>
      </c>
      <c r="D2027" t="inlineStr">
        <is>
          <t>별도</t>
        </is>
      </c>
      <c r="E2027" t="inlineStr">
        <is>
          <t>2025Q3</t>
        </is>
      </c>
      <c r="F2027" s="2" t="n">
        <v>652473</v>
      </c>
      <c r="G2027" t="n">
        <v>9.800000000000001</v>
      </c>
      <c r="H2027" t="n">
        <v>-4.9</v>
      </c>
      <c r="I2027" s="2" t="n">
        <v>18952</v>
      </c>
      <c r="J2027" t="n">
        <v>80.59999999999999</v>
      </c>
      <c r="K2027" t="n">
        <v>-39.3</v>
      </c>
      <c r="L2027" s="2" t="n">
        <v>14158</v>
      </c>
      <c r="M2027" t="n">
        <v>-47.1</v>
      </c>
      <c r="N2027" t="inlineStr">
        <is>
          <t>20251031800053</t>
        </is>
      </c>
      <c r="O2027">
        <f>HYPERLINK("https://dart.fss.or.kr/dsaf001/main.do?rcpNo=20251031800053", "공시열람")</f>
        <v/>
      </c>
    </row>
    <row r="2028">
      <c r="A2028" t="inlineStr">
        <is>
          <t>2025-10-31</t>
        </is>
      </c>
      <c r="B2028" t="inlineStr">
        <is>
          <t>SK이노베이션</t>
        </is>
      </c>
      <c r="C2028" t="inlineStr">
        <is>
          <t>096770</t>
        </is>
      </c>
      <c r="D2028" t="inlineStr">
        <is>
          <t>연결</t>
        </is>
      </c>
      <c r="E2028" t="inlineStr">
        <is>
          <t>2025Q3</t>
        </is>
      </c>
      <c r="F2028" s="2" t="n">
        <v>20533220</v>
      </c>
      <c r="G2028" t="n">
        <v>6.4</v>
      </c>
      <c r="H2028" t="n">
        <v>16.3</v>
      </c>
      <c r="I2028" s="2" t="n">
        <v>573475</v>
      </c>
      <c r="J2028" t="n">
        <v>237.3</v>
      </c>
      <c r="K2028" t="n">
        <v>235.5</v>
      </c>
      <c r="L2028" s="2" t="n">
        <v>-94295</v>
      </c>
      <c r="M2028" t="n">
        <v>84</v>
      </c>
      <c r="N2028" t="inlineStr">
        <is>
          <t>20251031800036</t>
        </is>
      </c>
      <c r="O2028">
        <f>HYPERLINK("https://dart.fss.or.kr/dsaf001/main.do?rcpNo=20251031800036", "공시열람")</f>
        <v/>
      </c>
    </row>
    <row r="2029">
      <c r="A2029" t="inlineStr">
        <is>
          <t>2025-10-31</t>
        </is>
      </c>
      <c r="B2029" t="inlineStr">
        <is>
          <t>대우건설</t>
        </is>
      </c>
      <c r="C2029" t="inlineStr">
        <is>
          <t>047040</t>
        </is>
      </c>
      <c r="D2029" t="inlineStr">
        <is>
          <t>연결</t>
        </is>
      </c>
      <c r="E2029" t="inlineStr">
        <is>
          <t>2025Q3</t>
        </is>
      </c>
      <c r="F2029" s="2" t="n">
        <v>19906</v>
      </c>
      <c r="G2029" t="n">
        <v>-12.4</v>
      </c>
      <c r="H2029" t="n">
        <v>-21.9</v>
      </c>
      <c r="I2029" s="2" t="n">
        <v>566</v>
      </c>
      <c r="J2029" t="n">
        <v>-31.1</v>
      </c>
      <c r="K2029" t="n">
        <v>-9.1</v>
      </c>
      <c r="L2029" s="2" t="n">
        <v>-529</v>
      </c>
      <c r="M2029" t="n">
        <v>-231.3</v>
      </c>
      <c r="N2029" t="inlineStr">
        <is>
          <t>20251031800032</t>
        </is>
      </c>
      <c r="O2029">
        <f>HYPERLINK("https://dart.fss.or.kr/dsaf001/main.do?rcpNo=20251031800032", "공시열람")</f>
        <v/>
      </c>
    </row>
    <row r="2030">
      <c r="A2030" t="inlineStr">
        <is>
          <t>2025-10-31</t>
        </is>
      </c>
      <c r="B2030" t="inlineStr">
        <is>
          <t>SOOP</t>
        </is>
      </c>
      <c r="C2030" t="inlineStr">
        <is>
          <t>067160</t>
        </is>
      </c>
      <c r="D2030" t="inlineStr">
        <is>
          <t>연결</t>
        </is>
      </c>
      <c r="E2030" t="inlineStr">
        <is>
          <t>2025Q3</t>
        </is>
      </c>
      <c r="F2030" s="2" t="n">
        <v>127437</v>
      </c>
      <c r="G2030" t="n">
        <v>9</v>
      </c>
      <c r="H2030" t="n">
        <v>20.7</v>
      </c>
      <c r="I2030" s="2" t="n">
        <v>31183</v>
      </c>
      <c r="J2030" t="n">
        <v>3.9</v>
      </c>
      <c r="K2030" t="n">
        <v>30.6</v>
      </c>
      <c r="L2030" s="2" t="n">
        <v>25490</v>
      </c>
      <c r="M2030" t="n">
        <v>6.1</v>
      </c>
      <c r="N2030" t="inlineStr">
        <is>
          <t>20251031900026</t>
        </is>
      </c>
      <c r="O2030">
        <f>HYPERLINK("https://dart.fss.or.kr/dsaf001/main.do?rcpNo=20251031900026", "공시열람")</f>
        <v/>
      </c>
    </row>
    <row r="2031">
      <c r="A2031" t="inlineStr">
        <is>
          <t>2025-10-31</t>
        </is>
      </c>
      <c r="B2031" t="inlineStr">
        <is>
          <t>한화시스템</t>
        </is>
      </c>
      <c r="C2031" t="inlineStr">
        <is>
          <t>272210</t>
        </is>
      </c>
      <c r="D2031" t="inlineStr">
        <is>
          <t>연결</t>
        </is>
      </c>
      <c r="E2031" t="inlineStr">
        <is>
          <t>2025Q3</t>
        </is>
      </c>
      <c r="F2031" s="2" t="n">
        <v>807737</v>
      </c>
      <c r="G2031" t="n">
        <v>5.15</v>
      </c>
      <c r="H2031" t="n">
        <v>26.41</v>
      </c>
      <c r="I2031" s="2" t="n">
        <v>22521</v>
      </c>
      <c r="J2031" t="n">
        <v>-32.68</v>
      </c>
      <c r="K2031" t="n">
        <v>-62.67</v>
      </c>
      <c r="L2031" s="2" t="n">
        <v>151796</v>
      </c>
      <c r="M2031" t="n">
        <v>1763.77</v>
      </c>
      <c r="N2031" t="inlineStr">
        <is>
          <t>20251031800160</t>
        </is>
      </c>
      <c r="O2031">
        <f>HYPERLINK("https://dart.fss.or.kr/dsaf001/main.do?rcpNo=20251031800160", "공시열람")</f>
        <v/>
      </c>
    </row>
    <row r="2032">
      <c r="A2032" t="inlineStr">
        <is>
          <t>2025-10-31</t>
        </is>
      </c>
      <c r="B2032" t="inlineStr">
        <is>
          <t>동국제강</t>
        </is>
      </c>
      <c r="C2032" t="inlineStr">
        <is>
          <t>460860</t>
        </is>
      </c>
      <c r="D2032" t="inlineStr">
        <is>
          <t>별도</t>
        </is>
      </c>
      <c r="E2032" t="inlineStr">
        <is>
          <t>2025Q3</t>
        </is>
      </c>
      <c r="F2032" s="2" t="n">
        <v>769215</v>
      </c>
      <c r="G2032" t="n">
        <v>-13.93</v>
      </c>
      <c r="H2032" t="n">
        <v>-8.27</v>
      </c>
      <c r="I2032" s="2" t="n">
        <v>24492</v>
      </c>
      <c r="J2032" t="n">
        <v>-18.13</v>
      </c>
      <c r="K2032" t="n">
        <v>13.97</v>
      </c>
      <c r="L2032" s="2" t="n">
        <v>10060</v>
      </c>
      <c r="M2032" t="n">
        <v>5.81</v>
      </c>
      <c r="N2032" t="inlineStr">
        <is>
          <t>20251031800220</t>
        </is>
      </c>
      <c r="O2032">
        <f>HYPERLINK("https://dart.fss.or.kr/dsaf001/main.do?rcpNo=20251031800220", "공시열람")</f>
        <v/>
      </c>
    </row>
    <row r="2033">
      <c r="A2033" t="inlineStr">
        <is>
          <t>2025-10-31</t>
        </is>
      </c>
      <c r="B2033" t="inlineStr">
        <is>
          <t>풍산</t>
        </is>
      </c>
      <c r="C2033" t="inlineStr">
        <is>
          <t>103140</t>
        </is>
      </c>
      <c r="D2033" t="inlineStr">
        <is>
          <t>별도</t>
        </is>
      </c>
      <c r="E2033" t="inlineStr">
        <is>
          <t>2025Q3</t>
        </is>
      </c>
      <c r="F2033" s="2" t="n">
        <v>871378</v>
      </c>
      <c r="G2033" t="n">
        <v>-14.1</v>
      </c>
      <c r="H2033" t="n">
        <v>5</v>
      </c>
      <c r="I2033" s="2" t="n">
        <v>42388</v>
      </c>
      <c r="J2033" t="n">
        <v>-51.8</v>
      </c>
      <c r="K2033" t="n">
        <v>-40</v>
      </c>
      <c r="L2033" s="2" t="n">
        <v>32578</v>
      </c>
      <c r="M2033" t="n">
        <v>-31.6</v>
      </c>
      <c r="N2033" t="inlineStr">
        <is>
          <t>20251031800223</t>
        </is>
      </c>
      <c r="O2033">
        <f>HYPERLINK("https://dart.fss.or.kr/dsaf001/main.do?rcpNo=20251031800223", "공시열람")</f>
        <v/>
      </c>
    </row>
    <row r="2034">
      <c r="A2034" t="inlineStr">
        <is>
          <t>2025-10-31</t>
        </is>
      </c>
      <c r="B2034" t="inlineStr">
        <is>
          <t>풍산홀딩스</t>
        </is>
      </c>
      <c r="C2034" t="inlineStr">
        <is>
          <t>005810</t>
        </is>
      </c>
      <c r="D2034" t="inlineStr">
        <is>
          <t>별도</t>
        </is>
      </c>
      <c r="E2034" t="inlineStr">
        <is>
          <t>2025Q3</t>
        </is>
      </c>
      <c r="F2034" s="2" t="n">
        <v>37186</v>
      </c>
      <c r="G2034" t="n">
        <v>-24.2</v>
      </c>
      <c r="H2034" t="n">
        <v>-1.5</v>
      </c>
      <c r="I2034" s="2" t="n">
        <v>4535</v>
      </c>
      <c r="J2034" t="n">
        <v>-26.2</v>
      </c>
      <c r="K2034" t="n">
        <v>19.3</v>
      </c>
      <c r="L2034" s="2" t="n">
        <v>3422</v>
      </c>
      <c r="M2034" t="n">
        <v>16.6</v>
      </c>
      <c r="N2034" t="inlineStr">
        <is>
          <t>20251031800230</t>
        </is>
      </c>
      <c r="O2034">
        <f>HYPERLINK("https://dart.fss.or.kr/dsaf001/main.do?rcpNo=20251031800230", "공시열람")</f>
        <v/>
      </c>
    </row>
    <row r="2035">
      <c r="A2035" t="inlineStr">
        <is>
          <t>2025-10-31</t>
        </is>
      </c>
      <c r="B2035" t="inlineStr">
        <is>
          <t>풍산홀딩스</t>
        </is>
      </c>
      <c r="C2035" t="inlineStr">
        <is>
          <t>005810</t>
        </is>
      </c>
      <c r="D2035" t="inlineStr">
        <is>
          <t>연결</t>
        </is>
      </c>
      <c r="E2035" t="inlineStr">
        <is>
          <t>2025Q3</t>
        </is>
      </c>
      <c r="F2035" s="2" t="n">
        <v>102844</v>
      </c>
      <c r="G2035" t="n">
        <v>-16.4</v>
      </c>
      <c r="H2035" t="n">
        <v>-6.1</v>
      </c>
      <c r="I2035" s="2" t="n">
        <v>17677</v>
      </c>
      <c r="J2035" t="n">
        <v>-40.4</v>
      </c>
      <c r="K2035" t="n">
        <v>-26</v>
      </c>
      <c r="L2035" s="2" t="n">
        <v>16358</v>
      </c>
      <c r="M2035" t="n">
        <v>-24.9</v>
      </c>
      <c r="N2035" t="inlineStr">
        <is>
          <t>20251031800234</t>
        </is>
      </c>
      <c r="O2035">
        <f>HYPERLINK("https://dart.fss.or.kr/dsaf001/main.do?rcpNo=20251031800234", "공시열람")</f>
        <v/>
      </c>
    </row>
    <row r="2036">
      <c r="A2036" t="inlineStr">
        <is>
          <t>2025-10-31</t>
        </is>
      </c>
      <c r="B2036" t="inlineStr">
        <is>
          <t>동국씨엠</t>
        </is>
      </c>
      <c r="C2036" t="inlineStr">
        <is>
          <t>460850</t>
        </is>
      </c>
      <c r="D2036" t="inlineStr">
        <is>
          <t>별도</t>
        </is>
      </c>
      <c r="E2036" t="inlineStr">
        <is>
          <t>2025Q3</t>
        </is>
      </c>
      <c r="F2036" s="2" t="n">
        <v>485106</v>
      </c>
      <c r="G2036" t="n">
        <v>-3.33</v>
      </c>
      <c r="H2036" t="n">
        <v>-9.890000000000001</v>
      </c>
      <c r="I2036" s="2" t="n">
        <v>-5182</v>
      </c>
      <c r="J2036" t="n">
        <v>65.41</v>
      </c>
      <c r="K2036" t="inlineStr"/>
      <c r="L2036" s="2" t="n">
        <v>-2313</v>
      </c>
      <c r="M2036" t="inlineStr"/>
      <c r="N2036" t="inlineStr">
        <is>
          <t>20251031800246</t>
        </is>
      </c>
      <c r="O2036">
        <f>HYPERLINK("https://dart.fss.or.kr/dsaf001/main.do?rcpNo=20251031800246", "공시열람")</f>
        <v/>
      </c>
    </row>
    <row r="2037">
      <c r="A2037" t="inlineStr">
        <is>
          <t>2025-10-31</t>
        </is>
      </c>
      <c r="B2037" t="inlineStr">
        <is>
          <t>인지소프트</t>
        </is>
      </c>
      <c r="C2037" t="inlineStr">
        <is>
          <t>100030</t>
        </is>
      </c>
      <c r="D2037" t="inlineStr">
        <is>
          <t>연결</t>
        </is>
      </c>
      <c r="E2037" t="inlineStr">
        <is>
          <t>2025Q3</t>
        </is>
      </c>
      <c r="F2037" s="2" t="n">
        <v>3662</v>
      </c>
      <c r="G2037" t="n">
        <v>-29.9</v>
      </c>
      <c r="H2037" t="n">
        <v>-22.4</v>
      </c>
      <c r="I2037" s="2" t="n">
        <v>188</v>
      </c>
      <c r="J2037" t="n">
        <v>-71.7</v>
      </c>
      <c r="K2037" t="n">
        <v>-80.3</v>
      </c>
      <c r="L2037" s="2" t="n">
        <v>4853</v>
      </c>
      <c r="M2037" t="n">
        <v>366.3</v>
      </c>
      <c r="N2037" t="inlineStr">
        <is>
          <t>20251031900248</t>
        </is>
      </c>
      <c r="O2037">
        <f>HYPERLINK("https://dart.fss.or.kr/dsaf001/main.do?rcpNo=20251031900248", "공시열람")</f>
        <v/>
      </c>
    </row>
    <row r="2038">
      <c r="A2038" t="inlineStr">
        <is>
          <t>2025-10-31</t>
        </is>
      </c>
      <c r="B2038" t="inlineStr">
        <is>
          <t>현대건설</t>
        </is>
      </c>
      <c r="C2038" t="inlineStr">
        <is>
          <t>000720</t>
        </is>
      </c>
      <c r="D2038" t="inlineStr">
        <is>
          <t>연결</t>
        </is>
      </c>
      <c r="E2038" t="inlineStr">
        <is>
          <t>2025Q3</t>
        </is>
      </c>
      <c r="F2038" s="2" t="n">
        <v>7826500</v>
      </c>
      <c r="G2038" t="n">
        <v>1.4</v>
      </c>
      <c r="H2038" t="n">
        <v>-5.2</v>
      </c>
      <c r="I2038" s="2" t="n">
        <v>103500</v>
      </c>
      <c r="J2038" t="n">
        <v>-52.3</v>
      </c>
      <c r="K2038" t="n">
        <v>-9.4</v>
      </c>
      <c r="L2038" s="2" t="n">
        <v>67800</v>
      </c>
      <c r="M2038" t="n">
        <v>69.09999999999999</v>
      </c>
      <c r="N2038" t="inlineStr">
        <is>
          <t>20251031800229</t>
        </is>
      </c>
      <c r="O2038">
        <f>HYPERLINK("https://dart.fss.or.kr/dsaf001/main.do?rcpNo=20251031800229", "공시열람")</f>
        <v/>
      </c>
    </row>
    <row r="2039">
      <c r="A2039" t="inlineStr">
        <is>
          <t>2025-10-31</t>
        </is>
      </c>
      <c r="B2039" t="inlineStr">
        <is>
          <t>SK아이이테크놀로지</t>
        </is>
      </c>
      <c r="C2039" t="inlineStr">
        <is>
          <t>361610</t>
        </is>
      </c>
      <c r="D2039" t="inlineStr">
        <is>
          <t>연결</t>
        </is>
      </c>
      <c r="E2039" t="inlineStr">
        <is>
          <t>2025Q3</t>
        </is>
      </c>
      <c r="F2039" s="2" t="n">
        <v>79087</v>
      </c>
      <c r="G2039" t="n">
        <v>-4.4</v>
      </c>
      <c r="H2039" t="n">
        <v>55.8</v>
      </c>
      <c r="I2039" s="2" t="n">
        <v>-47224</v>
      </c>
      <c r="J2039" t="n">
        <v>12.09</v>
      </c>
      <c r="K2039" t="n">
        <v>35.31</v>
      </c>
      <c r="L2039" s="2" t="n">
        <v>-40051</v>
      </c>
      <c r="M2039" t="n">
        <v>-11.1</v>
      </c>
      <c r="N2039" t="inlineStr">
        <is>
          <t>20251031800263</t>
        </is>
      </c>
      <c r="O2039">
        <f>HYPERLINK("https://dart.fss.or.kr/dsaf001/main.do?rcpNo=20251031800263", "공시열람")</f>
        <v/>
      </c>
    </row>
    <row r="2040">
      <c r="A2040" t="inlineStr">
        <is>
          <t>2025-10-31</t>
        </is>
      </c>
      <c r="B2040" t="inlineStr">
        <is>
          <t>효성화학</t>
        </is>
      </c>
      <c r="C2040" t="inlineStr">
        <is>
          <t>298000</t>
        </is>
      </c>
      <c r="D2040" t="inlineStr">
        <is>
          <t>연결</t>
        </is>
      </c>
      <c r="E2040" t="inlineStr">
        <is>
          <t>2025Q3</t>
        </is>
      </c>
      <c r="F2040" s="2" t="n">
        <v>580304</v>
      </c>
      <c r="G2040" t="n">
        <v>-5.94</v>
      </c>
      <c r="H2040" t="n">
        <v>-7.72</v>
      </c>
      <c r="I2040" s="2" t="n">
        <v>-26062</v>
      </c>
      <c r="J2040" t="n">
        <v>-189.77</v>
      </c>
      <c r="K2040" t="n">
        <v>14.26</v>
      </c>
      <c r="L2040" s="2" t="n">
        <v>-40563</v>
      </c>
      <c r="M2040" t="n">
        <v>33.72</v>
      </c>
      <c r="N2040" t="inlineStr">
        <is>
          <t>20251031800894</t>
        </is>
      </c>
      <c r="O2040">
        <f>HYPERLINK("https://dart.fss.or.kr/dsaf001/main.do?rcpNo=20251031800894", "공시열람")</f>
        <v/>
      </c>
    </row>
    <row r="2041">
      <c r="A2041" t="inlineStr">
        <is>
          <t>2025-10-31</t>
        </is>
      </c>
      <c r="B2041" t="inlineStr">
        <is>
          <t>제일기획</t>
        </is>
      </c>
      <c r="C2041" t="inlineStr">
        <is>
          <t>030000</t>
        </is>
      </c>
      <c r="D2041" t="inlineStr">
        <is>
          <t>연결</t>
        </is>
      </c>
      <c r="E2041" t="inlineStr">
        <is>
          <t>2025Q3</t>
        </is>
      </c>
      <c r="F2041" s="2" t="n">
        <v>1188923</v>
      </c>
      <c r="G2041" t="n">
        <v>6.26</v>
      </c>
      <c r="H2041" t="n">
        <v>10.85</v>
      </c>
      <c r="I2041" s="2" t="n">
        <v>95889</v>
      </c>
      <c r="J2041" t="n">
        <v>4.09</v>
      </c>
      <c r="K2041" t="n">
        <v>0.33</v>
      </c>
      <c r="L2041" s="2" t="n">
        <v>64901</v>
      </c>
      <c r="M2041" t="n">
        <v>6.78</v>
      </c>
      <c r="N2041" t="inlineStr">
        <is>
          <t>20251031800115</t>
        </is>
      </c>
      <c r="O2041">
        <f>HYPERLINK("https://dart.fss.or.kr/dsaf001/main.do?rcpNo=20251031800115", "공시열람")</f>
        <v/>
      </c>
    </row>
    <row r="2042">
      <c r="A2042" t="inlineStr">
        <is>
          <t>2025-10-31</t>
        </is>
      </c>
      <c r="B2042" t="inlineStr">
        <is>
          <t>한미반도체</t>
        </is>
      </c>
      <c r="C2042" t="inlineStr">
        <is>
          <t>042700</t>
        </is>
      </c>
      <c r="D2042" t="inlineStr">
        <is>
          <t>연결</t>
        </is>
      </c>
      <c r="E2042" t="inlineStr">
        <is>
          <t>2025Q3</t>
        </is>
      </c>
      <c r="F2042" s="2" t="n">
        <v>166231</v>
      </c>
      <c r="G2042" t="n">
        <v>-7.7</v>
      </c>
      <c r="H2042" t="n">
        <v>-20.3</v>
      </c>
      <c r="I2042" s="2" t="n">
        <v>67822</v>
      </c>
      <c r="J2042" t="n">
        <v>-21.4</v>
      </c>
      <c r="K2042" t="n">
        <v>-31.7</v>
      </c>
      <c r="L2042" s="2" t="inlineStr"/>
      <c r="M2042" t="inlineStr"/>
      <c r="N2042" t="inlineStr">
        <is>
          <t>20251031800898</t>
        </is>
      </c>
      <c r="O2042">
        <f>HYPERLINK("https://dart.fss.or.kr/dsaf001/main.do?rcpNo=20251031800898", "공시열람")</f>
        <v/>
      </c>
    </row>
    <row r="2043">
      <c r="A2043" t="inlineStr">
        <is>
          <t>2025-10-31</t>
        </is>
      </c>
      <c r="B2043" t="inlineStr">
        <is>
          <t>명인제약</t>
        </is>
      </c>
      <c r="C2043" t="inlineStr">
        <is>
          <t>317450</t>
        </is>
      </c>
      <c r="D2043" t="inlineStr">
        <is>
          <t>별도</t>
        </is>
      </c>
      <c r="E2043" t="inlineStr">
        <is>
          <t>2025Q3</t>
        </is>
      </c>
      <c r="F2043" s="2" t="n">
        <v>72725</v>
      </c>
      <c r="G2043" t="n">
        <v>0.7</v>
      </c>
      <c r="H2043" t="n">
        <v>3.8</v>
      </c>
      <c r="I2043" s="2" t="n">
        <v>21298</v>
      </c>
      <c r="J2043" t="n">
        <v>-13.2</v>
      </c>
      <c r="K2043" t="n">
        <v>-5.6</v>
      </c>
      <c r="L2043" s="2" t="n">
        <v>18028</v>
      </c>
      <c r="M2043" t="n">
        <v>-23.7</v>
      </c>
      <c r="N2043" t="inlineStr">
        <is>
          <t>20251031800931</t>
        </is>
      </c>
      <c r="O2043">
        <f>HYPERLINK("https://dart.fss.or.kr/dsaf001/main.do?rcpNo=20251031800931", "공시열람")</f>
        <v/>
      </c>
    </row>
    <row r="2044">
      <c r="A2044" t="inlineStr">
        <is>
          <t>2025-10-31</t>
        </is>
      </c>
      <c r="B2044" t="inlineStr">
        <is>
          <t>현대비앤지스틸</t>
        </is>
      </c>
      <c r="C2044" t="inlineStr">
        <is>
          <t>004560</t>
        </is>
      </c>
      <c r="D2044" t="inlineStr">
        <is>
          <t>연결</t>
        </is>
      </c>
      <c r="E2044" t="inlineStr">
        <is>
          <t>2025Q3</t>
        </is>
      </c>
      <c r="F2044" s="2" t="n">
        <v>193111</v>
      </c>
      <c r="G2044" t="n">
        <v>2.4</v>
      </c>
      <c r="H2044" t="n">
        <v>2.5</v>
      </c>
      <c r="I2044" s="2" t="n">
        <v>7792</v>
      </c>
      <c r="J2044" t="n">
        <v>-20.5</v>
      </c>
      <c r="K2044" t="n">
        <v>14.4</v>
      </c>
      <c r="L2044" s="2" t="n">
        <v>4050</v>
      </c>
      <c r="M2044" t="n">
        <v>3.6</v>
      </c>
      <c r="N2044" t="inlineStr">
        <is>
          <t>20251031800911</t>
        </is>
      </c>
      <c r="O2044">
        <f>HYPERLINK("https://dart.fss.or.kr/dsaf001/main.do?rcpNo=20251031800911", "공시열람")</f>
        <v/>
      </c>
    </row>
    <row r="2045">
      <c r="A2045" t="inlineStr">
        <is>
          <t>2025-10-30</t>
        </is>
      </c>
      <c r="B2045" t="inlineStr">
        <is>
          <t>BNK금융지주</t>
        </is>
      </c>
      <c r="C2045" t="inlineStr">
        <is>
          <t>138930</t>
        </is>
      </c>
      <c r="D2045" t="inlineStr">
        <is>
          <t>연결</t>
        </is>
      </c>
      <c r="E2045" t="inlineStr">
        <is>
          <t>2025Q3</t>
        </is>
      </c>
      <c r="F2045" s="2" t="n">
        <v>591334</v>
      </c>
      <c r="G2045" t="n">
        <v>-14.81</v>
      </c>
      <c r="H2045" t="n">
        <v>-5.67</v>
      </c>
      <c r="I2045" s="2" t="n">
        <v>114544</v>
      </c>
      <c r="J2045" t="n">
        <v>12.72</v>
      </c>
      <c r="K2045" t="n">
        <v>20.54</v>
      </c>
      <c r="L2045" s="2" t="n">
        <v>90975</v>
      </c>
      <c r="M2045" t="n">
        <v>5.2</v>
      </c>
      <c r="N2045" t="inlineStr">
        <is>
          <t>20251030800657</t>
        </is>
      </c>
      <c r="O2045">
        <f>HYPERLINK("https://dart.fss.or.kr/dsaf001/main.do?rcpNo=20251030800657", "공시열람")</f>
        <v/>
      </c>
    </row>
    <row r="2046">
      <c r="A2046" t="inlineStr">
        <is>
          <t>2025-10-30</t>
        </is>
      </c>
      <c r="B2046" t="inlineStr">
        <is>
          <t>폰드그룹</t>
        </is>
      </c>
      <c r="C2046" t="inlineStr">
        <is>
          <t>472850</t>
        </is>
      </c>
      <c r="D2046" t="inlineStr">
        <is>
          <t>연결</t>
        </is>
      </c>
      <c r="E2046" t="inlineStr">
        <is>
          <t>2025Q3</t>
        </is>
      </c>
      <c r="F2046" s="2" t="n">
        <v>90777</v>
      </c>
      <c r="G2046" t="inlineStr"/>
      <c r="H2046" t="n">
        <v>25.1</v>
      </c>
      <c r="I2046" s="2" t="n">
        <v>7050</v>
      </c>
      <c r="J2046" t="inlineStr"/>
      <c r="K2046" t="n">
        <v>31.8</v>
      </c>
      <c r="L2046" s="2" t="n">
        <v>5653</v>
      </c>
      <c r="M2046" t="n">
        <v>225.6</v>
      </c>
      <c r="N2046" t="inlineStr">
        <is>
          <t>20251030900090</t>
        </is>
      </c>
      <c r="O2046">
        <f>HYPERLINK("https://dart.fss.or.kr/dsaf001/main.do?rcpNo=20251030900090", "공시열람")</f>
        <v/>
      </c>
    </row>
    <row r="2047">
      <c r="A2047" t="inlineStr">
        <is>
          <t>2025-10-30</t>
        </is>
      </c>
      <c r="B2047" t="inlineStr">
        <is>
          <t>BNK금융지주</t>
        </is>
      </c>
      <c r="C2047" t="inlineStr">
        <is>
          <t>138930</t>
        </is>
      </c>
      <c r="D2047" t="inlineStr">
        <is>
          <t>연결</t>
        </is>
      </c>
      <c r="E2047" t="inlineStr">
        <is>
          <t>2025Q3</t>
        </is>
      </c>
      <c r="F2047" s="2" t="n">
        <v>2297901</v>
      </c>
      <c r="G2047" t="n">
        <v>-11.65</v>
      </c>
      <c r="H2047" t="n">
        <v>0.57</v>
      </c>
      <c r="I2047" s="2" t="n">
        <v>380399</v>
      </c>
      <c r="J2047" t="n">
        <v>48.68</v>
      </c>
      <c r="K2047" t="n">
        <v>57.49</v>
      </c>
      <c r="L2047" s="2" t="n">
        <v>299535</v>
      </c>
      <c r="M2047" t="n">
        <v>37.14</v>
      </c>
      <c r="N2047" t="inlineStr">
        <is>
          <t>20251030800663</t>
        </is>
      </c>
      <c r="O2047">
        <f>HYPERLINK("https://dart.fss.or.kr/dsaf001/main.do?rcpNo=20251030800663", "공시열람")</f>
        <v/>
      </c>
    </row>
    <row r="2048">
      <c r="A2048" t="inlineStr">
        <is>
          <t>2025-10-30</t>
        </is>
      </c>
      <c r="B2048" t="inlineStr">
        <is>
          <t>유나이티드</t>
        </is>
      </c>
      <c r="C2048" t="inlineStr">
        <is>
          <t>033270</t>
        </is>
      </c>
      <c r="D2048" t="inlineStr">
        <is>
          <t>별도</t>
        </is>
      </c>
      <c r="E2048" t="inlineStr">
        <is>
          <t>2025Q3</t>
        </is>
      </c>
      <c r="F2048" s="2" t="n">
        <v>74393</v>
      </c>
      <c r="G2048" t="n">
        <v>5.7</v>
      </c>
      <c r="H2048" t="n">
        <v>4.3</v>
      </c>
      <c r="I2048" s="2" t="n">
        <v>12510</v>
      </c>
      <c r="J2048" t="n">
        <v>16.3</v>
      </c>
      <c r="K2048" t="n">
        <v>-16.9</v>
      </c>
      <c r="L2048" s="2" t="n">
        <v>13544</v>
      </c>
      <c r="M2048" t="n">
        <v>157.9</v>
      </c>
      <c r="N2048" t="inlineStr">
        <is>
          <t>20251030800682</t>
        </is>
      </c>
      <c r="O2048">
        <f>HYPERLINK("https://dart.fss.or.kr/dsaf001/main.do?rcpNo=20251030800682", "공시열람")</f>
        <v/>
      </c>
    </row>
    <row r="2049">
      <c r="A2049" t="inlineStr">
        <is>
          <t>2025-10-30</t>
        </is>
      </c>
      <c r="B2049" t="inlineStr">
        <is>
          <t>태광</t>
        </is>
      </c>
      <c r="C2049" t="inlineStr">
        <is>
          <t>023160</t>
        </is>
      </c>
      <c r="D2049" t="inlineStr">
        <is>
          <t>별도</t>
        </is>
      </c>
      <c r="E2049" t="inlineStr">
        <is>
          <t>2025Q3</t>
        </is>
      </c>
      <c r="F2049" s="2" t="n">
        <v>72943</v>
      </c>
      <c r="G2049" t="n">
        <v>11.1</v>
      </c>
      <c r="H2049" t="n">
        <v>32.3</v>
      </c>
      <c r="I2049" s="2" t="n">
        <v>12546</v>
      </c>
      <c r="J2049" t="n">
        <v>25.6</v>
      </c>
      <c r="K2049" t="n">
        <v>52.6</v>
      </c>
      <c r="L2049" s="2" t="n">
        <v>28625</v>
      </c>
      <c r="M2049" t="n">
        <v>306.7</v>
      </c>
      <c r="N2049" t="inlineStr">
        <is>
          <t>20251030900709</t>
        </is>
      </c>
      <c r="O2049">
        <f>HYPERLINK("https://dart.fss.or.kr/dsaf001/main.do?rcpNo=20251030900709", "공시열람")</f>
        <v/>
      </c>
    </row>
    <row r="2050">
      <c r="A2050" t="inlineStr">
        <is>
          <t>2025-10-30</t>
        </is>
      </c>
      <c r="B2050" t="inlineStr">
        <is>
          <t>제이브이엠</t>
        </is>
      </c>
      <c r="C2050" t="inlineStr">
        <is>
          <t>054950</t>
        </is>
      </c>
      <c r="D2050" t="inlineStr">
        <is>
          <t>연결</t>
        </is>
      </c>
      <c r="E2050" t="inlineStr">
        <is>
          <t>2025Q3</t>
        </is>
      </c>
      <c r="F2050" s="2" t="n">
        <v>39705</v>
      </c>
      <c r="G2050" t="n">
        <v>-16.5</v>
      </c>
      <c r="H2050" t="n">
        <v>6.2</v>
      </c>
      <c r="I2050" s="2" t="n">
        <v>7596</v>
      </c>
      <c r="J2050" t="n">
        <v>-30.3</v>
      </c>
      <c r="K2050" t="n">
        <v>3.2</v>
      </c>
      <c r="L2050" s="2" t="n">
        <v>6399</v>
      </c>
      <c r="M2050" t="n">
        <v>-7.2</v>
      </c>
      <c r="N2050" t="inlineStr">
        <is>
          <t>20251030900288</t>
        </is>
      </c>
      <c r="O2050">
        <f>HYPERLINK("https://dart.fss.or.kr/dsaf001/main.do?rcpNo=20251030900288", "공시열람")</f>
        <v/>
      </c>
    </row>
    <row r="2051">
      <c r="A2051" t="inlineStr">
        <is>
          <t>2025-10-30</t>
        </is>
      </c>
      <c r="B2051" t="inlineStr">
        <is>
          <t>HS효성첨단소재</t>
        </is>
      </c>
      <c r="C2051" t="inlineStr">
        <is>
          <t>298050</t>
        </is>
      </c>
      <c r="D2051" t="inlineStr">
        <is>
          <t>연결</t>
        </is>
      </c>
      <c r="E2051" t="inlineStr">
        <is>
          <t>2025Q3</t>
        </is>
      </c>
      <c r="F2051" s="2" t="n">
        <v>800998</v>
      </c>
      <c r="G2051" t="n">
        <v>-4.99</v>
      </c>
      <c r="H2051" t="n">
        <v>-3.43</v>
      </c>
      <c r="I2051" s="2" t="n">
        <v>19316</v>
      </c>
      <c r="J2051" t="n">
        <v>-67.12</v>
      </c>
      <c r="K2051" t="n">
        <v>-56.75</v>
      </c>
      <c r="L2051" s="2" t="n">
        <v>-3473</v>
      </c>
      <c r="M2051" t="inlineStr"/>
      <c r="N2051" t="inlineStr">
        <is>
          <t>20251030800790</t>
        </is>
      </c>
      <c r="O2051">
        <f>HYPERLINK("https://dart.fss.or.kr/dsaf001/main.do?rcpNo=20251030800790", "공시열람")</f>
        <v/>
      </c>
    </row>
    <row r="2052">
      <c r="A2052" t="inlineStr">
        <is>
          <t>2025-10-30</t>
        </is>
      </c>
      <c r="B2052" t="inlineStr">
        <is>
          <t>iM금융지주</t>
        </is>
      </c>
      <c r="C2052" t="inlineStr">
        <is>
          <t>139130</t>
        </is>
      </c>
      <c r="D2052" t="inlineStr">
        <is>
          <t>연결</t>
        </is>
      </c>
      <c r="E2052" t="inlineStr">
        <is>
          <t>2025Q3</t>
        </is>
      </c>
      <c r="F2052" s="2" t="n">
        <v>1678818</v>
      </c>
      <c r="G2052" t="n">
        <v>-26.1</v>
      </c>
      <c r="H2052" t="n">
        <v>-7.2</v>
      </c>
      <c r="I2052" s="2" t="n">
        <v>155711</v>
      </c>
      <c r="J2052" t="n">
        <v>-21.6</v>
      </c>
      <c r="K2052" t="n">
        <v>37</v>
      </c>
      <c r="L2052" s="2" t="n">
        <v>125168</v>
      </c>
      <c r="M2052" t="n">
        <v>24.7</v>
      </c>
      <c r="N2052" t="inlineStr">
        <is>
          <t>20251030800290</t>
        </is>
      </c>
      <c r="O2052">
        <f>HYPERLINK("https://dart.fss.or.kr/dsaf001/main.do?rcpNo=20251030800290", "공시열람")</f>
        <v/>
      </c>
    </row>
    <row r="2053">
      <c r="A2053" t="inlineStr">
        <is>
          <t>2025-10-30</t>
        </is>
      </c>
      <c r="B2053" t="inlineStr">
        <is>
          <t>iM금융지주</t>
        </is>
      </c>
      <c r="C2053" t="inlineStr">
        <is>
          <t>139130</t>
        </is>
      </c>
      <c r="D2053" t="inlineStr">
        <is>
          <t>연결</t>
        </is>
      </c>
      <c r="E2053" t="inlineStr">
        <is>
          <t>2025Q3</t>
        </is>
      </c>
      <c r="F2053" s="2" t="n">
        <v>936438</v>
      </c>
      <c r="G2053" t="n">
        <v>-21.9</v>
      </c>
      <c r="H2053" t="n">
        <v>-12.5</v>
      </c>
      <c r="I2053" s="2" t="n">
        <v>137404</v>
      </c>
      <c r="J2053" t="n">
        <v>-15.9</v>
      </c>
      <c r="K2053" t="n">
        <v>-12.6</v>
      </c>
      <c r="L2053" s="2" t="n">
        <v>110167</v>
      </c>
      <c r="M2053" t="n">
        <v>-16.8</v>
      </c>
      <c r="N2053" t="inlineStr">
        <is>
          <t>20251030800286</t>
        </is>
      </c>
      <c r="O2053">
        <f>HYPERLINK("https://dart.fss.or.kr/dsaf001/main.do?rcpNo=20251030800286", "공시열람")</f>
        <v/>
      </c>
    </row>
    <row r="2054">
      <c r="A2054" t="inlineStr">
        <is>
          <t>2025-10-30</t>
        </is>
      </c>
      <c r="B2054" t="inlineStr">
        <is>
          <t>iM금융지주</t>
        </is>
      </c>
      <c r="C2054" t="inlineStr">
        <is>
          <t>139130</t>
        </is>
      </c>
      <c r="D2054" t="inlineStr">
        <is>
          <t>연결</t>
        </is>
      </c>
      <c r="E2054" t="inlineStr">
        <is>
          <t>2025Q3</t>
        </is>
      </c>
      <c r="F2054" s="2" t="n">
        <v>426856</v>
      </c>
      <c r="G2054" t="n">
        <v>-40.4</v>
      </c>
      <c r="H2054" t="n">
        <v>-14.4</v>
      </c>
      <c r="I2054" s="2" t="n">
        <v>15064</v>
      </c>
      <c r="J2054" t="n">
        <v>-54.2</v>
      </c>
      <c r="K2054" t="inlineStr"/>
      <c r="L2054" s="2" t="n">
        <v>12816</v>
      </c>
      <c r="M2054" t="inlineStr"/>
      <c r="N2054" t="inlineStr">
        <is>
          <t>20251030800282</t>
        </is>
      </c>
      <c r="O2054">
        <f>HYPERLINK("https://dart.fss.or.kr/dsaf001/main.do?rcpNo=20251030800282", "공시열람")</f>
        <v/>
      </c>
    </row>
    <row r="2055">
      <c r="A2055" t="inlineStr">
        <is>
          <t>2025-10-30</t>
        </is>
      </c>
      <c r="B2055" t="inlineStr">
        <is>
          <t>제이에스코퍼레이션</t>
        </is>
      </c>
      <c r="C2055" t="inlineStr">
        <is>
          <t>194370</t>
        </is>
      </c>
      <c r="D2055" t="inlineStr">
        <is>
          <t>연결</t>
        </is>
      </c>
      <c r="E2055" t="inlineStr">
        <is>
          <t>2025Q3</t>
        </is>
      </c>
      <c r="F2055" s="2" t="n">
        <v>356815</v>
      </c>
      <c r="G2055" t="n">
        <v>12.44</v>
      </c>
      <c r="H2055" t="n">
        <v>-1.33</v>
      </c>
      <c r="I2055" s="2" t="n">
        <v>41106</v>
      </c>
      <c r="J2055" t="n">
        <v>46.19</v>
      </c>
      <c r="K2055" t="n">
        <v>-3.92</v>
      </c>
      <c r="L2055" s="2" t="n">
        <v>25851</v>
      </c>
      <c r="M2055" t="n">
        <v>-77.17</v>
      </c>
      <c r="N2055" t="inlineStr">
        <is>
          <t>20251030800263</t>
        </is>
      </c>
      <c r="O2055">
        <f>HYPERLINK("https://dart.fss.or.kr/dsaf001/main.do?rcpNo=20251030800263", "공시열람")</f>
        <v/>
      </c>
    </row>
    <row r="2056">
      <c r="A2056" t="inlineStr">
        <is>
          <t>2025-10-30</t>
        </is>
      </c>
      <c r="B2056" t="inlineStr">
        <is>
          <t>현대글로비스</t>
        </is>
      </c>
      <c r="C2056" t="inlineStr">
        <is>
          <t>086280</t>
        </is>
      </c>
      <c r="D2056" t="inlineStr">
        <is>
          <t>연결</t>
        </is>
      </c>
      <c r="E2056" t="inlineStr">
        <is>
          <t>2025Q3</t>
        </is>
      </c>
      <c r="F2056" s="2" t="n">
        <v>7355054</v>
      </c>
      <c r="G2056" t="n">
        <v>-2.1</v>
      </c>
      <c r="H2056" t="n">
        <v>-1.5</v>
      </c>
      <c r="I2056" s="2" t="n">
        <v>523988</v>
      </c>
      <c r="J2056" t="n">
        <v>-2.8</v>
      </c>
      <c r="K2056" t="n">
        <v>11.7</v>
      </c>
      <c r="L2056" s="2" t="n">
        <v>392097</v>
      </c>
      <c r="M2056" t="n">
        <v>2.2</v>
      </c>
      <c r="N2056" t="inlineStr">
        <is>
          <t>20251030800155</t>
        </is>
      </c>
      <c r="O2056">
        <f>HYPERLINK("https://dart.fss.or.kr/dsaf001/main.do?rcpNo=20251030800155", "공시열람")</f>
        <v/>
      </c>
    </row>
    <row r="2057">
      <c r="A2057" t="inlineStr">
        <is>
          <t>2025-10-30</t>
        </is>
      </c>
      <c r="B2057" t="inlineStr">
        <is>
          <t>삼성에스디에스</t>
        </is>
      </c>
      <c r="C2057" t="inlineStr">
        <is>
          <t>018260</t>
        </is>
      </c>
      <c r="D2057" t="inlineStr">
        <is>
          <t>연결</t>
        </is>
      </c>
      <c r="E2057" t="inlineStr">
        <is>
          <t>2025Q3</t>
        </is>
      </c>
      <c r="F2057" s="2" t="n">
        <v>3391318</v>
      </c>
      <c r="G2057" t="n">
        <v>-3.4</v>
      </c>
      <c r="H2057" t="n">
        <v>-5</v>
      </c>
      <c r="I2057" s="2" t="n">
        <v>232296</v>
      </c>
      <c r="J2057" t="n">
        <v>0.9</v>
      </c>
      <c r="K2057" t="n">
        <v>-8.1</v>
      </c>
      <c r="L2057" s="2" t="n">
        <v>201079</v>
      </c>
      <c r="M2057" t="n">
        <v>8.199999999999999</v>
      </c>
      <c r="N2057" t="inlineStr">
        <is>
          <t>20251030800099</t>
        </is>
      </c>
      <c r="O2057">
        <f>HYPERLINK("https://dart.fss.or.kr/dsaf001/main.do?rcpNo=20251030800099", "공시열람")</f>
        <v/>
      </c>
    </row>
    <row r="2058">
      <c r="A2058" t="inlineStr">
        <is>
          <t>2025-10-30</t>
        </is>
      </c>
      <c r="B2058" t="inlineStr">
        <is>
          <t>HDC랩스</t>
        </is>
      </c>
      <c r="C2058" t="inlineStr">
        <is>
          <t>039570</t>
        </is>
      </c>
      <c r="D2058" t="inlineStr">
        <is>
          <t>연결</t>
        </is>
      </c>
      <c r="E2058" t="inlineStr">
        <is>
          <t>2025Q3</t>
        </is>
      </c>
      <c r="F2058" s="2" t="n">
        <v>155302</v>
      </c>
      <c r="G2058" t="n">
        <v>-8.300000000000001</v>
      </c>
      <c r="H2058" t="n">
        <v>-1.2</v>
      </c>
      <c r="I2058" s="2" t="n">
        <v>2195</v>
      </c>
      <c r="J2058" t="n">
        <v>-40.3</v>
      </c>
      <c r="K2058" t="n">
        <v>567.2</v>
      </c>
      <c r="L2058" s="2" t="n">
        <v>2523</v>
      </c>
      <c r="M2058" t="n">
        <v>-0.2</v>
      </c>
      <c r="N2058" t="inlineStr">
        <is>
          <t>20251030800084</t>
        </is>
      </c>
      <c r="O2058">
        <f>HYPERLINK("https://dart.fss.or.kr/dsaf001/main.do?rcpNo=20251030800084", "공시열람")</f>
        <v/>
      </c>
    </row>
    <row r="2059">
      <c r="A2059" t="inlineStr">
        <is>
          <t>2025-10-30</t>
        </is>
      </c>
      <c r="B2059" t="inlineStr">
        <is>
          <t>LG이노텍</t>
        </is>
      </c>
      <c r="C2059" t="inlineStr">
        <is>
          <t>011070</t>
        </is>
      </c>
      <c r="D2059" t="inlineStr">
        <is>
          <t>연결</t>
        </is>
      </c>
      <c r="E2059" t="inlineStr">
        <is>
          <t>2025Q3</t>
        </is>
      </c>
      <c r="F2059" s="2" t="n">
        <v>5369431</v>
      </c>
      <c r="G2059" t="n">
        <v>36.5</v>
      </c>
      <c r="H2059" t="n">
        <v>-5.6</v>
      </c>
      <c r="I2059" s="2" t="n">
        <v>203749</v>
      </c>
      <c r="J2059" t="n">
        <v>1688.5</v>
      </c>
      <c r="K2059" t="n">
        <v>56.2</v>
      </c>
      <c r="L2059" s="2" t="n">
        <v>128389</v>
      </c>
      <c r="M2059" t="n">
        <v>22.3</v>
      </c>
      <c r="N2059" t="inlineStr">
        <is>
          <t>20251030800277</t>
        </is>
      </c>
      <c r="O2059">
        <f>HYPERLINK("https://dart.fss.or.kr/dsaf001/main.do?rcpNo=20251030800277", "공시열람")</f>
        <v/>
      </c>
    </row>
    <row r="2060">
      <c r="A2060" t="inlineStr">
        <is>
          <t>2025-10-30</t>
        </is>
      </c>
      <c r="B2060" t="inlineStr">
        <is>
          <t>BNK금융지주</t>
        </is>
      </c>
      <c r="C2060" t="inlineStr">
        <is>
          <t>138930</t>
        </is>
      </c>
      <c r="D2060" t="inlineStr">
        <is>
          <t>연결</t>
        </is>
      </c>
      <c r="E2060" t="inlineStr">
        <is>
          <t>2025Q3</t>
        </is>
      </c>
      <c r="F2060" s="2" t="n">
        <v>330645</v>
      </c>
      <c r="G2060" t="n">
        <v>-41.11</v>
      </c>
      <c r="H2060" t="n">
        <v>11.77</v>
      </c>
      <c r="I2060" s="2" t="n">
        <v>6130</v>
      </c>
      <c r="J2060" t="n">
        <v>-74.70999999999999</v>
      </c>
      <c r="K2060" t="inlineStr"/>
      <c r="L2060" s="2" t="n">
        <v>6724</v>
      </c>
      <c r="M2060" t="inlineStr"/>
      <c r="N2060" t="inlineStr">
        <is>
          <t>20251030800654</t>
        </is>
      </c>
      <c r="O2060">
        <f>HYPERLINK("https://dart.fss.or.kr/dsaf001/main.do?rcpNo=20251030800654", "공시열람")</f>
        <v/>
      </c>
    </row>
    <row r="2061">
      <c r="A2061" t="inlineStr">
        <is>
          <t>2025-10-30</t>
        </is>
      </c>
      <c r="B2061" t="inlineStr">
        <is>
          <t>KG스틸</t>
        </is>
      </c>
      <c r="C2061" t="inlineStr">
        <is>
          <t>016380</t>
        </is>
      </c>
      <c r="D2061" t="inlineStr">
        <is>
          <t>별도</t>
        </is>
      </c>
      <c r="E2061" t="inlineStr">
        <is>
          <t>2025Q3</t>
        </is>
      </c>
      <c r="F2061" s="2" t="n">
        <v>703800</v>
      </c>
      <c r="G2061" t="n">
        <v>-9.32</v>
      </c>
      <c r="H2061" t="n">
        <v>-10.92</v>
      </c>
      <c r="I2061" s="2" t="n">
        <v>22600</v>
      </c>
      <c r="J2061" t="n">
        <v>-48.38</v>
      </c>
      <c r="K2061" t="n">
        <v>-43.33</v>
      </c>
      <c r="L2061" s="2" t="n">
        <v>-10300</v>
      </c>
      <c r="M2061" t="inlineStr"/>
      <c r="N2061" t="inlineStr">
        <is>
          <t>20251030800083</t>
        </is>
      </c>
      <c r="O2061">
        <f>HYPERLINK("https://dart.fss.or.kr/dsaf001/main.do?rcpNo=20251030800083", "공시열람")</f>
        <v/>
      </c>
    </row>
    <row r="2062">
      <c r="A2062" t="inlineStr">
        <is>
          <t>2025-10-30</t>
        </is>
      </c>
      <c r="B2062" t="inlineStr">
        <is>
          <t>온코닉테라퓨틱스</t>
        </is>
      </c>
      <c r="C2062" t="inlineStr">
        <is>
          <t>476060</t>
        </is>
      </c>
      <c r="D2062" t="inlineStr">
        <is>
          <t>별도</t>
        </is>
      </c>
      <c r="E2062" t="inlineStr">
        <is>
          <t>2025Q3</t>
        </is>
      </c>
      <c r="F2062" s="2" t="n">
        <v>19213</v>
      </c>
      <c r="G2062" t="n">
        <v>103.7</v>
      </c>
      <c r="H2062" t="n">
        <v>867.1</v>
      </c>
      <c r="I2062" s="2" t="n">
        <v>8317</v>
      </c>
      <c r="J2062" t="n">
        <v>647.3</v>
      </c>
      <c r="K2062" t="n">
        <v>453.8</v>
      </c>
      <c r="L2062" s="2" t="n">
        <v>9402</v>
      </c>
      <c r="M2062" t="n">
        <v>438.2</v>
      </c>
      <c r="N2062" t="inlineStr">
        <is>
          <t>20251030900087</t>
        </is>
      </c>
      <c r="O2062">
        <f>HYPERLINK("https://dart.fss.or.kr/dsaf001/main.do?rcpNo=20251030900087", "공시열람")</f>
        <v/>
      </c>
    </row>
    <row r="2063">
      <c r="A2063" t="inlineStr">
        <is>
          <t>2025-10-30</t>
        </is>
      </c>
      <c r="B2063" t="inlineStr">
        <is>
          <t>LG씨엔에스</t>
        </is>
      </c>
      <c r="C2063" t="inlineStr">
        <is>
          <t>064400</t>
        </is>
      </c>
      <c r="D2063" t="inlineStr">
        <is>
          <t>연결</t>
        </is>
      </c>
      <c r="E2063" t="inlineStr">
        <is>
          <t>2025Q3</t>
        </is>
      </c>
      <c r="F2063" s="2" t="n">
        <v>1522343</v>
      </c>
      <c r="G2063" t="n">
        <v>4.3</v>
      </c>
      <c r="H2063" t="n">
        <v>5.8</v>
      </c>
      <c r="I2063" s="2" t="n">
        <v>120175</v>
      </c>
      <c r="J2063" t="n">
        <v>-14.6</v>
      </c>
      <c r="K2063" t="n">
        <v>-15.8</v>
      </c>
      <c r="L2063" s="2" t="n">
        <v>105220</v>
      </c>
      <c r="M2063" t="n">
        <v>-10.8</v>
      </c>
      <c r="N2063" t="inlineStr">
        <is>
          <t>20251030800074</t>
        </is>
      </c>
      <c r="O2063">
        <f>HYPERLINK("https://dart.fss.or.kr/dsaf001/main.do?rcpNo=20251030800074", "공시열람")</f>
        <v/>
      </c>
    </row>
    <row r="2064">
      <c r="A2064" t="inlineStr">
        <is>
          <t>2025-10-30</t>
        </is>
      </c>
      <c r="B2064" t="inlineStr">
        <is>
          <t>LG에너지솔루션</t>
        </is>
      </c>
      <c r="C2064" t="inlineStr">
        <is>
          <t>373220</t>
        </is>
      </c>
      <c r="D2064" t="inlineStr">
        <is>
          <t>연결</t>
        </is>
      </c>
      <c r="E2064" t="inlineStr">
        <is>
          <t>2025Q3</t>
        </is>
      </c>
      <c r="F2064" s="2" t="n">
        <v>5699900</v>
      </c>
      <c r="G2064" t="n">
        <v>2.4</v>
      </c>
      <c r="H2064" t="n">
        <v>-17.1</v>
      </c>
      <c r="I2064" s="2" t="n">
        <v>601300</v>
      </c>
      <c r="J2064" t="n">
        <v>22.2</v>
      </c>
      <c r="K2064" t="n">
        <v>34.1</v>
      </c>
      <c r="L2064" s="2" t="n">
        <v>536100</v>
      </c>
      <c r="M2064" t="n">
        <v>-4.5</v>
      </c>
      <c r="N2064" t="inlineStr">
        <is>
          <t>20251030800064</t>
        </is>
      </c>
      <c r="O2064">
        <f>HYPERLINK("https://dart.fss.or.kr/dsaf001/main.do?rcpNo=20251030800064", "공시열람")</f>
        <v/>
      </c>
    </row>
    <row r="2065">
      <c r="A2065" t="inlineStr">
        <is>
          <t>2025-10-30</t>
        </is>
      </c>
      <c r="B2065" t="inlineStr">
        <is>
          <t>삼성전자</t>
        </is>
      </c>
      <c r="C2065" t="inlineStr">
        <is>
          <t>005930</t>
        </is>
      </c>
      <c r="D2065" t="inlineStr">
        <is>
          <t>연결</t>
        </is>
      </c>
      <c r="E2065" t="inlineStr">
        <is>
          <t>2025Q3</t>
        </is>
      </c>
      <c r="F2065" s="2" t="n">
        <v>86</v>
      </c>
      <c r="G2065" t="n">
        <v>15.42</v>
      </c>
      <c r="H2065" t="n">
        <v>8.800000000000001</v>
      </c>
      <c r="I2065" s="2" t="n">
        <v>12</v>
      </c>
      <c r="J2065" t="n">
        <v>160.18</v>
      </c>
      <c r="K2065" t="n">
        <v>32.48</v>
      </c>
      <c r="L2065" s="2" t="inlineStr"/>
      <c r="M2065" t="inlineStr"/>
      <c r="N2065" t="inlineStr">
        <is>
          <t>20251030800065</t>
        </is>
      </c>
      <c r="O2065">
        <f>HYPERLINK("https://dart.fss.or.kr/dsaf001/main.do?rcpNo=20251030800065", "공시열람")</f>
        <v/>
      </c>
    </row>
    <row r="2066">
      <c r="A2066" t="inlineStr">
        <is>
          <t>2025-10-30</t>
        </is>
      </c>
      <c r="B2066" t="inlineStr">
        <is>
          <t>SK텔레콤</t>
        </is>
      </c>
      <c r="C2066" t="inlineStr">
        <is>
          <t>017670</t>
        </is>
      </c>
      <c r="D2066" t="inlineStr">
        <is>
          <t>연결</t>
        </is>
      </c>
      <c r="E2066" t="inlineStr">
        <is>
          <t>2025Q3</t>
        </is>
      </c>
      <c r="F2066" s="2" t="n">
        <v>3978100</v>
      </c>
      <c r="G2066" t="n">
        <v>-8.31</v>
      </c>
      <c r="H2066" t="n">
        <v>-12.23</v>
      </c>
      <c r="I2066" s="2" t="n">
        <v>48400</v>
      </c>
      <c r="J2066" t="n">
        <v>-85.68000000000001</v>
      </c>
      <c r="K2066" t="n">
        <v>-90.92</v>
      </c>
      <c r="L2066" s="2" t="n">
        <v>-166700</v>
      </c>
      <c r="M2066" t="inlineStr"/>
      <c r="N2066" t="inlineStr">
        <is>
          <t>20251030800055</t>
        </is>
      </c>
      <c r="O2066">
        <f>HYPERLINK("https://dart.fss.or.kr/dsaf001/main.do?rcpNo=20251030800055", "공시열람")</f>
        <v/>
      </c>
    </row>
    <row r="2067">
      <c r="A2067" t="inlineStr">
        <is>
          <t>2025-10-30</t>
        </is>
      </c>
      <c r="B2067" t="inlineStr">
        <is>
          <t>삼성전자</t>
        </is>
      </c>
      <c r="C2067" t="inlineStr">
        <is>
          <t>005930</t>
        </is>
      </c>
      <c r="D2067" t="inlineStr">
        <is>
          <t>연결</t>
        </is>
      </c>
      <c r="E2067" t="inlineStr">
        <is>
          <t>2025Q3</t>
        </is>
      </c>
      <c r="F2067" s="2" t="n">
        <v>86061700</v>
      </c>
      <c r="G2067" t="n">
        <v>15.42</v>
      </c>
      <c r="H2067" t="n">
        <v>8.800000000000001</v>
      </c>
      <c r="I2067" s="2" t="n">
        <v>12166100</v>
      </c>
      <c r="J2067" t="n">
        <v>160.18</v>
      </c>
      <c r="K2067" t="n">
        <v>32.48</v>
      </c>
      <c r="L2067" s="2" t="n">
        <v>12225700</v>
      </c>
      <c r="M2067" t="n">
        <v>21.04</v>
      </c>
      <c r="N2067" t="inlineStr">
        <is>
          <t>20251030800056</t>
        </is>
      </c>
      <c r="O2067">
        <f>HYPERLINK("https://dart.fss.or.kr/dsaf001/main.do?rcpNo=20251030800056", "공시열람")</f>
        <v/>
      </c>
    </row>
    <row r="2068">
      <c r="A2068" t="inlineStr">
        <is>
          <t>2025-10-30</t>
        </is>
      </c>
      <c r="B2068" t="inlineStr">
        <is>
          <t>SNT에너지</t>
        </is>
      </c>
      <c r="C2068" t="inlineStr">
        <is>
          <t>100840</t>
        </is>
      </c>
      <c r="D2068" t="inlineStr">
        <is>
          <t>연결</t>
        </is>
      </c>
      <c r="E2068" t="inlineStr">
        <is>
          <t>2025Q3</t>
        </is>
      </c>
      <c r="F2068" s="2" t="n">
        <v>148299</v>
      </c>
      <c r="G2068" t="n">
        <v>5.4</v>
      </c>
      <c r="H2068" t="n">
        <v>112.9</v>
      </c>
      <c r="I2068" s="2" t="n">
        <v>24317</v>
      </c>
      <c r="J2068" t="n">
        <v>-11.1</v>
      </c>
      <c r="K2068" t="n">
        <v>370.2</v>
      </c>
      <c r="L2068" s="2" t="n">
        <v>24864</v>
      </c>
      <c r="M2068" t="inlineStr"/>
      <c r="N2068" t="inlineStr">
        <is>
          <t>20251030800051</t>
        </is>
      </c>
      <c r="O2068">
        <f>HYPERLINK("https://dart.fss.or.kr/dsaf001/main.do?rcpNo=20251030800051", "공시열람")</f>
        <v/>
      </c>
    </row>
    <row r="2069">
      <c r="A2069" t="inlineStr">
        <is>
          <t>2025-10-30</t>
        </is>
      </c>
      <c r="B2069" t="inlineStr">
        <is>
          <t>SK텔레콤</t>
        </is>
      </c>
      <c r="C2069" t="inlineStr">
        <is>
          <t>017670</t>
        </is>
      </c>
      <c r="D2069" t="inlineStr">
        <is>
          <t>별도</t>
        </is>
      </c>
      <c r="E2069" t="inlineStr">
        <is>
          <t>2025Q3</t>
        </is>
      </c>
      <c r="F2069" s="2" t="n">
        <v>2664700</v>
      </c>
      <c r="G2069" t="n">
        <v>-15</v>
      </c>
      <c r="H2069" t="n">
        <v>-16.81</v>
      </c>
      <c r="I2069" s="2" t="n">
        <v>-52200</v>
      </c>
      <c r="J2069" t="inlineStr"/>
      <c r="K2069" t="inlineStr"/>
      <c r="L2069" s="2" t="n">
        <v>-206600</v>
      </c>
      <c r="M2069" t="inlineStr"/>
      <c r="N2069" t="inlineStr">
        <is>
          <t>20251030800054</t>
        </is>
      </c>
      <c r="O2069">
        <f>HYPERLINK("https://dart.fss.or.kr/dsaf001/main.do?rcpNo=20251030800054", "공시열람")</f>
        <v/>
      </c>
    </row>
    <row r="2070">
      <c r="A2070" t="inlineStr">
        <is>
          <t>2025-10-30</t>
        </is>
      </c>
      <c r="B2070" t="inlineStr">
        <is>
          <t>SNT홀딩스</t>
        </is>
      </c>
      <c r="C2070" t="inlineStr">
        <is>
          <t>036530</t>
        </is>
      </c>
      <c r="D2070" t="inlineStr">
        <is>
          <t>연결</t>
        </is>
      </c>
      <c r="E2070" t="inlineStr">
        <is>
          <t>2025Q3</t>
        </is>
      </c>
      <c r="F2070" s="2" t="n">
        <v>516913</v>
      </c>
      <c r="G2070" t="n">
        <v>-7.9</v>
      </c>
      <c r="H2070" t="n">
        <v>18.5</v>
      </c>
      <c r="I2070" s="2" t="n">
        <v>65891</v>
      </c>
      <c r="J2070" t="n">
        <v>-21.9</v>
      </c>
      <c r="K2070" t="n">
        <v>47.4</v>
      </c>
      <c r="L2070" s="2" t="n">
        <v>64016</v>
      </c>
      <c r="M2070" t="n">
        <v>40.2</v>
      </c>
      <c r="N2070" t="inlineStr">
        <is>
          <t>20251030800052</t>
        </is>
      </c>
      <c r="O2070">
        <f>HYPERLINK("https://dart.fss.or.kr/dsaf001/main.do?rcpNo=20251030800052", "공시열람")</f>
        <v/>
      </c>
    </row>
    <row r="2071">
      <c r="A2071" t="inlineStr">
        <is>
          <t>2025-10-30</t>
        </is>
      </c>
      <c r="B2071" t="inlineStr">
        <is>
          <t>SNT다이내믹스</t>
        </is>
      </c>
      <c r="C2071" t="inlineStr">
        <is>
          <t>003570</t>
        </is>
      </c>
      <c r="D2071" t="inlineStr">
        <is>
          <t>연결</t>
        </is>
      </c>
      <c r="E2071" t="inlineStr">
        <is>
          <t>2025Q3</t>
        </is>
      </c>
      <c r="F2071" s="2" t="n">
        <v>151718</v>
      </c>
      <c r="G2071" t="n">
        <v>-18.7</v>
      </c>
      <c r="H2071" t="n">
        <v>-7.3</v>
      </c>
      <c r="I2071" s="2" t="n">
        <v>19902</v>
      </c>
      <c r="J2071" t="n">
        <v>-32.7</v>
      </c>
      <c r="K2071" t="n">
        <v>7.9</v>
      </c>
      <c r="L2071" s="2" t="n">
        <v>17160</v>
      </c>
      <c r="M2071" t="n">
        <v>-1.7</v>
      </c>
      <c r="N2071" t="inlineStr">
        <is>
          <t>20251030800050</t>
        </is>
      </c>
      <c r="O2071">
        <f>HYPERLINK("https://dart.fss.or.kr/dsaf001/main.do?rcpNo=20251030800050", "공시열람")</f>
        <v/>
      </c>
    </row>
    <row r="2072">
      <c r="A2072" t="inlineStr">
        <is>
          <t>2025-10-30</t>
        </is>
      </c>
      <c r="B2072" t="inlineStr">
        <is>
          <t>SNT모티브</t>
        </is>
      </c>
      <c r="C2072" t="inlineStr">
        <is>
          <t>064960</t>
        </is>
      </c>
      <c r="D2072" t="inlineStr">
        <is>
          <t>연결</t>
        </is>
      </c>
      <c r="E2072" t="inlineStr">
        <is>
          <t>2025Q3</t>
        </is>
      </c>
      <c r="F2072" s="2" t="n">
        <v>231086</v>
      </c>
      <c r="G2072" t="n">
        <v>-10.3</v>
      </c>
      <c r="H2072" t="n">
        <v>4.6</v>
      </c>
      <c r="I2072" s="2" t="n">
        <v>22001</v>
      </c>
      <c r="J2072" t="n">
        <v>-17.4</v>
      </c>
      <c r="K2072" t="n">
        <v>-0.1</v>
      </c>
      <c r="L2072" s="2" t="n">
        <v>21263</v>
      </c>
      <c r="M2072" t="n">
        <v>25.3</v>
      </c>
      <c r="N2072" t="inlineStr">
        <is>
          <t>20251030800048</t>
        </is>
      </c>
      <c r="O2072">
        <f>HYPERLINK("https://dart.fss.or.kr/dsaf001/main.do?rcpNo=20251030800048", "공시열람")</f>
        <v/>
      </c>
    </row>
    <row r="2073">
      <c r="A2073" t="inlineStr">
        <is>
          <t>2025-10-30</t>
        </is>
      </c>
      <c r="B2073" t="inlineStr">
        <is>
          <t>키움증권</t>
        </is>
      </c>
      <c r="C2073" t="inlineStr">
        <is>
          <t>039490</t>
        </is>
      </c>
      <c r="D2073" t="inlineStr">
        <is>
          <t>연결</t>
        </is>
      </c>
      <c r="E2073" t="inlineStr">
        <is>
          <t>2025Q3</t>
        </is>
      </c>
      <c r="F2073" s="2" t="n">
        <v>3369853</v>
      </c>
      <c r="G2073" t="n">
        <v>-25.21</v>
      </c>
      <c r="H2073" t="n">
        <v>24.13</v>
      </c>
      <c r="I2073" s="2" t="n">
        <v>408881</v>
      </c>
      <c r="J2073" t="n">
        <v>0.14</v>
      </c>
      <c r="K2073" t="n">
        <v>52.57</v>
      </c>
      <c r="L2073" s="2" t="n">
        <v>322382</v>
      </c>
      <c r="M2073" t="n">
        <v>52.32</v>
      </c>
      <c r="N2073" t="inlineStr">
        <is>
          <t>20251030800012</t>
        </is>
      </c>
      <c r="O2073">
        <f>HYPERLINK("https://dart.fss.or.kr/dsaf001/main.do?rcpNo=20251030800012", "공시열람")</f>
        <v/>
      </c>
    </row>
    <row r="2074">
      <c r="A2074" t="inlineStr">
        <is>
          <t>2025-10-30</t>
        </is>
      </c>
      <c r="B2074" t="inlineStr">
        <is>
          <t>BNK금융지주</t>
        </is>
      </c>
      <c r="C2074" t="inlineStr">
        <is>
          <t>138930</t>
        </is>
      </c>
      <c r="D2074" t="inlineStr">
        <is>
          <t>연결</t>
        </is>
      </c>
      <c r="E2074" t="inlineStr">
        <is>
          <t>2025Q3</t>
        </is>
      </c>
      <c r="F2074" s="2" t="n">
        <v>928475</v>
      </c>
      <c r="G2074" t="n">
        <v>0.13</v>
      </c>
      <c r="H2074" t="n">
        <v>-5.89</v>
      </c>
      <c r="I2074" s="2" t="n">
        <v>222769</v>
      </c>
      <c r="J2074" t="n">
        <v>34.55</v>
      </c>
      <c r="K2074" t="n">
        <v>59.32</v>
      </c>
      <c r="L2074" s="2" t="n">
        <v>169214</v>
      </c>
      <c r="M2074" t="n">
        <v>27.01</v>
      </c>
      <c r="N2074" t="inlineStr">
        <is>
          <t>20251030800660</t>
        </is>
      </c>
      <c r="O2074">
        <f>HYPERLINK("https://dart.fss.or.kr/dsaf001/main.do?rcpNo=20251030800660", "공시열람")</f>
        <v/>
      </c>
    </row>
    <row r="2075">
      <c r="A2075" t="inlineStr">
        <is>
          <t>2025-10-30</t>
        </is>
      </c>
      <c r="B2075" t="inlineStr">
        <is>
          <t>KG스틸</t>
        </is>
      </c>
      <c r="C2075" t="inlineStr">
        <is>
          <t>016380</t>
        </is>
      </c>
      <c r="D2075" t="inlineStr">
        <is>
          <t>연결</t>
        </is>
      </c>
      <c r="E2075" t="inlineStr">
        <is>
          <t>2025Q3</t>
        </is>
      </c>
      <c r="F2075" s="2" t="n">
        <v>830600</v>
      </c>
      <c r="G2075" t="n">
        <v>3.17</v>
      </c>
      <c r="H2075" t="n">
        <v>-0.52</v>
      </c>
      <c r="I2075" s="2" t="n">
        <v>53900</v>
      </c>
      <c r="J2075" t="n">
        <v>46.03</v>
      </c>
      <c r="K2075" t="n">
        <v>26.15</v>
      </c>
      <c r="L2075" s="2" t="n">
        <v>15000</v>
      </c>
      <c r="M2075" t="n">
        <v>-67.64</v>
      </c>
      <c r="N2075" t="inlineStr">
        <is>
          <t>20251030800086</t>
        </is>
      </c>
      <c r="O2075">
        <f>HYPERLINK("https://dart.fss.or.kr/dsaf001/main.do?rcpNo=20251030800086", "공시열람")</f>
        <v/>
      </c>
    </row>
    <row r="2076">
      <c r="A2076" t="inlineStr">
        <is>
          <t>2025-10-30</t>
        </is>
      </c>
      <c r="B2076" t="inlineStr">
        <is>
          <t>쎄트렉아이</t>
        </is>
      </c>
      <c r="C2076" t="inlineStr">
        <is>
          <t>099320</t>
        </is>
      </c>
      <c r="D2076" t="inlineStr">
        <is>
          <t>연결</t>
        </is>
      </c>
      <c r="E2076" t="inlineStr">
        <is>
          <t>2025Q3</t>
        </is>
      </c>
      <c r="F2076" s="2" t="n">
        <v>50438</v>
      </c>
      <c r="G2076" t="n">
        <v>13.4</v>
      </c>
      <c r="H2076" t="n">
        <v>15.5</v>
      </c>
      <c r="I2076" s="2" t="n">
        <v>2455</v>
      </c>
      <c r="J2076" t="n">
        <v>21.2</v>
      </c>
      <c r="K2076" t="n">
        <v>213.1</v>
      </c>
      <c r="L2076" s="2" t="n">
        <v>1898</v>
      </c>
      <c r="M2076" t="n">
        <v>208.1</v>
      </c>
      <c r="N2076" t="inlineStr">
        <is>
          <t>20251030900302</t>
        </is>
      </c>
      <c r="O2076">
        <f>HYPERLINK("https://dart.fss.or.kr/dsaf001/main.do?rcpNo=20251030900302", "공시열람")</f>
        <v/>
      </c>
    </row>
    <row r="2077">
      <c r="A2077" t="inlineStr">
        <is>
          <t>2025-10-30</t>
        </is>
      </c>
      <c r="B2077" t="inlineStr">
        <is>
          <t>KB금융</t>
        </is>
      </c>
      <c r="C2077" t="inlineStr">
        <is>
          <t>105560</t>
        </is>
      </c>
      <c r="D2077" t="inlineStr">
        <is>
          <t>연결</t>
        </is>
      </c>
      <c r="E2077" t="inlineStr">
        <is>
          <t>2025Q3</t>
        </is>
      </c>
      <c r="F2077" s="2" t="n">
        <v>2746467</v>
      </c>
      <c r="G2077" t="n">
        <v>-14.61</v>
      </c>
      <c r="H2077" t="n">
        <v>17.31</v>
      </c>
      <c r="I2077" s="2" t="n">
        <v>225265</v>
      </c>
      <c r="J2077" t="n">
        <v>3.31</v>
      </c>
      <c r="K2077" t="n">
        <v>-5.66</v>
      </c>
      <c r="L2077" s="2" t="n">
        <v>160067</v>
      </c>
      <c r="M2077" t="n">
        <v>-7.56</v>
      </c>
      <c r="N2077" t="inlineStr">
        <is>
          <t>20251030800465</t>
        </is>
      </c>
      <c r="O2077">
        <f>HYPERLINK("https://dart.fss.or.kr/dsaf001/main.do?rcpNo=20251030800465", "공시열람")</f>
        <v/>
      </c>
    </row>
    <row r="2078">
      <c r="A2078" t="inlineStr">
        <is>
          <t>2025-10-30</t>
        </is>
      </c>
      <c r="B2078" t="inlineStr">
        <is>
          <t>태광</t>
        </is>
      </c>
      <c r="C2078" t="inlineStr">
        <is>
          <t>023160</t>
        </is>
      </c>
      <c r="D2078" t="inlineStr">
        <is>
          <t>연결</t>
        </is>
      </c>
      <c r="E2078" t="inlineStr">
        <is>
          <t>2025Q3</t>
        </is>
      </c>
      <c r="F2078" s="2" t="n">
        <v>81415</v>
      </c>
      <c r="G2078" t="n">
        <v>12.6</v>
      </c>
      <c r="H2078" t="n">
        <v>31.8</v>
      </c>
      <c r="I2078" s="2" t="n">
        <v>11569</v>
      </c>
      <c r="J2078" t="n">
        <v>51.1</v>
      </c>
      <c r="K2078" t="n">
        <v>52.7</v>
      </c>
      <c r="L2078" s="2" t="n">
        <v>29729</v>
      </c>
      <c r="M2078" t="n">
        <v>332</v>
      </c>
      <c r="N2078" t="inlineStr">
        <is>
          <t>20251030900328</t>
        </is>
      </c>
      <c r="O2078">
        <f>HYPERLINK("https://dart.fss.or.kr/dsaf001/main.do?rcpNo=20251030900328", "공시열람")</f>
        <v/>
      </c>
    </row>
    <row r="2079">
      <c r="A2079" t="inlineStr">
        <is>
          <t>2025-10-30</t>
        </is>
      </c>
      <c r="B2079" t="inlineStr">
        <is>
          <t>HD현대마린솔루션</t>
        </is>
      </c>
      <c r="C2079" t="inlineStr">
        <is>
          <t>443060</t>
        </is>
      </c>
      <c r="D2079" t="inlineStr">
        <is>
          <t>연결</t>
        </is>
      </c>
      <c r="E2079" t="inlineStr">
        <is>
          <t>2025Q3</t>
        </is>
      </c>
      <c r="F2079" s="2" t="n">
        <v>513200</v>
      </c>
      <c r="G2079" t="n">
        <v>9.699999999999999</v>
      </c>
      <c r="H2079" t="n">
        <v>11.3</v>
      </c>
      <c r="I2079" s="2" t="n">
        <v>93600</v>
      </c>
      <c r="J2079" t="n">
        <v>12.8</v>
      </c>
      <c r="K2079" t="n">
        <v>12.2</v>
      </c>
      <c r="L2079" s="2" t="n">
        <v>79800</v>
      </c>
      <c r="M2079" t="n">
        <v>36.4</v>
      </c>
      <c r="N2079" t="inlineStr">
        <is>
          <t>20251030800401</t>
        </is>
      </c>
      <c r="O2079">
        <f>HYPERLINK("https://dart.fss.or.kr/dsaf001/main.do?rcpNo=20251030800401", "공시열람")</f>
        <v/>
      </c>
    </row>
    <row r="2080">
      <c r="A2080" t="inlineStr">
        <is>
          <t>2025-10-30</t>
        </is>
      </c>
      <c r="B2080" t="inlineStr">
        <is>
          <t>대한전선</t>
        </is>
      </c>
      <c r="C2080" t="inlineStr">
        <is>
          <t>001440</t>
        </is>
      </c>
      <c r="D2080" t="inlineStr">
        <is>
          <t>연결</t>
        </is>
      </c>
      <c r="E2080" t="inlineStr">
        <is>
          <t>2025Q3</t>
        </is>
      </c>
      <c r="F2080" s="2" t="n">
        <v>854974</v>
      </c>
      <c r="G2080" t="n">
        <v>-6.7</v>
      </c>
      <c r="H2080" t="n">
        <v>6.28</v>
      </c>
      <c r="I2080" s="2" t="n">
        <v>29532</v>
      </c>
      <c r="J2080" t="n">
        <v>3.39</v>
      </c>
      <c r="K2080" t="n">
        <v>8.529999999999999</v>
      </c>
      <c r="L2080" s="2" t="inlineStr"/>
      <c r="M2080" t="inlineStr"/>
      <c r="N2080" t="inlineStr">
        <is>
          <t>20251030800425</t>
        </is>
      </c>
      <c r="O2080">
        <f>HYPERLINK("https://dart.fss.or.kr/dsaf001/main.do?rcpNo=20251030800425", "공시열람")</f>
        <v/>
      </c>
    </row>
    <row r="2081">
      <c r="A2081" t="inlineStr">
        <is>
          <t>2025-10-30</t>
        </is>
      </c>
      <c r="B2081" t="inlineStr">
        <is>
          <t>HL D&amp;I</t>
        </is>
      </c>
      <c r="C2081" t="inlineStr">
        <is>
          <t>014790</t>
        </is>
      </c>
      <c r="D2081" t="inlineStr">
        <is>
          <t>연결</t>
        </is>
      </c>
      <c r="E2081" t="inlineStr">
        <is>
          <t>2025Q3</t>
        </is>
      </c>
      <c r="F2081" s="2" t="n">
        <v>476928</v>
      </c>
      <c r="G2081" t="n">
        <v>17.2</v>
      </c>
      <c r="H2081" t="n">
        <v>35</v>
      </c>
      <c r="I2081" s="2" t="n">
        <v>25520</v>
      </c>
      <c r="J2081" t="n">
        <v>29.1</v>
      </c>
      <c r="K2081" t="n">
        <v>92.7</v>
      </c>
      <c r="L2081" s="2" t="n">
        <v>2875</v>
      </c>
      <c r="M2081" t="n">
        <v>-46.9</v>
      </c>
      <c r="N2081" t="inlineStr">
        <is>
          <t>20251030800435</t>
        </is>
      </c>
      <c r="O2081">
        <f>HYPERLINK("https://dart.fss.or.kr/dsaf001/main.do?rcpNo=20251030800435", "공시열람")</f>
        <v/>
      </c>
    </row>
    <row r="2082">
      <c r="A2082" t="inlineStr">
        <is>
          <t>2025-10-30</t>
        </is>
      </c>
      <c r="B2082" t="inlineStr">
        <is>
          <t>태광</t>
        </is>
      </c>
      <c r="C2082" t="inlineStr">
        <is>
          <t>023160</t>
        </is>
      </c>
      <c r="D2082" t="inlineStr">
        <is>
          <t>별도</t>
        </is>
      </c>
      <c r="E2082" t="inlineStr">
        <is>
          <t>2025Q3</t>
        </is>
      </c>
      <c r="F2082" s="2" t="n">
        <v>72943</v>
      </c>
      <c r="G2082" t="n">
        <v>11.1</v>
      </c>
      <c r="H2082" t="n">
        <v>32.3</v>
      </c>
      <c r="I2082" s="2" t="n">
        <v>12546</v>
      </c>
      <c r="J2082" t="n">
        <v>25.6</v>
      </c>
      <c r="K2082" t="n">
        <v>52.6</v>
      </c>
      <c r="L2082" s="2" t="n">
        <v>28625</v>
      </c>
      <c r="M2082" t="n">
        <v>306.7</v>
      </c>
      <c r="N2082" t="inlineStr">
        <is>
          <t>20251030900424</t>
        </is>
      </c>
      <c r="O2082">
        <f>HYPERLINK("https://dart.fss.or.kr/dsaf001/main.do?rcpNo=20251030900424", "공시열람")</f>
        <v/>
      </c>
    </row>
    <row r="2083">
      <c r="A2083" t="inlineStr">
        <is>
          <t>2025-10-30</t>
        </is>
      </c>
      <c r="B2083" t="inlineStr">
        <is>
          <t>삼성E&amp;A</t>
        </is>
      </c>
      <c r="C2083" t="inlineStr">
        <is>
          <t>028050</t>
        </is>
      </c>
      <c r="D2083" t="inlineStr">
        <is>
          <t>연결</t>
        </is>
      </c>
      <c r="E2083" t="inlineStr">
        <is>
          <t>2025Q3</t>
        </is>
      </c>
      <c r="F2083" s="2" t="n">
        <v>1995609</v>
      </c>
      <c r="G2083" t="n">
        <v>-8.4</v>
      </c>
      <c r="H2083" t="n">
        <v>-13.9</v>
      </c>
      <c r="I2083" s="2" t="n">
        <v>176547</v>
      </c>
      <c r="J2083" t="n">
        <v>-2.4</v>
      </c>
      <c r="K2083" t="n">
        <v>-13.4</v>
      </c>
      <c r="L2083" s="2" t="n">
        <v>157372</v>
      </c>
      <c r="M2083" t="n">
        <v>-0.6</v>
      </c>
      <c r="N2083" t="inlineStr">
        <is>
          <t>20251030800449</t>
        </is>
      </c>
      <c r="O2083">
        <f>HYPERLINK("https://dart.fss.or.kr/dsaf001/main.do?rcpNo=20251030800449", "공시열람")</f>
        <v/>
      </c>
    </row>
    <row r="2084">
      <c r="A2084" t="inlineStr">
        <is>
          <t>2025-10-30</t>
        </is>
      </c>
      <c r="B2084" t="inlineStr">
        <is>
          <t>가온그룹</t>
        </is>
      </c>
      <c r="C2084" t="inlineStr">
        <is>
          <t>078890</t>
        </is>
      </c>
      <c r="D2084" t="inlineStr">
        <is>
          <t>연결</t>
        </is>
      </c>
      <c r="E2084" t="inlineStr">
        <is>
          <t>2025Q3</t>
        </is>
      </c>
      <c r="F2084" s="2" t="n">
        <v>115734</v>
      </c>
      <c r="G2084" t="n">
        <v>-13.2</v>
      </c>
      <c r="H2084" t="n">
        <v>0.5</v>
      </c>
      <c r="I2084" s="2" t="n">
        <v>2089</v>
      </c>
      <c r="J2084" t="n">
        <v>41.3</v>
      </c>
      <c r="K2084" t="inlineStr"/>
      <c r="L2084" s="2" t="n">
        <v>-9503</v>
      </c>
      <c r="M2084" t="n">
        <v>25.2</v>
      </c>
      <c r="N2084" t="inlineStr">
        <is>
          <t>20251030900461</t>
        </is>
      </c>
      <c r="O2084">
        <f>HYPERLINK("https://dart.fss.or.kr/dsaf001/main.do?rcpNo=20251030900461", "공시열람")</f>
        <v/>
      </c>
    </row>
    <row r="2085">
      <c r="A2085" t="inlineStr">
        <is>
          <t>2025-10-30</t>
        </is>
      </c>
      <c r="B2085" t="inlineStr">
        <is>
          <t>KB금융</t>
        </is>
      </c>
      <c r="C2085" t="inlineStr">
        <is>
          <t>105560</t>
        </is>
      </c>
      <c r="D2085" t="inlineStr">
        <is>
          <t>연결</t>
        </is>
      </c>
      <c r="E2085" t="inlineStr">
        <is>
          <t>2025Q3</t>
        </is>
      </c>
      <c r="F2085" s="2" t="n">
        <v>14972327</v>
      </c>
      <c r="G2085" t="n">
        <v>-38.13</v>
      </c>
      <c r="H2085" t="n">
        <v>-3.33</v>
      </c>
      <c r="I2085" s="2" t="n">
        <v>2334990</v>
      </c>
      <c r="J2085" t="n">
        <v>9.470000000000001</v>
      </c>
      <c r="K2085" t="n">
        <v>-1.29</v>
      </c>
      <c r="L2085" s="2" t="n">
        <v>1655228</v>
      </c>
      <c r="M2085" t="n">
        <v>3.33</v>
      </c>
      <c r="N2085" t="inlineStr">
        <is>
          <t>20251030800460</t>
        </is>
      </c>
      <c r="O2085">
        <f>HYPERLINK("https://dart.fss.or.kr/dsaf001/main.do?rcpNo=20251030800460", "공시열람")</f>
        <v/>
      </c>
    </row>
    <row r="2086">
      <c r="A2086" t="inlineStr">
        <is>
          <t>2025-10-30</t>
        </is>
      </c>
      <c r="B2086" t="inlineStr">
        <is>
          <t>KB금융</t>
        </is>
      </c>
      <c r="C2086" t="inlineStr">
        <is>
          <t>105560</t>
        </is>
      </c>
      <c r="D2086" t="inlineStr">
        <is>
          <t>연결</t>
        </is>
      </c>
      <c r="E2086" t="inlineStr">
        <is>
          <t>2025Q3</t>
        </is>
      </c>
      <c r="F2086" s="2" t="n">
        <v>6444666</v>
      </c>
      <c r="G2086" t="n">
        <v>-54.52</v>
      </c>
      <c r="H2086" t="n">
        <v>-18.12</v>
      </c>
      <c r="I2086" s="2" t="n">
        <v>1573852</v>
      </c>
      <c r="J2086" t="n">
        <v>1.12</v>
      </c>
      <c r="K2086" t="n">
        <v>-1.03</v>
      </c>
      <c r="L2086" s="2" t="n">
        <v>1175328</v>
      </c>
      <c r="M2086" t="n">
        <v>9.630000000000001</v>
      </c>
      <c r="N2086" t="inlineStr">
        <is>
          <t>20251030800463</t>
        </is>
      </c>
      <c r="O2086">
        <f>HYPERLINK("https://dart.fss.or.kr/dsaf001/main.do?rcpNo=20251030800463", "공시열람")</f>
        <v/>
      </c>
    </row>
    <row r="2087">
      <c r="A2087" t="inlineStr">
        <is>
          <t>2025-10-30</t>
        </is>
      </c>
      <c r="B2087" t="inlineStr">
        <is>
          <t>NH투자증권</t>
        </is>
      </c>
      <c r="C2087" t="inlineStr">
        <is>
          <t>005940</t>
        </is>
      </c>
      <c r="D2087" t="inlineStr">
        <is>
          <t>연결</t>
        </is>
      </c>
      <c r="E2087" t="inlineStr">
        <is>
          <t>2025Q3</t>
        </is>
      </c>
      <c r="F2087" s="2" t="n">
        <v>2719912</v>
      </c>
      <c r="G2087" t="n">
        <v>-34.84</v>
      </c>
      <c r="H2087" t="n">
        <v>14.96</v>
      </c>
      <c r="I2087" s="2" t="n">
        <v>391344</v>
      </c>
      <c r="J2087" t="n">
        <v>21.56</v>
      </c>
      <c r="K2087" t="n">
        <v>107.95</v>
      </c>
      <c r="L2087" s="2" t="n">
        <v>283083</v>
      </c>
      <c r="M2087" t="n">
        <v>83.84</v>
      </c>
      <c r="N2087" t="inlineStr">
        <is>
          <t>20251030800494</t>
        </is>
      </c>
      <c r="O2087">
        <f>HYPERLINK("https://dart.fss.or.kr/dsaf001/main.do?rcpNo=20251030800494", "공시열람")</f>
        <v/>
      </c>
    </row>
    <row r="2088">
      <c r="A2088" t="inlineStr">
        <is>
          <t>2025-10-30</t>
        </is>
      </c>
      <c r="B2088" t="inlineStr">
        <is>
          <t>한솔제지</t>
        </is>
      </c>
      <c r="C2088" t="inlineStr">
        <is>
          <t>213500</t>
        </is>
      </c>
      <c r="D2088" t="inlineStr">
        <is>
          <t>별도</t>
        </is>
      </c>
      <c r="E2088" t="inlineStr">
        <is>
          <t>2025Q3</t>
        </is>
      </c>
      <c r="F2088" s="2" t="n">
        <v>512910</v>
      </c>
      <c r="G2088" t="n">
        <v>-2.6</v>
      </c>
      <c r="H2088" t="n">
        <v>0.9</v>
      </c>
      <c r="I2088" s="2" t="n">
        <v>-6416</v>
      </c>
      <c r="J2088" t="n">
        <v>-186.5</v>
      </c>
      <c r="K2088" t="n">
        <v>64.2</v>
      </c>
      <c r="L2088" s="2" t="n">
        <v>-15380</v>
      </c>
      <c r="M2088" t="n">
        <v>26.5</v>
      </c>
      <c r="N2088" t="inlineStr">
        <is>
          <t>20251030800337</t>
        </is>
      </c>
      <c r="O2088">
        <f>HYPERLINK("https://dart.fss.or.kr/dsaf001/main.do?rcpNo=20251030800337", "공시열람")</f>
        <v/>
      </c>
    </row>
    <row r="2089">
      <c r="A2089" t="inlineStr">
        <is>
          <t>2025-10-30</t>
        </is>
      </c>
      <c r="B2089" t="inlineStr">
        <is>
          <t>두산밥캣</t>
        </is>
      </c>
      <c r="C2089" t="inlineStr">
        <is>
          <t>241560</t>
        </is>
      </c>
      <c r="D2089" t="inlineStr">
        <is>
          <t>연결</t>
        </is>
      </c>
      <c r="E2089" t="inlineStr">
        <is>
          <t>2025Q3</t>
        </is>
      </c>
      <c r="F2089" s="2" t="n">
        <v>2115200</v>
      </c>
      <c r="G2089" t="n">
        <v>-3.9</v>
      </c>
      <c r="H2089" t="n">
        <v>19</v>
      </c>
      <c r="I2089" s="2" t="n">
        <v>133600</v>
      </c>
      <c r="J2089" t="n">
        <v>-34.6</v>
      </c>
      <c r="K2089" t="n">
        <v>6.3</v>
      </c>
      <c r="L2089" s="2" t="n">
        <v>81900</v>
      </c>
      <c r="M2089" t="n">
        <v>27.3</v>
      </c>
      <c r="N2089" t="inlineStr">
        <is>
          <t>20251030800553</t>
        </is>
      </c>
      <c r="O2089">
        <f>HYPERLINK("https://dart.fss.or.kr/dsaf001/main.do?rcpNo=20251030800553", "공시열람")</f>
        <v/>
      </c>
    </row>
    <row r="2090">
      <c r="A2090" t="inlineStr">
        <is>
          <t>2025-10-30</t>
        </is>
      </c>
      <c r="B2090" t="inlineStr">
        <is>
          <t>현대차증권</t>
        </is>
      </c>
      <c r="C2090" t="inlineStr">
        <is>
          <t>001500</t>
        </is>
      </c>
      <c r="D2090" t="inlineStr">
        <is>
          <t>연결</t>
        </is>
      </c>
      <c r="E2090" t="inlineStr">
        <is>
          <t>2025Q3</t>
        </is>
      </c>
      <c r="F2090" s="2" t="n">
        <v>244010</v>
      </c>
      <c r="G2090" t="n">
        <v>-64.8</v>
      </c>
      <c r="H2090" t="n">
        <v>-3.2</v>
      </c>
      <c r="I2090" s="2" t="n">
        <v>14076</v>
      </c>
      <c r="J2090" t="n">
        <v>-47.9</v>
      </c>
      <c r="K2090" t="n">
        <v>-3.3</v>
      </c>
      <c r="L2090" s="2" t="n">
        <v>12219</v>
      </c>
      <c r="M2090" t="n">
        <v>14.7</v>
      </c>
      <c r="N2090" t="inlineStr">
        <is>
          <t>20251030800557</t>
        </is>
      </c>
      <c r="O2090">
        <f>HYPERLINK("https://dart.fss.or.kr/dsaf001/main.do?rcpNo=20251030800557", "공시열람")</f>
        <v/>
      </c>
    </row>
    <row r="2091">
      <c r="A2091" t="inlineStr">
        <is>
          <t>2025-10-30</t>
        </is>
      </c>
      <c r="B2091" t="inlineStr">
        <is>
          <t>아가방컴퍼니</t>
        </is>
      </c>
      <c r="C2091" t="inlineStr">
        <is>
          <t>013990</t>
        </is>
      </c>
      <c r="D2091" t="inlineStr">
        <is>
          <t>연결</t>
        </is>
      </c>
      <c r="E2091" t="inlineStr">
        <is>
          <t>2025Q3</t>
        </is>
      </c>
      <c r="F2091" s="2" t="n">
        <v>43574</v>
      </c>
      <c r="G2091" t="n">
        <v>-2.1</v>
      </c>
      <c r="H2091" t="n">
        <v>6.6</v>
      </c>
      <c r="I2091" s="2" t="n">
        <v>2024</v>
      </c>
      <c r="J2091" t="n">
        <v>-58.6</v>
      </c>
      <c r="K2091" t="n">
        <v>-35</v>
      </c>
      <c r="L2091" s="2" t="n">
        <v>1320</v>
      </c>
      <c r="M2091" t="n">
        <v>-15</v>
      </c>
      <c r="N2091" t="inlineStr">
        <is>
          <t>20251030900573</t>
        </is>
      </c>
      <c r="O2091">
        <f>HYPERLINK("https://dart.fss.or.kr/dsaf001/main.do?rcpNo=20251030900573", "공시열람")</f>
        <v/>
      </c>
    </row>
    <row r="2092">
      <c r="A2092" t="inlineStr">
        <is>
          <t>2025-10-30</t>
        </is>
      </c>
      <c r="B2092" t="inlineStr">
        <is>
          <t>한독</t>
        </is>
      </c>
      <c r="C2092" t="inlineStr">
        <is>
          <t>002390</t>
        </is>
      </c>
      <c r="D2092" t="inlineStr">
        <is>
          <t>별도</t>
        </is>
      </c>
      <c r="E2092" t="inlineStr">
        <is>
          <t>2025Q3</t>
        </is>
      </c>
      <c r="F2092" s="2" t="n">
        <v>140823</v>
      </c>
      <c r="G2092" t="n">
        <v>12.4</v>
      </c>
      <c r="H2092" t="n">
        <v>9.710000000000001</v>
      </c>
      <c r="I2092" s="2" t="n">
        <v>287</v>
      </c>
      <c r="J2092" t="inlineStr"/>
      <c r="K2092" t="inlineStr"/>
      <c r="L2092" s="2" t="n">
        <v>54</v>
      </c>
      <c r="M2092" t="inlineStr"/>
      <c r="N2092" t="inlineStr">
        <is>
          <t>20251030800543</t>
        </is>
      </c>
      <c r="O2092">
        <f>HYPERLINK("https://dart.fss.or.kr/dsaf001/main.do?rcpNo=20251030800543", "공시열람")</f>
        <v/>
      </c>
    </row>
    <row r="2093">
      <c r="A2093" t="inlineStr">
        <is>
          <t>2025-10-30</t>
        </is>
      </c>
      <c r="B2093" t="inlineStr">
        <is>
          <t>한미약품</t>
        </is>
      </c>
      <c r="C2093" t="inlineStr">
        <is>
          <t>128940</t>
        </is>
      </c>
      <c r="D2093" t="inlineStr">
        <is>
          <t>연결</t>
        </is>
      </c>
      <c r="E2093" t="inlineStr">
        <is>
          <t>2025Q3</t>
        </is>
      </c>
      <c r="F2093" s="2" t="n">
        <v>362345</v>
      </c>
      <c r="G2093" t="n">
        <v>0.3</v>
      </c>
      <c r="H2093" t="n">
        <v>0.1</v>
      </c>
      <c r="I2093" s="2" t="n">
        <v>55069</v>
      </c>
      <c r="J2093" t="n">
        <v>-8.9</v>
      </c>
      <c r="K2093" t="n">
        <v>8</v>
      </c>
      <c r="L2093" s="2" t="n">
        <v>45416</v>
      </c>
      <c r="M2093" t="n">
        <v>29.9</v>
      </c>
      <c r="N2093" t="inlineStr">
        <is>
          <t>20251030800575</t>
        </is>
      </c>
      <c r="O2093">
        <f>HYPERLINK("https://dart.fss.or.kr/dsaf001/main.do?rcpNo=20251030800575", "공시열람")</f>
        <v/>
      </c>
    </row>
    <row r="2094">
      <c r="A2094" t="inlineStr">
        <is>
          <t>2025-10-30</t>
        </is>
      </c>
      <c r="B2094" t="inlineStr">
        <is>
          <t>HL만도</t>
        </is>
      </c>
      <c r="C2094" t="inlineStr">
        <is>
          <t>204320</t>
        </is>
      </c>
      <c r="D2094" t="inlineStr">
        <is>
          <t>연결</t>
        </is>
      </c>
      <c r="E2094" t="inlineStr">
        <is>
          <t>2025Q3</t>
        </is>
      </c>
      <c r="F2094" s="2" t="n">
        <v>2321278</v>
      </c>
      <c r="G2094" t="n">
        <v>-3.3</v>
      </c>
      <c r="H2094" t="n">
        <v>6.9</v>
      </c>
      <c r="I2094" s="2" t="n">
        <v>94152</v>
      </c>
      <c r="J2094" t="n">
        <v>-9.6</v>
      </c>
      <c r="K2094" t="n">
        <v>14.1</v>
      </c>
      <c r="L2094" s="2" t="n">
        <v>49217</v>
      </c>
      <c r="M2094" t="inlineStr"/>
      <c r="N2094" t="inlineStr">
        <is>
          <t>20251030800625</t>
        </is>
      </c>
      <c r="O2094">
        <f>HYPERLINK("https://dart.fss.or.kr/dsaf001/main.do?rcpNo=20251030800625", "공시열람")</f>
        <v/>
      </c>
    </row>
    <row r="2095">
      <c r="A2095" t="inlineStr">
        <is>
          <t>2025-10-30</t>
        </is>
      </c>
      <c r="B2095" t="inlineStr">
        <is>
          <t>파트론</t>
        </is>
      </c>
      <c r="C2095" t="inlineStr">
        <is>
          <t>091700</t>
        </is>
      </c>
      <c r="D2095" t="inlineStr">
        <is>
          <t>연결</t>
        </is>
      </c>
      <c r="E2095" t="inlineStr">
        <is>
          <t>2025Q3</t>
        </is>
      </c>
      <c r="F2095" s="2" t="n">
        <v>381406</v>
      </c>
      <c r="G2095" t="n">
        <v>26.5</v>
      </c>
      <c r="H2095" t="n">
        <v>-9.199999999999999</v>
      </c>
      <c r="I2095" s="2" t="n">
        <v>16411</v>
      </c>
      <c r="J2095" t="n">
        <v>156.3</v>
      </c>
      <c r="K2095" t="n">
        <v>-15.9</v>
      </c>
      <c r="L2095" s="2" t="n">
        <v>14870</v>
      </c>
      <c r="M2095" t="n">
        <v>29.4</v>
      </c>
      <c r="N2095" t="inlineStr">
        <is>
          <t>20251030900514</t>
        </is>
      </c>
      <c r="O2095">
        <f>HYPERLINK("https://dart.fss.or.kr/dsaf001/main.do?rcpNo=20251030900514", "공시열람")</f>
        <v/>
      </c>
    </row>
    <row r="2096">
      <c r="A2096" t="inlineStr">
        <is>
          <t>2025-10-30</t>
        </is>
      </c>
      <c r="B2096" t="inlineStr">
        <is>
          <t>엘컴텍</t>
        </is>
      </c>
      <c r="C2096" t="inlineStr">
        <is>
          <t>037950</t>
        </is>
      </c>
      <c r="D2096" t="inlineStr">
        <is>
          <t>연결</t>
        </is>
      </c>
      <c r="E2096" t="inlineStr">
        <is>
          <t>2025Q3</t>
        </is>
      </c>
      <c r="F2096" s="2" t="n">
        <v>11807</v>
      </c>
      <c r="G2096" t="n">
        <v>-1.8</v>
      </c>
      <c r="H2096" t="n">
        <v>-30.4</v>
      </c>
      <c r="I2096" s="2" t="n">
        <v>334</v>
      </c>
      <c r="J2096" t="n">
        <v>-50.5</v>
      </c>
      <c r="K2096" t="n">
        <v>-76.3</v>
      </c>
      <c r="L2096" s="2" t="n">
        <v>744</v>
      </c>
      <c r="M2096" t="n">
        <v>-23.7</v>
      </c>
      <c r="N2096" t="inlineStr">
        <is>
          <t>20251030900509</t>
        </is>
      </c>
      <c r="O2096">
        <f>HYPERLINK("https://dart.fss.or.kr/dsaf001/main.do?rcpNo=20251030900509", "공시열람")</f>
        <v/>
      </c>
    </row>
    <row r="2097">
      <c r="A2097" t="inlineStr">
        <is>
          <t>2025-10-30</t>
        </is>
      </c>
      <c r="B2097" t="inlineStr">
        <is>
          <t>LG디스플레이</t>
        </is>
      </c>
      <c r="C2097" t="inlineStr">
        <is>
          <t>034220</t>
        </is>
      </c>
      <c r="D2097" t="inlineStr">
        <is>
          <t>연결</t>
        </is>
      </c>
      <c r="E2097" t="inlineStr">
        <is>
          <t>2025Q3</t>
        </is>
      </c>
      <c r="F2097" s="2" t="n">
        <v>6956978</v>
      </c>
      <c r="G2097" t="n">
        <v>24.5</v>
      </c>
      <c r="H2097" t="n">
        <v>2</v>
      </c>
      <c r="I2097" s="2" t="n">
        <v>431037</v>
      </c>
      <c r="J2097" t="inlineStr"/>
      <c r="K2097" t="inlineStr"/>
      <c r="L2097" s="2" t="n">
        <v>1247</v>
      </c>
      <c r="M2097" t="inlineStr"/>
      <c r="N2097" t="inlineStr">
        <is>
          <t>20251030800299</t>
        </is>
      </c>
      <c r="O2097">
        <f>HYPERLINK("https://dart.fss.or.kr/dsaf001/main.do?rcpNo=20251030800299", "공시열람")</f>
        <v/>
      </c>
    </row>
    <row r="2098">
      <c r="A2098" t="inlineStr">
        <is>
          <t>2025-10-30</t>
        </is>
      </c>
      <c r="B2098" t="inlineStr">
        <is>
          <t>현대자동차</t>
        </is>
      </c>
      <c r="C2098" t="inlineStr">
        <is>
          <t>005380</t>
        </is>
      </c>
      <c r="D2098" t="inlineStr">
        <is>
          <t>연결</t>
        </is>
      </c>
      <c r="E2098" t="inlineStr">
        <is>
          <t>2025Q3</t>
        </is>
      </c>
      <c r="F2098" s="2" t="n">
        <v>46721448</v>
      </c>
      <c r="G2098" t="n">
        <v>-3.2</v>
      </c>
      <c r="H2098" t="n">
        <v>8.800000000000001</v>
      </c>
      <c r="I2098" s="2" t="n">
        <v>2537266</v>
      </c>
      <c r="J2098" t="n">
        <v>-29.6</v>
      </c>
      <c r="K2098" t="n">
        <v>-29.1</v>
      </c>
      <c r="L2098" s="2" t="n">
        <v>2548183</v>
      </c>
      <c r="M2098" t="n">
        <v>-20.5</v>
      </c>
      <c r="N2098" t="inlineStr">
        <is>
          <t>20251030800331</t>
        </is>
      </c>
      <c r="O2098">
        <f>HYPERLINK("https://dart.fss.or.kr/dsaf001/main.do?rcpNo=20251030800331", "공시열람")</f>
        <v/>
      </c>
    </row>
    <row r="2099">
      <c r="A2099" t="inlineStr">
        <is>
          <t>2025-10-30</t>
        </is>
      </c>
      <c r="B2099" t="inlineStr">
        <is>
          <t>라온로보틱스</t>
        </is>
      </c>
      <c r="C2099" t="inlineStr">
        <is>
          <t>232680</t>
        </is>
      </c>
      <c r="D2099" t="inlineStr">
        <is>
          <t>별도</t>
        </is>
      </c>
      <c r="E2099" t="inlineStr">
        <is>
          <t>2025Q3</t>
        </is>
      </c>
      <c r="F2099" s="2" t="n">
        <v>12966</v>
      </c>
      <c r="G2099" t="n">
        <v>-4.9</v>
      </c>
      <c r="H2099" t="n">
        <v>-13.8</v>
      </c>
      <c r="I2099" s="2" t="n">
        <v>1095</v>
      </c>
      <c r="J2099" t="n">
        <v>-38.4</v>
      </c>
      <c r="K2099" t="n">
        <v>-4.7</v>
      </c>
      <c r="L2099" s="2" t="n">
        <v>1058</v>
      </c>
      <c r="M2099" t="n">
        <v>-0.8</v>
      </c>
      <c r="N2099" t="inlineStr">
        <is>
          <t>20251030900376</t>
        </is>
      </c>
      <c r="O2099">
        <f>HYPERLINK("https://dart.fss.or.kr/dsaf001/main.do?rcpNo=20251030900376", "공시열람")</f>
        <v/>
      </c>
    </row>
    <row r="2100">
      <c r="A2100" t="inlineStr">
        <is>
          <t>2025-10-30</t>
        </is>
      </c>
      <c r="B2100" t="inlineStr">
        <is>
          <t>한솔로지스틱스</t>
        </is>
      </c>
      <c r="C2100" t="inlineStr">
        <is>
          <t>009180</t>
        </is>
      </c>
      <c r="D2100" t="inlineStr">
        <is>
          <t>연결</t>
        </is>
      </c>
      <c r="E2100" t="inlineStr">
        <is>
          <t>2025Q3</t>
        </is>
      </c>
      <c r="F2100" s="2" t="n">
        <v>169472</v>
      </c>
      <c r="G2100" t="n">
        <v>-4.8</v>
      </c>
      <c r="H2100" t="n">
        <v>-3.6</v>
      </c>
      <c r="I2100" s="2" t="n">
        <v>6114</v>
      </c>
      <c r="J2100" t="n">
        <v>-4.5</v>
      </c>
      <c r="K2100" t="n">
        <v>16.3</v>
      </c>
      <c r="L2100" s="2" t="n">
        <v>3553</v>
      </c>
      <c r="M2100" t="n">
        <v>16.2</v>
      </c>
      <c r="N2100" t="inlineStr">
        <is>
          <t>20251030800304</t>
        </is>
      </c>
      <c r="O2100">
        <f>HYPERLINK("https://dart.fss.or.kr/dsaf001/main.do?rcpNo=20251030800304", "공시열람")</f>
        <v/>
      </c>
    </row>
    <row r="2101">
      <c r="A2101" t="inlineStr">
        <is>
          <t>2025-10-30</t>
        </is>
      </c>
      <c r="B2101" t="inlineStr">
        <is>
          <t>현대제철</t>
        </is>
      </c>
      <c r="C2101" t="inlineStr">
        <is>
          <t>004020</t>
        </is>
      </c>
      <c r="D2101" t="inlineStr">
        <is>
          <t>별도</t>
        </is>
      </c>
      <c r="E2101" t="inlineStr">
        <is>
          <t>2025Q3</t>
        </is>
      </c>
      <c r="F2101" s="2" t="n">
        <v>4532500</v>
      </c>
      <c r="G2101" t="n">
        <v>-3.2</v>
      </c>
      <c r="H2101" t="n">
        <v>1.6</v>
      </c>
      <c r="I2101" s="2" t="n">
        <v>47100</v>
      </c>
      <c r="J2101" t="inlineStr"/>
      <c r="K2101" t="n">
        <v>46.7</v>
      </c>
      <c r="L2101" s="2" t="n">
        <v>-2700</v>
      </c>
      <c r="M2101" t="n">
        <v>95.59999999999999</v>
      </c>
      <c r="N2101" t="inlineStr">
        <is>
          <t>20251030800324</t>
        </is>
      </c>
      <c r="O2101">
        <f>HYPERLINK("https://dart.fss.or.kr/dsaf001/main.do?rcpNo=20251030800324", "공시열람")</f>
        <v/>
      </c>
    </row>
    <row r="2102">
      <c r="A2102" t="inlineStr">
        <is>
          <t>2025-10-30</t>
        </is>
      </c>
      <c r="B2102" t="inlineStr">
        <is>
          <t>슈프리마</t>
        </is>
      </c>
      <c r="C2102" t="inlineStr">
        <is>
          <t>236200</t>
        </is>
      </c>
      <c r="D2102" t="inlineStr">
        <is>
          <t>연결</t>
        </is>
      </c>
      <c r="E2102" t="inlineStr">
        <is>
          <t>2025Q3</t>
        </is>
      </c>
      <c r="F2102" s="2" t="n">
        <v>30349</v>
      </c>
      <c r="G2102" t="n">
        <v>-6.7</v>
      </c>
      <c r="H2102" t="n">
        <v>20.88</v>
      </c>
      <c r="I2102" s="2" t="n">
        <v>6524</v>
      </c>
      <c r="J2102" t="n">
        <v>-13.82</v>
      </c>
      <c r="K2102" t="n">
        <v>13.84</v>
      </c>
      <c r="L2102" s="2" t="n">
        <v>10618</v>
      </c>
      <c r="M2102" t="n">
        <v>161.14</v>
      </c>
      <c r="N2102" t="inlineStr">
        <is>
          <t>20251030900297</t>
        </is>
      </c>
      <c r="O2102">
        <f>HYPERLINK("https://dart.fss.or.kr/dsaf001/main.do?rcpNo=20251030900297", "공시열람")</f>
        <v/>
      </c>
    </row>
    <row r="2103">
      <c r="A2103" t="inlineStr">
        <is>
          <t>2025-10-30</t>
        </is>
      </c>
      <c r="B2103" t="inlineStr">
        <is>
          <t>기업은행</t>
        </is>
      </c>
      <c r="C2103" t="inlineStr">
        <is>
          <t>024110</t>
        </is>
      </c>
      <c r="D2103" t="inlineStr">
        <is>
          <t>연결</t>
        </is>
      </c>
      <c r="E2103" t="inlineStr">
        <is>
          <t>2025Q3</t>
        </is>
      </c>
      <c r="F2103" s="2" t="n">
        <v>5853938</v>
      </c>
      <c r="G2103" t="n">
        <v>-42.9</v>
      </c>
      <c r="H2103" t="n">
        <v>-9.5</v>
      </c>
      <c r="I2103" s="2" t="n">
        <v>976740</v>
      </c>
      <c r="J2103" t="n">
        <v>5.3</v>
      </c>
      <c r="K2103" t="n">
        <v>-13.3</v>
      </c>
      <c r="L2103" s="2" t="n">
        <v>751160</v>
      </c>
      <c r="M2103" t="n">
        <v>-6.5</v>
      </c>
      <c r="N2103" t="inlineStr">
        <is>
          <t>20251030800319</t>
        </is>
      </c>
      <c r="O2103">
        <f>HYPERLINK("https://dart.fss.or.kr/dsaf001/main.do?rcpNo=20251030800319", "공시열람")</f>
        <v/>
      </c>
    </row>
    <row r="2104">
      <c r="A2104" t="inlineStr">
        <is>
          <t>2025-10-30</t>
        </is>
      </c>
      <c r="B2104" t="inlineStr">
        <is>
          <t>현대제철</t>
        </is>
      </c>
      <c r="C2104" t="inlineStr">
        <is>
          <t>004020</t>
        </is>
      </c>
      <c r="D2104" t="inlineStr">
        <is>
          <t>연결</t>
        </is>
      </c>
      <c r="E2104" t="inlineStr">
        <is>
          <t>2025Q3</t>
        </is>
      </c>
      <c r="F2104" s="2" t="n">
        <v>5734400</v>
      </c>
      <c r="G2104" t="n">
        <v>-3.6</v>
      </c>
      <c r="H2104" t="n">
        <v>2</v>
      </c>
      <c r="I2104" s="2" t="n">
        <v>93200</v>
      </c>
      <c r="J2104" t="n">
        <v>-8.4</v>
      </c>
      <c r="K2104" t="n">
        <v>81</v>
      </c>
      <c r="L2104" s="2" t="n">
        <v>17800</v>
      </c>
      <c r="M2104" t="inlineStr"/>
      <c r="N2104" t="inlineStr">
        <is>
          <t>20251030800329</t>
        </is>
      </c>
      <c r="O2104">
        <f>HYPERLINK("https://dart.fss.or.kr/dsaf001/main.do?rcpNo=20251030800329", "공시열람")</f>
        <v/>
      </c>
    </row>
    <row r="2105">
      <c r="A2105" t="inlineStr">
        <is>
          <t>2025-10-30</t>
        </is>
      </c>
      <c r="B2105" t="inlineStr">
        <is>
          <t>한솔제지</t>
        </is>
      </c>
      <c r="C2105" t="inlineStr">
        <is>
          <t>213500</t>
        </is>
      </c>
      <c r="D2105" t="inlineStr">
        <is>
          <t>연결</t>
        </is>
      </c>
      <c r="E2105" t="inlineStr">
        <is>
          <t>2025Q3</t>
        </is>
      </c>
      <c r="F2105" s="2" t="n">
        <v>554830</v>
      </c>
      <c r="G2105" t="n">
        <v>-1.8</v>
      </c>
      <c r="H2105" t="n">
        <v>-0.2</v>
      </c>
      <c r="I2105" s="2" t="n">
        <v>2550</v>
      </c>
      <c r="J2105" t="n">
        <v>-86.8</v>
      </c>
      <c r="K2105" t="n">
        <v>158.8</v>
      </c>
      <c r="L2105" s="2" t="n">
        <v>-9090</v>
      </c>
      <c r="M2105" t="n">
        <v>25.1</v>
      </c>
      <c r="N2105" t="inlineStr">
        <is>
          <t>20251030800336</t>
        </is>
      </c>
      <c r="O2105">
        <f>HYPERLINK("https://dart.fss.or.kr/dsaf001/main.do?rcpNo=20251030800336", "공시열람")</f>
        <v/>
      </c>
    </row>
    <row r="2106">
      <c r="A2106" t="inlineStr">
        <is>
          <t>2025-10-29</t>
        </is>
      </c>
      <c r="B2106" t="inlineStr">
        <is>
          <t>안랩</t>
        </is>
      </c>
      <c r="C2106" t="inlineStr">
        <is>
          <t>053800</t>
        </is>
      </c>
      <c r="D2106" t="inlineStr">
        <is>
          <t>별도</t>
        </is>
      </c>
      <c r="E2106" t="inlineStr">
        <is>
          <t>2025Q3</t>
        </is>
      </c>
      <c r="F2106" s="2" t="n">
        <v>57227</v>
      </c>
      <c r="G2106" t="n">
        <v>4.2</v>
      </c>
      <c r="H2106" t="n">
        <v>-6.2</v>
      </c>
      <c r="I2106" s="2" t="n">
        <v>10272</v>
      </c>
      <c r="J2106" t="n">
        <v>54.6</v>
      </c>
      <c r="K2106" t="n">
        <v>7.5</v>
      </c>
      <c r="L2106" s="2" t="n">
        <v>15096</v>
      </c>
      <c r="M2106" t="n">
        <v>7.1</v>
      </c>
      <c r="N2106" t="inlineStr">
        <is>
          <t>20251029900102</t>
        </is>
      </c>
      <c r="O2106">
        <f>HYPERLINK("https://dart.fss.or.kr/dsaf001/main.do?rcpNo=20251029900102", "공시열람")</f>
        <v/>
      </c>
    </row>
    <row r="2107">
      <c r="A2107" t="inlineStr">
        <is>
          <t>2025-10-29</t>
        </is>
      </c>
      <c r="B2107" t="inlineStr">
        <is>
          <t>한올바이오파마</t>
        </is>
      </c>
      <c r="C2107" t="inlineStr">
        <is>
          <t>009420</t>
        </is>
      </c>
      <c r="D2107" t="inlineStr">
        <is>
          <t>연결</t>
        </is>
      </c>
      <c r="E2107" t="inlineStr">
        <is>
          <t>2025Q3</t>
        </is>
      </c>
      <c r="F2107" s="2" t="n">
        <v>40804</v>
      </c>
      <c r="G2107" t="n">
        <v>0.3</v>
      </c>
      <c r="H2107" t="n">
        <v>10.8</v>
      </c>
      <c r="I2107" s="2" t="n">
        <v>349</v>
      </c>
      <c r="J2107" t="n">
        <v>-69.59999999999999</v>
      </c>
      <c r="K2107" t="n">
        <v>-18.9</v>
      </c>
      <c r="L2107" s="2" t="n">
        <v>299</v>
      </c>
      <c r="M2107" t="n">
        <v>34.7</v>
      </c>
      <c r="N2107" t="inlineStr">
        <is>
          <t>20251029800322</t>
        </is>
      </c>
      <c r="O2107">
        <f>HYPERLINK("https://dart.fss.or.kr/dsaf001/main.do?rcpNo=20251029800322", "공시열람")</f>
        <v/>
      </c>
    </row>
    <row r="2108">
      <c r="A2108" t="inlineStr">
        <is>
          <t>2025-10-29</t>
        </is>
      </c>
      <c r="B2108" t="inlineStr">
        <is>
          <t>동아쏘시오홀딩스</t>
        </is>
      </c>
      <c r="C2108" t="inlineStr">
        <is>
          <t>000640</t>
        </is>
      </c>
      <c r="D2108" t="inlineStr">
        <is>
          <t>연결</t>
        </is>
      </c>
      <c r="E2108" t="inlineStr">
        <is>
          <t>2025Q3</t>
        </is>
      </c>
      <c r="F2108" s="2" t="n">
        <v>382603</v>
      </c>
      <c r="G2108" t="n">
        <v>10.29</v>
      </c>
      <c r="H2108" t="n">
        <v>7.2</v>
      </c>
      <c r="I2108" s="2" t="n">
        <v>33306</v>
      </c>
      <c r="J2108" t="n">
        <v>18.28</v>
      </c>
      <c r="K2108" t="n">
        <v>47.74</v>
      </c>
      <c r="L2108" s="2" t="inlineStr"/>
      <c r="M2108" t="inlineStr"/>
      <c r="N2108" t="inlineStr">
        <is>
          <t>20251029800212</t>
        </is>
      </c>
      <c r="O2108">
        <f>HYPERLINK("https://dart.fss.or.kr/dsaf001/main.do?rcpNo=20251029800212", "공시열람")</f>
        <v/>
      </c>
    </row>
    <row r="2109">
      <c r="A2109" t="inlineStr">
        <is>
          <t>2025-10-29</t>
        </is>
      </c>
      <c r="B2109" t="inlineStr">
        <is>
          <t>안랩</t>
        </is>
      </c>
      <c r="C2109" t="inlineStr">
        <is>
          <t>053800</t>
        </is>
      </c>
      <c r="D2109" t="inlineStr">
        <is>
          <t>연결</t>
        </is>
      </c>
      <c r="E2109" t="inlineStr">
        <is>
          <t>2025Q3</t>
        </is>
      </c>
      <c r="F2109" s="2" t="n">
        <v>64535</v>
      </c>
      <c r="G2109" t="n">
        <v>3.6</v>
      </c>
      <c r="H2109" t="n">
        <v>-5.8</v>
      </c>
      <c r="I2109" s="2" t="n">
        <v>7881</v>
      </c>
      <c r="J2109" t="n">
        <v>127.8</v>
      </c>
      <c r="K2109" t="n">
        <v>-7.6</v>
      </c>
      <c r="L2109" s="2" t="n">
        <v>12677</v>
      </c>
      <c r="M2109" t="n">
        <v>40</v>
      </c>
      <c r="N2109" t="inlineStr">
        <is>
          <t>20251029900104</t>
        </is>
      </c>
      <c r="O2109">
        <f>HYPERLINK("https://dart.fss.or.kr/dsaf001/main.do?rcpNo=20251029900104", "공시열람")</f>
        <v/>
      </c>
    </row>
    <row r="2110">
      <c r="A2110" t="inlineStr">
        <is>
          <t>2025-10-29</t>
        </is>
      </c>
      <c r="B2110" t="inlineStr">
        <is>
          <t>한미사이언스</t>
        </is>
      </c>
      <c r="C2110" t="inlineStr">
        <is>
          <t>008930</t>
        </is>
      </c>
      <c r="D2110" t="inlineStr">
        <is>
          <t>연결</t>
        </is>
      </c>
      <c r="E2110" t="inlineStr">
        <is>
          <t>2025Q3</t>
        </is>
      </c>
      <c r="F2110" s="2" t="n">
        <v>342512</v>
      </c>
      <c r="G2110" t="n">
        <v>1.3</v>
      </c>
      <c r="H2110" t="n">
        <v>6.2</v>
      </c>
      <c r="I2110" s="2" t="n">
        <v>39302</v>
      </c>
      <c r="J2110" t="n">
        <v>13.5</v>
      </c>
      <c r="K2110" t="n">
        <v>75.2</v>
      </c>
      <c r="L2110" s="2" t="n">
        <v>31876</v>
      </c>
      <c r="M2110" t="n">
        <v>84.8</v>
      </c>
      <c r="N2110" t="inlineStr">
        <is>
          <t>20251029800519</t>
        </is>
      </c>
      <c r="O2110">
        <f>HYPERLINK("https://dart.fss.or.kr/dsaf001/main.do?rcpNo=20251029800519", "공시열람")</f>
        <v/>
      </c>
    </row>
    <row r="2111">
      <c r="A2111" t="inlineStr">
        <is>
          <t>2025-10-29</t>
        </is>
      </c>
      <c r="B2111" t="inlineStr">
        <is>
          <t>동양생명</t>
        </is>
      </c>
      <c r="C2111" t="inlineStr">
        <is>
          <t>082640</t>
        </is>
      </c>
      <c r="D2111" t="inlineStr">
        <is>
          <t>연결</t>
        </is>
      </c>
      <c r="E2111" t="inlineStr">
        <is>
          <t>2025Q3</t>
        </is>
      </c>
      <c r="F2111" s="2" t="n">
        <v>679189</v>
      </c>
      <c r="G2111" t="n">
        <v>-38.34</v>
      </c>
      <c r="H2111" t="n">
        <v>23.74</v>
      </c>
      <c r="I2111" s="2" t="n">
        <v>47744</v>
      </c>
      <c r="J2111" t="n">
        <v>15.35</v>
      </c>
      <c r="K2111" t="n">
        <v>-58.36</v>
      </c>
      <c r="L2111" s="2" t="n">
        <v>27444</v>
      </c>
      <c r="M2111" t="n">
        <v>-68.70999999999999</v>
      </c>
      <c r="N2111" t="inlineStr">
        <is>
          <t>20251029800469</t>
        </is>
      </c>
      <c r="O2111">
        <f>HYPERLINK("https://dart.fss.or.kr/dsaf001/main.do?rcpNo=20251029800469", "공시열람")</f>
        <v/>
      </c>
    </row>
    <row r="2112">
      <c r="A2112" t="inlineStr">
        <is>
          <t>2025-10-29</t>
        </is>
      </c>
      <c r="B2112" t="inlineStr">
        <is>
          <t>우리금융지주</t>
        </is>
      </c>
      <c r="C2112" t="inlineStr">
        <is>
          <t>316140</t>
        </is>
      </c>
      <c r="D2112" t="inlineStr">
        <is>
          <t>연결</t>
        </is>
      </c>
      <c r="E2112" t="inlineStr">
        <is>
          <t>2025Q3</t>
        </is>
      </c>
      <c r="F2112" s="2" t="n">
        <v>8000877</v>
      </c>
      <c r="G2112" t="n">
        <v>-41.04</v>
      </c>
      <c r="H2112" t="n">
        <v>7.53</v>
      </c>
      <c r="I2112" s="2" t="n">
        <v>987722</v>
      </c>
      <c r="J2112" t="n">
        <v>-10.89</v>
      </c>
      <c r="K2112" t="n">
        <v>-16.08</v>
      </c>
      <c r="L2112" s="2" t="n">
        <v>1291996</v>
      </c>
      <c r="M2112" t="n">
        <v>40.9</v>
      </c>
      <c r="N2112" t="inlineStr">
        <is>
          <t>20251029800432</t>
        </is>
      </c>
      <c r="O2112">
        <f>HYPERLINK("https://dart.fss.or.kr/dsaf001/main.do?rcpNo=20251029800432", "공시열람")</f>
        <v/>
      </c>
    </row>
    <row r="2113">
      <c r="A2113" t="inlineStr">
        <is>
          <t>2025-10-29</t>
        </is>
      </c>
      <c r="B2113" t="inlineStr">
        <is>
          <t>우리금융지주</t>
        </is>
      </c>
      <c r="C2113" t="inlineStr">
        <is>
          <t>316140</t>
        </is>
      </c>
      <c r="D2113" t="inlineStr">
        <is>
          <t>연결</t>
        </is>
      </c>
      <c r="E2113" t="inlineStr">
        <is>
          <t>2025Q3</t>
        </is>
      </c>
      <c r="F2113" s="2" t="n">
        <v>5062405</v>
      </c>
      <c r="G2113" t="n">
        <v>-58.69</v>
      </c>
      <c r="H2113" t="n">
        <v>-19.75</v>
      </c>
      <c r="I2113" s="2" t="n">
        <v>953514</v>
      </c>
      <c r="J2113" t="n">
        <v>-13.44</v>
      </c>
      <c r="K2113" t="n">
        <v>-12.63</v>
      </c>
      <c r="L2113" s="2" t="n">
        <v>736024</v>
      </c>
      <c r="M2113" t="n">
        <v>-13.59</v>
      </c>
      <c r="N2113" t="inlineStr">
        <is>
          <t>20251029800427</t>
        </is>
      </c>
      <c r="O2113">
        <f>HYPERLINK("https://dart.fss.or.kr/dsaf001/main.do?rcpNo=20251029800427", "공시열람")</f>
        <v/>
      </c>
    </row>
    <row r="2114">
      <c r="A2114" t="inlineStr">
        <is>
          <t>2025-10-29</t>
        </is>
      </c>
      <c r="B2114" t="inlineStr">
        <is>
          <t>엘앤에프</t>
        </is>
      </c>
      <c r="C2114" t="inlineStr">
        <is>
          <t>066970</t>
        </is>
      </c>
      <c r="D2114" t="inlineStr">
        <is>
          <t>연결</t>
        </is>
      </c>
      <c r="E2114" t="inlineStr">
        <is>
          <t>2025Q3</t>
        </is>
      </c>
      <c r="F2114" s="2" t="n">
        <v>652296</v>
      </c>
      <c r="G2114" t="n">
        <v>25.4</v>
      </c>
      <c r="H2114" t="n">
        <v>85.5</v>
      </c>
      <c r="I2114" s="2" t="n">
        <v>22122</v>
      </c>
      <c r="J2114" t="inlineStr"/>
      <c r="K2114" t="inlineStr"/>
      <c r="L2114" s="2" t="n">
        <v>-118313</v>
      </c>
      <c r="M2114" t="n">
        <v>-53.8</v>
      </c>
      <c r="N2114" t="inlineStr">
        <is>
          <t>20251029800395</t>
        </is>
      </c>
      <c r="O2114">
        <f>HYPERLINK("https://dart.fss.or.kr/dsaf001/main.do?rcpNo=20251029800395", "공시열람")</f>
        <v/>
      </c>
    </row>
    <row r="2115">
      <c r="A2115" t="inlineStr">
        <is>
          <t>2025-10-29</t>
        </is>
      </c>
      <c r="B2115" t="inlineStr">
        <is>
          <t>티씨케이</t>
        </is>
      </c>
      <c r="C2115" t="inlineStr">
        <is>
          <t>064760</t>
        </is>
      </c>
      <c r="D2115" t="inlineStr">
        <is>
          <t>별도</t>
        </is>
      </c>
      <c r="E2115" t="inlineStr">
        <is>
          <t>2025Q3</t>
        </is>
      </c>
      <c r="F2115" s="2" t="n">
        <v>79241</v>
      </c>
      <c r="G2115" t="n">
        <v>9.039999999999999</v>
      </c>
      <c r="H2115" t="n">
        <v>4.78</v>
      </c>
      <c r="I2115" s="2" t="n">
        <v>22377</v>
      </c>
      <c r="J2115" t="n">
        <v>14.75</v>
      </c>
      <c r="K2115" t="n">
        <v>-0.79</v>
      </c>
      <c r="L2115" s="2" t="n">
        <v>17138</v>
      </c>
      <c r="M2115" t="n">
        <v>-8.449999999999999</v>
      </c>
      <c r="N2115" t="inlineStr">
        <is>
          <t>20251029900641</t>
        </is>
      </c>
      <c r="O2115">
        <f>HYPERLINK("https://dart.fss.or.kr/dsaf001/main.do?rcpNo=20251029900641", "공시열람")</f>
        <v/>
      </c>
    </row>
    <row r="2116">
      <c r="A2116" t="inlineStr">
        <is>
          <t>2025-10-29</t>
        </is>
      </c>
      <c r="B2116" t="inlineStr">
        <is>
          <t>삼성전기</t>
        </is>
      </c>
      <c r="C2116" t="inlineStr">
        <is>
          <t>009150</t>
        </is>
      </c>
      <c r="D2116" t="inlineStr">
        <is>
          <t>연결</t>
        </is>
      </c>
      <c r="E2116" t="inlineStr">
        <is>
          <t>2025Q3</t>
        </is>
      </c>
      <c r="F2116" s="2" t="n">
        <v>2889036</v>
      </c>
      <c r="G2116" t="n">
        <v>3.7</v>
      </c>
      <c r="H2116" t="n">
        <v>10.5</v>
      </c>
      <c r="I2116" s="2" t="n">
        <v>260277</v>
      </c>
      <c r="J2116" t="n">
        <v>22.2</v>
      </c>
      <c r="K2116" t="n">
        <v>15.7</v>
      </c>
      <c r="L2116" s="2" t="n">
        <v>224852</v>
      </c>
      <c r="M2116" t="n">
        <v>81</v>
      </c>
      <c r="N2116" t="inlineStr">
        <is>
          <t>20251029800191</t>
        </is>
      </c>
      <c r="O2116">
        <f>HYPERLINK("https://dart.fss.or.kr/dsaf001/main.do?rcpNo=20251029800191", "공시열람")</f>
        <v/>
      </c>
    </row>
    <row r="2117">
      <c r="A2117" t="inlineStr">
        <is>
          <t>2025-10-29</t>
        </is>
      </c>
      <c r="B2117" t="inlineStr">
        <is>
          <t>한온시스템</t>
        </is>
      </c>
      <c r="C2117" t="inlineStr">
        <is>
          <t>018880</t>
        </is>
      </c>
      <c r="D2117" t="inlineStr">
        <is>
          <t>연결</t>
        </is>
      </c>
      <c r="E2117" t="inlineStr">
        <is>
          <t>2025Q3</t>
        </is>
      </c>
      <c r="F2117" s="2" t="n">
        <v>2705697</v>
      </c>
      <c r="G2117" t="n">
        <v>-5.3</v>
      </c>
      <c r="H2117" t="n">
        <v>8.199999999999999</v>
      </c>
      <c r="I2117" s="2" t="n">
        <v>95302</v>
      </c>
      <c r="J2117" t="n">
        <v>48.2</v>
      </c>
      <c r="K2117" t="n">
        <v>1.7</v>
      </c>
      <c r="L2117" s="2" t="n">
        <v>55271</v>
      </c>
      <c r="M2117" t="inlineStr"/>
      <c r="N2117" t="inlineStr">
        <is>
          <t>20251029800220</t>
        </is>
      </c>
      <c r="O2117">
        <f>HYPERLINK("https://dart.fss.or.kr/dsaf001/main.do?rcpNo=20251029800220", "공시열람")</f>
        <v/>
      </c>
    </row>
    <row r="2118">
      <c r="A2118" t="inlineStr">
        <is>
          <t>2025-10-29</t>
        </is>
      </c>
      <c r="B2118" t="inlineStr">
        <is>
          <t>HD건설기계</t>
        </is>
      </c>
      <c r="C2118" t="inlineStr">
        <is>
          <t>267270</t>
        </is>
      </c>
      <c r="D2118" t="inlineStr">
        <is>
          <t>연결</t>
        </is>
      </c>
      <c r="E2118" t="inlineStr">
        <is>
          <t>2025Q3</t>
        </is>
      </c>
      <c r="F2118" s="2" t="n">
        <v>954700</v>
      </c>
      <c r="G2118" t="n">
        <v>-1.3</v>
      </c>
      <c r="H2118" t="n">
        <v>16.9</v>
      </c>
      <c r="I2118" s="2" t="n">
        <v>55800</v>
      </c>
      <c r="J2118" t="n">
        <v>39.4</v>
      </c>
      <c r="K2118" t="n">
        <v>29.8</v>
      </c>
      <c r="L2118" s="2" t="n">
        <v>42300</v>
      </c>
      <c r="M2118" t="n">
        <v>269</v>
      </c>
      <c r="N2118" t="inlineStr">
        <is>
          <t>20251029800235</t>
        </is>
      </c>
      <c r="O2118">
        <f>HYPERLINK("https://dart.fss.or.kr/dsaf001/main.do?rcpNo=20251029800235", "공시열람")</f>
        <v/>
      </c>
    </row>
    <row r="2119">
      <c r="A2119" t="inlineStr">
        <is>
          <t>2025-10-29</t>
        </is>
      </c>
      <c r="B2119" t="inlineStr">
        <is>
          <t>HK이노엔</t>
        </is>
      </c>
      <c r="C2119" t="inlineStr">
        <is>
          <t>195940</t>
        </is>
      </c>
      <c r="D2119" t="inlineStr">
        <is>
          <t>별도</t>
        </is>
      </c>
      <c r="E2119" t="inlineStr">
        <is>
          <t>2025Q3</t>
        </is>
      </c>
      <c r="F2119" s="2" t="n">
        <v>260822</v>
      </c>
      <c r="G2119" t="n">
        <v>-0.9</v>
      </c>
      <c r="H2119" t="n">
        <v>13.7</v>
      </c>
      <c r="I2119" s="2" t="n">
        <v>25874</v>
      </c>
      <c r="J2119" t="n">
        <v>32.5</v>
      </c>
      <c r="K2119" t="n">
        <v>16.4</v>
      </c>
      <c r="L2119" s="2" t="n">
        <v>18557</v>
      </c>
      <c r="M2119" t="n">
        <v>28</v>
      </c>
      <c r="N2119" t="inlineStr">
        <is>
          <t>20251029900201</t>
        </is>
      </c>
      <c r="O2119">
        <f>HYPERLINK("https://dart.fss.or.kr/dsaf001/main.do?rcpNo=20251029900201", "공시열람")</f>
        <v/>
      </c>
    </row>
    <row r="2120">
      <c r="A2120" t="inlineStr">
        <is>
          <t>2025-10-29</t>
        </is>
      </c>
      <c r="B2120" t="inlineStr">
        <is>
          <t>동아에스티</t>
        </is>
      </c>
      <c r="C2120" t="inlineStr">
        <is>
          <t>170900</t>
        </is>
      </c>
      <c r="D2120" t="inlineStr">
        <is>
          <t>별도</t>
        </is>
      </c>
      <c r="E2120" t="inlineStr">
        <is>
          <t>2025Q3</t>
        </is>
      </c>
      <c r="F2120" s="2" t="n">
        <v>198356</v>
      </c>
      <c r="G2120" t="n">
        <v>11.8</v>
      </c>
      <c r="H2120" t="n">
        <v>10.5</v>
      </c>
      <c r="I2120" s="2" t="n">
        <v>16752</v>
      </c>
      <c r="J2120" t="n">
        <v>317.2</v>
      </c>
      <c r="K2120" t="n">
        <v>-15.4</v>
      </c>
      <c r="L2120" s="2" t="n">
        <v>14202</v>
      </c>
      <c r="M2120" t="n">
        <v>1063.4</v>
      </c>
      <c r="N2120" t="inlineStr">
        <is>
          <t>20251029800206</t>
        </is>
      </c>
      <c r="O2120">
        <f>HYPERLINK("https://dart.fss.or.kr/dsaf001/main.do?rcpNo=20251029800206", "공시열람")</f>
        <v/>
      </c>
    </row>
    <row r="2121">
      <c r="A2121" t="inlineStr">
        <is>
          <t>2025-10-29</t>
        </is>
      </c>
      <c r="B2121" t="inlineStr">
        <is>
          <t>SK하이닉스</t>
        </is>
      </c>
      <c r="C2121" t="inlineStr">
        <is>
          <t>000660</t>
        </is>
      </c>
      <c r="D2121" t="inlineStr">
        <is>
          <t>연결</t>
        </is>
      </c>
      <c r="E2121" t="inlineStr">
        <is>
          <t>2025Q3</t>
        </is>
      </c>
      <c r="F2121" s="2" t="n">
        <v>24448929</v>
      </c>
      <c r="G2121" t="n">
        <v>10</v>
      </c>
      <c r="H2121" t="n">
        <v>39.1</v>
      </c>
      <c r="I2121" s="2" t="n">
        <v>11383390</v>
      </c>
      <c r="J2121" t="n">
        <v>23.6</v>
      </c>
      <c r="K2121" t="n">
        <v>61.9</v>
      </c>
      <c r="L2121" s="2" t="n">
        <v>12597538</v>
      </c>
      <c r="M2121" t="n">
        <v>119</v>
      </c>
      <c r="N2121" t="inlineStr">
        <is>
          <t>20251029800001</t>
        </is>
      </c>
      <c r="O2121">
        <f>HYPERLINK("https://dart.fss.or.kr/dsaf001/main.do?rcpNo=20251029800001", "공시열람")</f>
        <v/>
      </c>
    </row>
    <row r="2122">
      <c r="A2122" t="inlineStr">
        <is>
          <t>2025-10-29</t>
        </is>
      </c>
      <c r="B2122" t="inlineStr">
        <is>
          <t>에스티팜</t>
        </is>
      </c>
      <c r="C2122" t="inlineStr">
        <is>
          <t>237690</t>
        </is>
      </c>
      <c r="D2122" t="inlineStr">
        <is>
          <t>연결</t>
        </is>
      </c>
      <c r="E2122" t="inlineStr">
        <is>
          <t>2025Q3</t>
        </is>
      </c>
      <c r="F2122" s="2" t="n">
        <v>81875</v>
      </c>
      <c r="G2122" t="n">
        <v>20</v>
      </c>
      <c r="H2122" t="n">
        <v>32.7</v>
      </c>
      <c r="I2122" s="2" t="n">
        <v>14729</v>
      </c>
      <c r="J2122" t="n">
        <v>14</v>
      </c>
      <c r="K2122" t="n">
        <v>141.6</v>
      </c>
      <c r="L2122" s="2" t="n">
        <v>20490</v>
      </c>
      <c r="M2122" t="n">
        <v>49.7</v>
      </c>
      <c r="N2122" t="inlineStr">
        <is>
          <t>20251029900213</t>
        </is>
      </c>
      <c r="O2122">
        <f>HYPERLINK("https://dart.fss.or.kr/dsaf001/main.do?rcpNo=20251029900213", "공시열람")</f>
        <v/>
      </c>
    </row>
    <row r="2123">
      <c r="A2123" t="inlineStr">
        <is>
          <t>2025-10-29</t>
        </is>
      </c>
      <c r="B2123" t="inlineStr">
        <is>
          <t>KG모빌리티</t>
        </is>
      </c>
      <c r="C2123" t="inlineStr">
        <is>
          <t>003620</t>
        </is>
      </c>
      <c r="D2123" t="inlineStr">
        <is>
          <t>별도</t>
        </is>
      </c>
      <c r="E2123" t="inlineStr">
        <is>
          <t>2025Q3</t>
        </is>
      </c>
      <c r="F2123" s="2" t="n">
        <v>1188900</v>
      </c>
      <c r="G2123" t="n">
        <v>14.7</v>
      </c>
      <c r="H2123" t="n">
        <v>36.7</v>
      </c>
      <c r="I2123" s="2" t="n">
        <v>3000</v>
      </c>
      <c r="J2123" t="n">
        <v>-83.2</v>
      </c>
      <c r="K2123" t="inlineStr"/>
      <c r="L2123" s="2" t="n">
        <v>10500</v>
      </c>
      <c r="M2123" t="inlineStr"/>
      <c r="N2123" t="inlineStr">
        <is>
          <t>20251029800200</t>
        </is>
      </c>
      <c r="O2123">
        <f>HYPERLINK("https://dart.fss.or.kr/dsaf001/main.do?rcpNo=20251029800200", "공시열람")</f>
        <v/>
      </c>
    </row>
    <row r="2124">
      <c r="A2124" t="inlineStr">
        <is>
          <t>2025-10-28</t>
        </is>
      </c>
      <c r="B2124" t="inlineStr">
        <is>
          <t>삼성바이오로직스</t>
        </is>
      </c>
      <c r="C2124" t="inlineStr">
        <is>
          <t>207940</t>
        </is>
      </c>
      <c r="D2124" t="inlineStr">
        <is>
          <t>연결</t>
        </is>
      </c>
      <c r="E2124" t="inlineStr">
        <is>
          <t>2025Q3</t>
        </is>
      </c>
      <c r="F2124" s="2" t="n">
        <v>1660221</v>
      </c>
      <c r="G2124" t="n">
        <v>28.71</v>
      </c>
      <c r="H2124" t="n">
        <v>39.86</v>
      </c>
      <c r="I2124" s="2" t="n">
        <v>728848</v>
      </c>
      <c r="J2124" t="n">
        <v>53.25</v>
      </c>
      <c r="K2124" t="n">
        <v>115.27</v>
      </c>
      <c r="L2124" s="2" t="n">
        <v>574460</v>
      </c>
      <c r="M2124" t="n">
        <v>117.21</v>
      </c>
      <c r="N2124" t="inlineStr">
        <is>
          <t>20251028800430</t>
        </is>
      </c>
      <c r="O2124">
        <f>HYPERLINK("https://dart.fss.or.kr/dsaf001/main.do?rcpNo=20251028800430", "공시열람")</f>
        <v/>
      </c>
    </row>
    <row r="2125">
      <c r="A2125" t="inlineStr">
        <is>
          <t>2025-10-28</t>
        </is>
      </c>
      <c r="B2125" t="inlineStr">
        <is>
          <t>JB금융지주</t>
        </is>
      </c>
      <c r="C2125" t="inlineStr">
        <is>
          <t>175330</t>
        </is>
      </c>
      <c r="D2125" t="inlineStr">
        <is>
          <t>연결</t>
        </is>
      </c>
      <c r="E2125" t="inlineStr">
        <is>
          <t>2025Q3</t>
        </is>
      </c>
      <c r="F2125" s="2" t="n">
        <v>331163</v>
      </c>
      <c r="G2125" t="n">
        <v>-0.7</v>
      </c>
      <c r="H2125" t="n">
        <v>17</v>
      </c>
      <c r="I2125" s="2" t="n">
        <v>104061</v>
      </c>
      <c r="J2125" t="n">
        <v>11.2</v>
      </c>
      <c r="K2125" t="n">
        <v>37</v>
      </c>
      <c r="L2125" s="2" t="n">
        <v>79906</v>
      </c>
      <c r="M2125" t="n">
        <v>35.7</v>
      </c>
      <c r="N2125" t="inlineStr">
        <is>
          <t>20251028800438</t>
        </is>
      </c>
      <c r="O2125">
        <f>HYPERLINK("https://dart.fss.or.kr/dsaf001/main.do?rcpNo=20251028800438", "공시열람")</f>
        <v/>
      </c>
    </row>
    <row r="2126">
      <c r="A2126" t="inlineStr">
        <is>
          <t>2025-10-28</t>
        </is>
      </c>
      <c r="B2126" t="inlineStr">
        <is>
          <t>JB금융지주</t>
        </is>
      </c>
      <c r="C2126" t="inlineStr">
        <is>
          <t>175330</t>
        </is>
      </c>
      <c r="D2126" t="inlineStr">
        <is>
          <t>연결</t>
        </is>
      </c>
      <c r="E2126" t="inlineStr">
        <is>
          <t>2025Q3</t>
        </is>
      </c>
      <c r="F2126" s="2" t="n">
        <v>410151</v>
      </c>
      <c r="G2126" t="n">
        <v>-9.1</v>
      </c>
      <c r="H2126" t="n">
        <v>-10.9</v>
      </c>
      <c r="I2126" s="2" t="n">
        <v>112816</v>
      </c>
      <c r="J2126" t="n">
        <v>5.2</v>
      </c>
      <c r="K2126" t="n">
        <v>-5.4</v>
      </c>
      <c r="L2126" s="2" t="n">
        <v>85207</v>
      </c>
      <c r="M2126" t="n">
        <v>-5.4</v>
      </c>
      <c r="N2126" t="inlineStr">
        <is>
          <t>20251028800425</t>
        </is>
      </c>
      <c r="O2126">
        <f>HYPERLINK("https://dart.fss.or.kr/dsaf001/main.do?rcpNo=20251028800425", "공시열람")</f>
        <v/>
      </c>
    </row>
    <row r="2127">
      <c r="A2127" t="inlineStr">
        <is>
          <t>2025-10-28</t>
        </is>
      </c>
      <c r="B2127" t="inlineStr">
        <is>
          <t>하나금융지주</t>
        </is>
      </c>
      <c r="C2127" t="inlineStr">
        <is>
          <t>086790</t>
        </is>
      </c>
      <c r="D2127" t="inlineStr">
        <is>
          <t>연결</t>
        </is>
      </c>
      <c r="E2127" t="inlineStr">
        <is>
          <t>2025Q3</t>
        </is>
      </c>
      <c r="F2127" s="2" t="n">
        <v>10892322</v>
      </c>
      <c r="G2127" t="n">
        <v>-54.58</v>
      </c>
      <c r="H2127" t="n">
        <v>-0.77</v>
      </c>
      <c r="I2127" s="2" t="n">
        <v>1478246</v>
      </c>
      <c r="J2127" t="n">
        <v>-1.01</v>
      </c>
      <c r="K2127" t="n">
        <v>11.03</v>
      </c>
      <c r="L2127" s="2" t="n">
        <v>1135778</v>
      </c>
      <c r="M2127" t="n">
        <v>-2.12</v>
      </c>
      <c r="N2127" t="inlineStr">
        <is>
          <t>20251028800341</t>
        </is>
      </c>
      <c r="O2127">
        <f>HYPERLINK("https://dart.fss.or.kr/dsaf001/main.do?rcpNo=20251028800341", "공시열람")</f>
        <v/>
      </c>
    </row>
    <row r="2128">
      <c r="A2128" t="inlineStr">
        <is>
          <t>2025-10-28</t>
        </is>
      </c>
      <c r="B2128" t="inlineStr">
        <is>
          <t>JB금융지주</t>
        </is>
      </c>
      <c r="C2128" t="inlineStr">
        <is>
          <t>175330</t>
        </is>
      </c>
      <c r="D2128" t="inlineStr">
        <is>
          <t>연결</t>
        </is>
      </c>
      <c r="E2128" t="inlineStr">
        <is>
          <t>2025Q3</t>
        </is>
      </c>
      <c r="F2128" s="2" t="n">
        <v>374576</v>
      </c>
      <c r="G2128" t="n">
        <v>-6.9</v>
      </c>
      <c r="H2128" t="n">
        <v>-4.4</v>
      </c>
      <c r="I2128" s="2" t="n">
        <v>79359</v>
      </c>
      <c r="J2128" t="n">
        <v>-6.1</v>
      </c>
      <c r="K2128" t="n">
        <v>1.6</v>
      </c>
      <c r="L2128" s="2" t="n">
        <v>61791</v>
      </c>
      <c r="M2128" t="n">
        <v>2.3</v>
      </c>
      <c r="N2128" t="inlineStr">
        <is>
          <t>20251028800419</t>
        </is>
      </c>
      <c r="O2128">
        <f>HYPERLINK("https://dart.fss.or.kr/dsaf001/main.do?rcpNo=20251028800419", "공시열람")</f>
        <v/>
      </c>
    </row>
    <row r="2129">
      <c r="A2129" t="inlineStr">
        <is>
          <t>2025-10-28</t>
        </is>
      </c>
      <c r="B2129" t="inlineStr">
        <is>
          <t>JB금융지주</t>
        </is>
      </c>
      <c r="C2129" t="inlineStr">
        <is>
          <t>175330</t>
        </is>
      </c>
      <c r="D2129" t="inlineStr">
        <is>
          <t>연결</t>
        </is>
      </c>
      <c r="E2129" t="inlineStr">
        <is>
          <t>2025Q3</t>
        </is>
      </c>
      <c r="F2129" s="2" t="n">
        <v>1124073</v>
      </c>
      <c r="G2129" t="n">
        <v>-5.3</v>
      </c>
      <c r="H2129" t="n">
        <v>-1.9</v>
      </c>
      <c r="I2129" s="2" t="n">
        <v>281076</v>
      </c>
      <c r="J2129" t="n">
        <v>5.3</v>
      </c>
      <c r="K2129" t="n">
        <v>7.7</v>
      </c>
      <c r="L2129" s="2" t="n">
        <v>213230</v>
      </c>
      <c r="M2129" t="n">
        <v>7.9</v>
      </c>
      <c r="N2129" t="inlineStr">
        <is>
          <t>20251028800409</t>
        </is>
      </c>
      <c r="O2129">
        <f>HYPERLINK("https://dart.fss.or.kr/dsaf001/main.do?rcpNo=20251028800409", "공시열람")</f>
        <v/>
      </c>
    </row>
    <row r="2130">
      <c r="A2130" t="inlineStr">
        <is>
          <t>2025-10-28</t>
        </is>
      </c>
      <c r="B2130" t="inlineStr">
        <is>
          <t>OCI</t>
        </is>
      </c>
      <c r="C2130" t="inlineStr">
        <is>
          <t>456040</t>
        </is>
      </c>
      <c r="D2130" t="inlineStr">
        <is>
          <t>연결</t>
        </is>
      </c>
      <c r="E2130" t="inlineStr">
        <is>
          <t>2025Q3</t>
        </is>
      </c>
      <c r="F2130" s="2" t="n">
        <v>476378</v>
      </c>
      <c r="G2130" t="n">
        <v>-9.6</v>
      </c>
      <c r="H2130" t="n">
        <v>-19.1</v>
      </c>
      <c r="I2130" s="2" t="n">
        <v>-6608</v>
      </c>
      <c r="J2130" t="n">
        <v>-190.8</v>
      </c>
      <c r="K2130" t="inlineStr"/>
      <c r="L2130" s="2" t="n">
        <v>-49344</v>
      </c>
      <c r="M2130" t="inlineStr"/>
      <c r="N2130" t="inlineStr">
        <is>
          <t>20251028800376</t>
        </is>
      </c>
      <c r="O2130">
        <f>HYPERLINK("https://dart.fss.or.kr/dsaf001/main.do?rcpNo=20251028800376", "공시열람")</f>
        <v/>
      </c>
    </row>
    <row r="2131">
      <c r="A2131" t="inlineStr">
        <is>
          <t>2025-10-28</t>
        </is>
      </c>
      <c r="B2131" t="inlineStr">
        <is>
          <t>하나금융지주</t>
        </is>
      </c>
      <c r="C2131" t="inlineStr">
        <is>
          <t>086790</t>
        </is>
      </c>
      <c r="D2131" t="inlineStr">
        <is>
          <t>연결</t>
        </is>
      </c>
      <c r="E2131" t="inlineStr">
        <is>
          <t>2025Q3</t>
        </is>
      </c>
      <c r="F2131" s="2" t="n">
        <v>2429173</v>
      </c>
      <c r="G2131" t="n">
        <v>-45.26</v>
      </c>
      <c r="H2131" t="n">
        <v>26.18</v>
      </c>
      <c r="I2131" s="2" t="n">
        <v>65435</v>
      </c>
      <c r="J2131" t="n">
        <v>183.77</v>
      </c>
      <c r="K2131" t="n">
        <v>86.87</v>
      </c>
      <c r="L2131" s="2" t="n">
        <v>62417</v>
      </c>
      <c r="M2131" t="n">
        <v>21.77</v>
      </c>
      <c r="N2131" t="inlineStr">
        <is>
          <t>20251028800351</t>
        </is>
      </c>
      <c r="O2131">
        <f>HYPERLINK("https://dart.fss.or.kr/dsaf001/main.do?rcpNo=20251028800351", "공시열람")</f>
        <v/>
      </c>
    </row>
    <row r="2132">
      <c r="A2132" t="inlineStr">
        <is>
          <t>2025-10-28</t>
        </is>
      </c>
      <c r="B2132" t="inlineStr">
        <is>
          <t>삼성물산</t>
        </is>
      </c>
      <c r="C2132" t="inlineStr">
        <is>
          <t>028260</t>
        </is>
      </c>
      <c r="D2132" t="inlineStr">
        <is>
          <t>연결</t>
        </is>
      </c>
      <c r="E2132" t="inlineStr">
        <is>
          <t>2025Q3</t>
        </is>
      </c>
      <c r="F2132" s="2" t="n">
        <v>10150951</v>
      </c>
      <c r="G2132" t="n">
        <v>1.3</v>
      </c>
      <c r="H2132" t="n">
        <v>-1.5</v>
      </c>
      <c r="I2132" s="2" t="n">
        <v>993429</v>
      </c>
      <c r="J2132" t="n">
        <v>32</v>
      </c>
      <c r="K2132" t="n">
        <v>34.9</v>
      </c>
      <c r="L2132" s="2" t="n">
        <v>884596</v>
      </c>
      <c r="M2132" t="n">
        <v>58</v>
      </c>
      <c r="N2132" t="inlineStr">
        <is>
          <t>20251028800453</t>
        </is>
      </c>
      <c r="O2132">
        <f>HYPERLINK("https://dart.fss.or.kr/dsaf001/main.do?rcpNo=20251028800453", "공시열람")</f>
        <v/>
      </c>
    </row>
    <row r="2133">
      <c r="A2133" t="inlineStr">
        <is>
          <t>2025-10-28</t>
        </is>
      </c>
      <c r="B2133" t="inlineStr">
        <is>
          <t>하나금융지주</t>
        </is>
      </c>
      <c r="C2133" t="inlineStr">
        <is>
          <t>086790</t>
        </is>
      </c>
      <c r="D2133" t="inlineStr">
        <is>
          <t>연결</t>
        </is>
      </c>
      <c r="E2133" t="inlineStr">
        <is>
          <t>2025Q3</t>
        </is>
      </c>
      <c r="F2133" s="2" t="n">
        <v>6766002</v>
      </c>
      <c r="G2133" t="n">
        <v>-62.13</v>
      </c>
      <c r="H2133" t="n">
        <v>-9</v>
      </c>
      <c r="I2133" s="2" t="n">
        <v>1352626</v>
      </c>
      <c r="J2133" t="n">
        <v>-2.52</v>
      </c>
      <c r="K2133" t="n">
        <v>8.02</v>
      </c>
      <c r="L2133" s="2" t="n">
        <v>1051991</v>
      </c>
      <c r="M2133" t="n">
        <v>1.83</v>
      </c>
      <c r="N2133" t="inlineStr">
        <is>
          <t>20251028800346</t>
        </is>
      </c>
      <c r="O2133">
        <f>HYPERLINK("https://dart.fss.or.kr/dsaf001/main.do?rcpNo=20251028800346", "공시열람")</f>
        <v/>
      </c>
    </row>
    <row r="2134">
      <c r="A2134" t="inlineStr">
        <is>
          <t>2025-10-28</t>
        </is>
      </c>
      <c r="B2134" t="inlineStr">
        <is>
          <t>보령</t>
        </is>
      </c>
      <c r="C2134" t="inlineStr">
        <is>
          <t>003850</t>
        </is>
      </c>
      <c r="D2134" t="inlineStr">
        <is>
          <t>연결</t>
        </is>
      </c>
      <c r="E2134" t="inlineStr">
        <is>
          <t>2025Q3</t>
        </is>
      </c>
      <c r="F2134" s="2" t="n">
        <v>280010</v>
      </c>
      <c r="G2134" t="n">
        <v>11.33</v>
      </c>
      <c r="H2134" t="n">
        <v>3.31</v>
      </c>
      <c r="I2134" s="2" t="n">
        <v>29436</v>
      </c>
      <c r="J2134" t="n">
        <v>16.04</v>
      </c>
      <c r="K2134" t="n">
        <v>51.3</v>
      </c>
      <c r="L2134" s="2" t="n">
        <v>33999</v>
      </c>
      <c r="M2134" t="n">
        <v>263.51</v>
      </c>
      <c r="N2134" t="inlineStr">
        <is>
          <t>20251028800490</t>
        </is>
      </c>
      <c r="O2134">
        <f>HYPERLINK("https://dart.fss.or.kr/dsaf001/main.do?rcpNo=20251028800490", "공시열람")</f>
        <v/>
      </c>
    </row>
    <row r="2135">
      <c r="A2135" t="inlineStr">
        <is>
          <t>2025-10-28</t>
        </is>
      </c>
      <c r="B2135" t="inlineStr">
        <is>
          <t>엠앤씨솔루션</t>
        </is>
      </c>
      <c r="C2135" t="inlineStr">
        <is>
          <t>484870</t>
        </is>
      </c>
      <c r="D2135" t="inlineStr">
        <is>
          <t>별도</t>
        </is>
      </c>
      <c r="E2135" t="inlineStr">
        <is>
          <t>2025Q3</t>
        </is>
      </c>
      <c r="F2135" s="2" t="n">
        <v>87591</v>
      </c>
      <c r="G2135" t="n">
        <v>-10.1</v>
      </c>
      <c r="H2135" t="n">
        <v>39.4</v>
      </c>
      <c r="I2135" s="2" t="n">
        <v>11485</v>
      </c>
      <c r="J2135" t="n">
        <v>-14.6</v>
      </c>
      <c r="K2135" t="n">
        <v>69.59999999999999</v>
      </c>
      <c r="L2135" s="2" t="n">
        <v>9577</v>
      </c>
      <c r="M2135" t="n">
        <v>74.3</v>
      </c>
      <c r="N2135" t="inlineStr">
        <is>
          <t>20251028800506</t>
        </is>
      </c>
      <c r="O2135">
        <f>HYPERLINK("https://dart.fss.or.kr/dsaf001/main.do?rcpNo=20251028800506", "공시열람")</f>
        <v/>
      </c>
    </row>
    <row r="2136">
      <c r="A2136" t="inlineStr">
        <is>
          <t>2025-10-28</t>
        </is>
      </c>
      <c r="B2136" t="inlineStr">
        <is>
          <t>신한지주</t>
        </is>
      </c>
      <c r="C2136" t="inlineStr">
        <is>
          <t>055550</t>
        </is>
      </c>
      <c r="D2136" t="inlineStr">
        <is>
          <t>연결</t>
        </is>
      </c>
      <c r="E2136" t="inlineStr">
        <is>
          <t>2025Q3</t>
        </is>
      </c>
      <c r="F2136" s="2" t="n">
        <v>1716267</v>
      </c>
      <c r="G2136" t="n">
        <v>-23.2</v>
      </c>
      <c r="H2136" t="n">
        <v>20.79</v>
      </c>
      <c r="I2136" s="2" t="n">
        <v>234264</v>
      </c>
      <c r="J2136" t="n">
        <v>-0.71</v>
      </c>
      <c r="K2136" t="n">
        <v>12.16</v>
      </c>
      <c r="L2136" s="2" t="n">
        <v>170167</v>
      </c>
      <c r="M2136" t="n">
        <v>10.35</v>
      </c>
      <c r="N2136" t="inlineStr">
        <is>
          <t>20251028800234</t>
        </is>
      </c>
      <c r="O2136">
        <f>HYPERLINK("https://dart.fss.or.kr/dsaf001/main.do?rcpNo=20251028800234", "공시열람")</f>
        <v/>
      </c>
    </row>
    <row r="2137">
      <c r="A2137" t="inlineStr">
        <is>
          <t>2025-10-28</t>
        </is>
      </c>
      <c r="B2137" t="inlineStr">
        <is>
          <t>샘씨엔에스</t>
        </is>
      </c>
      <c r="C2137" t="inlineStr">
        <is>
          <t>252990</t>
        </is>
      </c>
      <c r="D2137" t="inlineStr">
        <is>
          <t>별도</t>
        </is>
      </c>
      <c r="E2137" t="inlineStr">
        <is>
          <t>2025Q3</t>
        </is>
      </c>
      <c r="F2137" s="2" t="n">
        <v>20830</v>
      </c>
      <c r="G2137" t="n">
        <v>11.3</v>
      </c>
      <c r="H2137" t="n">
        <v>32.3</v>
      </c>
      <c r="I2137" s="2" t="n">
        <v>5427</v>
      </c>
      <c r="J2137" t="n">
        <v>57.1</v>
      </c>
      <c r="K2137" t="n">
        <v>75.7</v>
      </c>
      <c r="L2137" s="2" t="n">
        <v>5341</v>
      </c>
      <c r="M2137" t="n">
        <v>110.8</v>
      </c>
      <c r="N2137" t="inlineStr">
        <is>
          <t>20251028900185</t>
        </is>
      </c>
      <c r="O2137">
        <f>HYPERLINK("https://dart.fss.or.kr/dsaf001/main.do?rcpNo=20251028900185", "공시열람")</f>
        <v/>
      </c>
    </row>
    <row r="2138">
      <c r="A2138" t="inlineStr">
        <is>
          <t>2025-10-28</t>
        </is>
      </c>
      <c r="B2138" t="inlineStr">
        <is>
          <t>솔루스첨단소재</t>
        </is>
      </c>
      <c r="C2138" t="inlineStr">
        <is>
          <t>336370</t>
        </is>
      </c>
      <c r="D2138" t="inlineStr">
        <is>
          <t>연결</t>
        </is>
      </c>
      <c r="E2138" t="inlineStr">
        <is>
          <t>2025Q3</t>
        </is>
      </c>
      <c r="F2138" s="2" t="n">
        <v>145100</v>
      </c>
      <c r="G2138" t="n">
        <v>0.89</v>
      </c>
      <c r="H2138" t="n">
        <v>7.79</v>
      </c>
      <c r="I2138" s="2" t="n">
        <v>-21200</v>
      </c>
      <c r="J2138" t="n">
        <v>-41.31</v>
      </c>
      <c r="K2138" t="n">
        <v>-13.42</v>
      </c>
      <c r="L2138" s="2" t="n">
        <v>-29100</v>
      </c>
      <c r="M2138" t="n">
        <v>19.82</v>
      </c>
      <c r="N2138" t="inlineStr">
        <is>
          <t>20251028800235</t>
        </is>
      </c>
      <c r="O2138">
        <f>HYPERLINK("https://dart.fss.or.kr/dsaf001/main.do?rcpNo=20251028800235", "공시열람")</f>
        <v/>
      </c>
    </row>
    <row r="2139">
      <c r="A2139" t="inlineStr">
        <is>
          <t>2025-10-28</t>
        </is>
      </c>
      <c r="B2139" t="inlineStr">
        <is>
          <t>신한지주</t>
        </is>
      </c>
      <c r="C2139" t="inlineStr">
        <is>
          <t>055550</t>
        </is>
      </c>
      <c r="D2139" t="inlineStr">
        <is>
          <t>연결</t>
        </is>
      </c>
      <c r="E2139" t="inlineStr">
        <is>
          <t>2025Q3</t>
        </is>
      </c>
      <c r="F2139" s="2" t="n">
        <v>1310727</v>
      </c>
      <c r="G2139" t="n">
        <v>-25.21</v>
      </c>
      <c r="H2139" t="n">
        <v>4.56</v>
      </c>
      <c r="I2139" s="2" t="n">
        <v>177990</v>
      </c>
      <c r="J2139" t="n">
        <v>28.12</v>
      </c>
      <c r="K2139" t="n">
        <v>-21.55</v>
      </c>
      <c r="L2139" s="2" t="n">
        <v>134123</v>
      </c>
      <c r="M2139" t="n">
        <v>-23.05</v>
      </c>
      <c r="N2139" t="inlineStr">
        <is>
          <t>20251028800233</t>
        </is>
      </c>
      <c r="O2139">
        <f>HYPERLINK("https://dart.fss.or.kr/dsaf001/main.do?rcpNo=20251028800233", "공시열람")</f>
        <v/>
      </c>
    </row>
    <row r="2140">
      <c r="A2140" t="inlineStr">
        <is>
          <t>2025-10-28</t>
        </is>
      </c>
      <c r="B2140" t="inlineStr">
        <is>
          <t>신한지주</t>
        </is>
      </c>
      <c r="C2140" t="inlineStr">
        <is>
          <t>055550</t>
        </is>
      </c>
      <c r="D2140" t="inlineStr">
        <is>
          <t>연결</t>
        </is>
      </c>
      <c r="E2140" t="inlineStr">
        <is>
          <t>2025Q3</t>
        </is>
      </c>
      <c r="F2140" s="2" t="n">
        <v>4649798</v>
      </c>
      <c r="G2140" t="n">
        <v>-69.98999999999999</v>
      </c>
      <c r="H2140" t="n">
        <v>-21.76</v>
      </c>
      <c r="I2140" s="2" t="n">
        <v>1466074</v>
      </c>
      <c r="J2140" t="n">
        <v>-0.36</v>
      </c>
      <c r="K2140" t="n">
        <v>4.68</v>
      </c>
      <c r="L2140" s="2" t="n">
        <v>1089405</v>
      </c>
      <c r="M2140" t="n">
        <v>3.81</v>
      </c>
      <c r="N2140" t="inlineStr">
        <is>
          <t>20251028800231</t>
        </is>
      </c>
      <c r="O2140">
        <f>HYPERLINK("https://dart.fss.or.kr/dsaf001/main.do?rcpNo=20251028800231", "공시열람")</f>
        <v/>
      </c>
    </row>
    <row r="2141">
      <c r="A2141" t="inlineStr">
        <is>
          <t>2025-10-28</t>
        </is>
      </c>
      <c r="B2141" t="inlineStr">
        <is>
          <t>LS에코에너지</t>
        </is>
      </c>
      <c r="C2141" t="inlineStr">
        <is>
          <t>229640</t>
        </is>
      </c>
      <c r="D2141" t="inlineStr">
        <is>
          <t>연결</t>
        </is>
      </c>
      <c r="E2141" t="inlineStr">
        <is>
          <t>2025Q3</t>
        </is>
      </c>
      <c r="F2141" s="2" t="n">
        <v>232780</v>
      </c>
      <c r="G2141" t="n">
        <v>-7</v>
      </c>
      <c r="H2141" t="n">
        <v>4.2</v>
      </c>
      <c r="I2141" s="2" t="n">
        <v>14767</v>
      </c>
      <c r="J2141" t="n">
        <v>-37.4</v>
      </c>
      <c r="K2141" t="n">
        <v>17.7</v>
      </c>
      <c r="L2141" s="2" t="n">
        <v>11231</v>
      </c>
      <c r="M2141" t="n">
        <v>34.1</v>
      </c>
      <c r="N2141" t="inlineStr">
        <is>
          <t>20251028800082</t>
        </is>
      </c>
      <c r="O2141">
        <f>HYPERLINK("https://dart.fss.or.kr/dsaf001/main.do?rcpNo=20251028800082", "공시열람")</f>
        <v/>
      </c>
    </row>
    <row r="2142">
      <c r="A2142" t="inlineStr">
        <is>
          <t>2025-10-28</t>
        </is>
      </c>
      <c r="B2142" t="inlineStr">
        <is>
          <t>IPARK현대산업개발</t>
        </is>
      </c>
      <c r="C2142" t="inlineStr">
        <is>
          <t>294870</t>
        </is>
      </c>
      <c r="D2142" t="inlineStr">
        <is>
          <t>연결</t>
        </is>
      </c>
      <c r="E2142" t="inlineStr">
        <is>
          <t>2025Q3</t>
        </is>
      </c>
      <c r="F2142" s="2" t="n">
        <v>1053003</v>
      </c>
      <c r="G2142" t="n">
        <v>-9.5</v>
      </c>
      <c r="H2142" t="n">
        <v>-3.3</v>
      </c>
      <c r="I2142" s="2" t="n">
        <v>72987</v>
      </c>
      <c r="J2142" t="n">
        <v>-9.1</v>
      </c>
      <c r="K2142" t="n">
        <v>53.8</v>
      </c>
      <c r="L2142" s="2" t="n">
        <v>39849</v>
      </c>
      <c r="M2142" t="n">
        <v>21.9</v>
      </c>
      <c r="N2142" t="inlineStr">
        <is>
          <t>20251028800078</t>
        </is>
      </c>
      <c r="O2142">
        <f>HYPERLINK("https://dart.fss.or.kr/dsaf001/main.do?rcpNo=20251028800078", "공시열람")</f>
        <v/>
      </c>
    </row>
    <row r="2143">
      <c r="A2143" t="inlineStr">
        <is>
          <t>2025-10-28</t>
        </is>
      </c>
      <c r="B2143" t="inlineStr">
        <is>
          <t>신한지주</t>
        </is>
      </c>
      <c r="C2143" t="inlineStr">
        <is>
          <t>055550</t>
        </is>
      </c>
      <c r="D2143" t="inlineStr">
        <is>
          <t>연결</t>
        </is>
      </c>
      <c r="E2143" t="inlineStr">
        <is>
          <t>2025Q3</t>
        </is>
      </c>
      <c r="F2143" s="2" t="n">
        <v>9514830</v>
      </c>
      <c r="G2143" t="n">
        <v>-59.03</v>
      </c>
      <c r="H2143" t="n">
        <v>-18.13</v>
      </c>
      <c r="I2143" s="2" t="n">
        <v>1954623</v>
      </c>
      <c r="J2143" t="n">
        <v>-2.96</v>
      </c>
      <c r="K2143" t="n">
        <v>4.53</v>
      </c>
      <c r="L2143" s="2" t="n">
        <v>1452190</v>
      </c>
      <c r="M2143" t="n">
        <v>9.56</v>
      </c>
      <c r="N2143" t="inlineStr">
        <is>
          <t>20251028800230</t>
        </is>
      </c>
      <c r="O2143">
        <f>HYPERLINK("https://dart.fss.or.kr/dsaf001/main.do?rcpNo=20251028800230", "공시열람")</f>
        <v/>
      </c>
    </row>
    <row r="2144">
      <c r="A2144" t="inlineStr">
        <is>
          <t>2025-10-28</t>
        </is>
      </c>
      <c r="B2144" t="inlineStr">
        <is>
          <t>삼성카드</t>
        </is>
      </c>
      <c r="C2144" t="inlineStr">
        <is>
          <t>029780</t>
        </is>
      </c>
      <c r="D2144" t="inlineStr">
        <is>
          <t>연결</t>
        </is>
      </c>
      <c r="E2144" t="inlineStr">
        <is>
          <t>2025Q3</t>
        </is>
      </c>
      <c r="F2144" s="2" t="n">
        <v>1007800</v>
      </c>
      <c r="G2144" t="n">
        <v>-19.8</v>
      </c>
      <c r="H2144" t="n">
        <v>14.1</v>
      </c>
      <c r="I2144" s="2" t="n">
        <v>213600</v>
      </c>
      <c r="J2144" t="n">
        <v>6.6</v>
      </c>
      <c r="K2144" t="n">
        <v>-4.6</v>
      </c>
      <c r="L2144" s="2" t="n">
        <v>161700</v>
      </c>
      <c r="M2144" t="n">
        <v>-4.2</v>
      </c>
      <c r="N2144" t="inlineStr">
        <is>
          <t>20251028800079</t>
        </is>
      </c>
      <c r="O2144">
        <f>HYPERLINK("https://dart.fss.or.kr/dsaf001/main.do?rcpNo=20251028800079", "공시열람")</f>
        <v/>
      </c>
    </row>
    <row r="2145">
      <c r="A2145" t="inlineStr">
        <is>
          <t>2025-10-28</t>
        </is>
      </c>
      <c r="B2145" t="inlineStr">
        <is>
          <t>플리토</t>
        </is>
      </c>
      <c r="C2145" t="inlineStr">
        <is>
          <t>300080</t>
        </is>
      </c>
      <c r="D2145" t="inlineStr">
        <is>
          <t>연결</t>
        </is>
      </c>
      <c r="E2145" t="inlineStr">
        <is>
          <t>2025Q3</t>
        </is>
      </c>
      <c r="F2145" s="2" t="n">
        <v>11781</v>
      </c>
      <c r="G2145" t="n">
        <v>25.62</v>
      </c>
      <c r="H2145" t="n">
        <v>71.04000000000001</v>
      </c>
      <c r="I2145" s="2" t="n">
        <v>2830</v>
      </c>
      <c r="J2145" t="n">
        <v>16.46</v>
      </c>
      <c r="K2145" t="n">
        <v>130.92</v>
      </c>
      <c r="L2145" s="2" t="n">
        <v>3012</v>
      </c>
      <c r="M2145" t="n">
        <v>152.69</v>
      </c>
      <c r="N2145" t="inlineStr">
        <is>
          <t>20251028900108</t>
        </is>
      </c>
      <c r="O2145">
        <f>HYPERLINK("https://dart.fss.or.kr/dsaf001/main.do?rcpNo=20251028900108", "공시열람")</f>
        <v/>
      </c>
    </row>
    <row r="2146">
      <c r="A2146" t="inlineStr">
        <is>
          <t>2025-10-28</t>
        </is>
      </c>
      <c r="B2146" t="inlineStr">
        <is>
          <t>삼성SDI</t>
        </is>
      </c>
      <c r="C2146" t="inlineStr">
        <is>
          <t>006400</t>
        </is>
      </c>
      <c r="D2146" t="inlineStr">
        <is>
          <t>연결</t>
        </is>
      </c>
      <c r="E2146" t="inlineStr">
        <is>
          <t>2025Q3</t>
        </is>
      </c>
      <c r="F2146" s="2" t="n">
        <v>3051800</v>
      </c>
      <c r="G2146" t="n">
        <v>-4</v>
      </c>
      <c r="H2146" t="n">
        <v>-22.5</v>
      </c>
      <c r="I2146" s="2" t="n">
        <v>-591300</v>
      </c>
      <c r="J2146" t="n">
        <v>-48.6</v>
      </c>
      <c r="K2146" t="inlineStr"/>
      <c r="L2146" s="2" t="n">
        <v>5700</v>
      </c>
      <c r="M2146" t="n">
        <v>-97.5</v>
      </c>
      <c r="N2146" t="inlineStr">
        <is>
          <t>20251028800122</t>
        </is>
      </c>
      <c r="O2146">
        <f>HYPERLINK("https://dart.fss.or.kr/dsaf001/main.do?rcpNo=20251028800122", "공시열람")</f>
        <v/>
      </c>
    </row>
    <row r="2147">
      <c r="A2147" t="inlineStr">
        <is>
          <t>2025-10-28</t>
        </is>
      </c>
      <c r="B2147" t="inlineStr">
        <is>
          <t>NI스틸</t>
        </is>
      </c>
      <c r="C2147" t="inlineStr">
        <is>
          <t>008260</t>
        </is>
      </c>
      <c r="D2147" t="inlineStr">
        <is>
          <t>별도</t>
        </is>
      </c>
      <c r="E2147" t="inlineStr">
        <is>
          <t>2025Q3</t>
        </is>
      </c>
      <c r="F2147" s="2" t="n">
        <v>65195</v>
      </c>
      <c r="G2147" t="n">
        <v>3.5</v>
      </c>
      <c r="H2147" t="n">
        <v>15.7</v>
      </c>
      <c r="I2147" s="2" t="n">
        <v>8193</v>
      </c>
      <c r="J2147" t="n">
        <v>8.9</v>
      </c>
      <c r="K2147" t="n">
        <v>35.1</v>
      </c>
      <c r="L2147" s="2" t="n">
        <v>5391</v>
      </c>
      <c r="M2147" t="n">
        <v>79</v>
      </c>
      <c r="N2147" t="inlineStr">
        <is>
          <t>20251028800143</t>
        </is>
      </c>
      <c r="O2147">
        <f>HYPERLINK("https://dart.fss.or.kr/dsaf001/main.do?rcpNo=20251028800143", "공시열람")</f>
        <v/>
      </c>
    </row>
    <row r="2148">
      <c r="A2148" t="inlineStr">
        <is>
          <t>2025-10-27</t>
        </is>
      </c>
      <c r="B2148" t="inlineStr">
        <is>
          <t>제주은행</t>
        </is>
      </c>
      <c r="C2148" t="inlineStr">
        <is>
          <t>006220</t>
        </is>
      </c>
      <c r="D2148" t="inlineStr">
        <is>
          <t>연결</t>
        </is>
      </c>
      <c r="E2148" t="inlineStr">
        <is>
          <t>2025Q3</t>
        </is>
      </c>
      <c r="F2148" s="2" t="n">
        <v>95084</v>
      </c>
      <c r="G2148" t="n">
        <v>3.08</v>
      </c>
      <c r="H2148" t="n">
        <v>-4.57</v>
      </c>
      <c r="I2148" s="2" t="n">
        <v>4881</v>
      </c>
      <c r="J2148" t="n">
        <v>125.35</v>
      </c>
      <c r="K2148" t="n">
        <v>50.28</v>
      </c>
      <c r="L2148" s="2" t="n">
        <v>4217</v>
      </c>
      <c r="M2148" t="n">
        <v>32.24</v>
      </c>
      <c r="N2148" t="inlineStr">
        <is>
          <t>20251027800500</t>
        </is>
      </c>
      <c r="O2148">
        <f>HYPERLINK("https://dart.fss.or.kr/dsaf001/main.do?rcpNo=20251027800500", "공시열람")</f>
        <v/>
      </c>
    </row>
    <row r="2149">
      <c r="A2149" t="inlineStr">
        <is>
          <t>2025-10-27</t>
        </is>
      </c>
      <c r="B2149" t="inlineStr">
        <is>
          <t>플레이디</t>
        </is>
      </c>
      <c r="C2149" t="inlineStr">
        <is>
          <t>237820</t>
        </is>
      </c>
      <c r="D2149" t="inlineStr">
        <is>
          <t>별도</t>
        </is>
      </c>
      <c r="E2149" t="inlineStr">
        <is>
          <t>2025Q3</t>
        </is>
      </c>
      <c r="F2149" s="2" t="n">
        <v>9457</v>
      </c>
      <c r="G2149" t="n">
        <v>-3.4</v>
      </c>
      <c r="H2149" t="n">
        <v>-0.8</v>
      </c>
      <c r="I2149" s="2" t="n">
        <v>1437</v>
      </c>
      <c r="J2149" t="n">
        <v>-15.3</v>
      </c>
      <c r="K2149" t="n">
        <v>12.2</v>
      </c>
      <c r="L2149" s="2" t="n">
        <v>1364</v>
      </c>
      <c r="M2149" t="n">
        <v>0.4</v>
      </c>
      <c r="N2149" t="inlineStr">
        <is>
          <t>20251027900307</t>
        </is>
      </c>
      <c r="O2149">
        <f>HYPERLINK("https://dart.fss.or.kr/dsaf001/main.do?rcpNo=20251027900307", "공시열람")</f>
        <v/>
      </c>
    </row>
    <row r="2150">
      <c r="A2150" t="inlineStr">
        <is>
          <t>2025-10-27</t>
        </is>
      </c>
      <c r="B2150" t="inlineStr">
        <is>
          <t>진흥기업</t>
        </is>
      </c>
      <c r="C2150" t="inlineStr">
        <is>
          <t>002780</t>
        </is>
      </c>
      <c r="D2150" t="inlineStr">
        <is>
          <t>별도</t>
        </is>
      </c>
      <c r="E2150" t="inlineStr">
        <is>
          <t>2025Q3</t>
        </is>
      </c>
      <c r="F2150" s="2" t="n">
        <v>157291</v>
      </c>
      <c r="G2150" t="n">
        <v>15.01</v>
      </c>
      <c r="H2150" t="n">
        <v>-5.26</v>
      </c>
      <c r="I2150" s="2" t="n">
        <v>2265</v>
      </c>
      <c r="J2150" t="n">
        <v>841.97</v>
      </c>
      <c r="K2150" t="inlineStr"/>
      <c r="L2150" s="2" t="n">
        <v>4087</v>
      </c>
      <c r="M2150" t="inlineStr"/>
      <c r="N2150" t="inlineStr">
        <is>
          <t>20251027800529</t>
        </is>
      </c>
      <c r="O2150">
        <f>HYPERLINK("https://dart.fss.or.kr/dsaf001/main.do?rcpNo=20251027800529", "공시열람")</f>
        <v/>
      </c>
    </row>
    <row r="2151">
      <c r="A2151" t="inlineStr">
        <is>
          <t>2025-10-27</t>
        </is>
      </c>
      <c r="B2151" t="inlineStr">
        <is>
          <t>주성엔지니어링</t>
        </is>
      </c>
      <c r="C2151" t="inlineStr">
        <is>
          <t>036930</t>
        </is>
      </c>
      <c r="D2151" t="inlineStr">
        <is>
          <t>연결</t>
        </is>
      </c>
      <c r="E2151" t="inlineStr">
        <is>
          <t>2025Q3</t>
        </is>
      </c>
      <c r="F2151" s="2" t="n">
        <v>58773</v>
      </c>
      <c r="G2151" t="n">
        <v>-25.4</v>
      </c>
      <c r="H2151" t="n">
        <v>-60.1</v>
      </c>
      <c r="I2151" s="2" t="n">
        <v>3356</v>
      </c>
      <c r="J2151" t="n">
        <v>-49</v>
      </c>
      <c r="K2151" t="n">
        <v>-93.59999999999999</v>
      </c>
      <c r="L2151" s="2" t="n">
        <v>7486</v>
      </c>
      <c r="M2151" t="n">
        <v>-79</v>
      </c>
      <c r="N2151" t="inlineStr">
        <is>
          <t>20251027900467</t>
        </is>
      </c>
      <c r="O2151">
        <f>HYPERLINK("https://dart.fss.or.kr/dsaf001/main.do?rcpNo=20251027900467", "공시열람")</f>
        <v/>
      </c>
    </row>
    <row r="2152">
      <c r="A2152" t="inlineStr">
        <is>
          <t>2025-10-27</t>
        </is>
      </c>
      <c r="B2152" t="inlineStr">
        <is>
          <t>포스코스틸리온</t>
        </is>
      </c>
      <c r="C2152" t="inlineStr">
        <is>
          <t>058430</t>
        </is>
      </c>
      <c r="D2152" t="inlineStr">
        <is>
          <t>별도</t>
        </is>
      </c>
      <c r="E2152" t="inlineStr">
        <is>
          <t>2025Q3</t>
        </is>
      </c>
      <c r="F2152" s="2" t="n">
        <v>275100</v>
      </c>
      <c r="G2152" t="n">
        <v>-0.7</v>
      </c>
      <c r="H2152" t="n">
        <v>-0.7</v>
      </c>
      <c r="I2152" s="2" t="n">
        <v>4300</v>
      </c>
      <c r="J2152" t="n">
        <v>0</v>
      </c>
      <c r="K2152" t="n">
        <v>-38.6</v>
      </c>
      <c r="L2152" s="2" t="n">
        <v>3800</v>
      </c>
      <c r="M2152" t="n">
        <v>-29.6</v>
      </c>
      <c r="N2152" t="inlineStr">
        <is>
          <t>20251027800037</t>
        </is>
      </c>
      <c r="O2152">
        <f>HYPERLINK("https://dart.fss.or.kr/dsaf001/main.do?rcpNo=20251027800037", "공시열람")</f>
        <v/>
      </c>
    </row>
    <row r="2153">
      <c r="A2153" t="inlineStr">
        <is>
          <t>2025-10-27</t>
        </is>
      </c>
      <c r="B2153" t="inlineStr">
        <is>
          <t>POSCO홀딩스</t>
        </is>
      </c>
      <c r="C2153" t="inlineStr">
        <is>
          <t>005490</t>
        </is>
      </c>
      <c r="D2153" t="inlineStr">
        <is>
          <t>연결</t>
        </is>
      </c>
      <c r="E2153" t="inlineStr">
        <is>
          <t>2025Q3</t>
        </is>
      </c>
      <c r="F2153" s="2" t="n">
        <v>17</v>
      </c>
      <c r="G2153" t="n">
        <v>-1.7</v>
      </c>
      <c r="H2153" t="n">
        <v>-5.8</v>
      </c>
      <c r="I2153" s="2" t="n">
        <v>1</v>
      </c>
      <c r="J2153" t="n">
        <v>4.9</v>
      </c>
      <c r="K2153" t="n">
        <v>-13.5</v>
      </c>
      <c r="L2153" s="2" t="n">
        <v>0</v>
      </c>
      <c r="M2153" t="n">
        <v>-22</v>
      </c>
      <c r="N2153" t="inlineStr">
        <is>
          <t>20251027800306</t>
        </is>
      </c>
      <c r="O2153">
        <f>HYPERLINK("https://dart.fss.or.kr/dsaf001/main.do?rcpNo=20251027800306", "공시열람")</f>
        <v/>
      </c>
    </row>
    <row r="2154">
      <c r="A2154" t="inlineStr">
        <is>
          <t>2025-10-27</t>
        </is>
      </c>
      <c r="B2154" t="inlineStr">
        <is>
          <t>유니드</t>
        </is>
      </c>
      <c r="C2154" t="inlineStr">
        <is>
          <t>014830</t>
        </is>
      </c>
      <c r="D2154" t="inlineStr">
        <is>
          <t>연결</t>
        </is>
      </c>
      <c r="E2154" t="inlineStr">
        <is>
          <t>2025Q3</t>
        </is>
      </c>
      <c r="F2154" s="2" t="n">
        <v>328977</v>
      </c>
      <c r="G2154" t="n">
        <v>-3.51</v>
      </c>
      <c r="H2154" t="n">
        <v>13.53</v>
      </c>
      <c r="I2154" s="2" t="n">
        <v>18846</v>
      </c>
      <c r="J2154" t="n">
        <v>-45.29</v>
      </c>
      <c r="K2154" t="n">
        <v>-7.89</v>
      </c>
      <c r="L2154" s="2" t="n">
        <v>16830</v>
      </c>
      <c r="M2154" t="n">
        <v>-15.15</v>
      </c>
      <c r="N2154" t="inlineStr">
        <is>
          <t>20251027800163</t>
        </is>
      </c>
      <c r="O2154">
        <f>HYPERLINK("https://dart.fss.or.kr/dsaf001/main.do?rcpNo=20251027800163", "공시열람")</f>
        <v/>
      </c>
    </row>
    <row r="2155">
      <c r="A2155" t="inlineStr">
        <is>
          <t>2025-10-27</t>
        </is>
      </c>
      <c r="B2155" t="inlineStr">
        <is>
          <t>포스코스틸리온</t>
        </is>
      </c>
      <c r="C2155" t="inlineStr">
        <is>
          <t>058430</t>
        </is>
      </c>
      <c r="D2155" t="inlineStr">
        <is>
          <t>연결</t>
        </is>
      </c>
      <c r="E2155" t="inlineStr">
        <is>
          <t>2025Q3</t>
        </is>
      </c>
      <c r="F2155" s="2" t="n">
        <v>282600</v>
      </c>
      <c r="G2155" t="n">
        <v>-0.5</v>
      </c>
      <c r="H2155" t="n">
        <v>-0.3</v>
      </c>
      <c r="I2155" s="2" t="n">
        <v>5000</v>
      </c>
      <c r="J2155" t="n">
        <v>-9.1</v>
      </c>
      <c r="K2155" t="n">
        <v>-51.5</v>
      </c>
      <c r="L2155" s="2" t="n">
        <v>3900</v>
      </c>
      <c r="M2155" t="n">
        <v>-11.4</v>
      </c>
      <c r="N2155" t="inlineStr">
        <is>
          <t>20251027800036</t>
        </is>
      </c>
      <c r="O2155">
        <f>HYPERLINK("https://dart.fss.or.kr/dsaf001/main.do?rcpNo=20251027800036", "공시열람")</f>
        <v/>
      </c>
    </row>
    <row r="2156">
      <c r="A2156" t="inlineStr">
        <is>
          <t>2025-10-27</t>
        </is>
      </c>
      <c r="B2156" t="inlineStr">
        <is>
          <t>한솔테크닉스</t>
        </is>
      </c>
      <c r="C2156" t="inlineStr">
        <is>
          <t>004710</t>
        </is>
      </c>
      <c r="D2156" t="inlineStr">
        <is>
          <t>연결</t>
        </is>
      </c>
      <c r="E2156" t="inlineStr">
        <is>
          <t>2025Q3</t>
        </is>
      </c>
      <c r="F2156" s="2" t="n">
        <v>331629</v>
      </c>
      <c r="G2156" t="n">
        <v>13</v>
      </c>
      <c r="H2156" t="n">
        <v>2.2</v>
      </c>
      <c r="I2156" s="2" t="n">
        <v>17667</v>
      </c>
      <c r="J2156" t="n">
        <v>38.1</v>
      </c>
      <c r="K2156" t="n">
        <v>80.09999999999999</v>
      </c>
      <c r="L2156" s="2" t="n">
        <v>12817</v>
      </c>
      <c r="M2156" t="n">
        <v>117.5</v>
      </c>
      <c r="N2156" t="inlineStr">
        <is>
          <t>20251027800050</t>
        </is>
      </c>
      <c r="O2156">
        <f>HYPERLINK("https://dart.fss.or.kr/dsaf001/main.do?rcpNo=20251027800050", "공시열람")</f>
        <v/>
      </c>
    </row>
    <row r="2157">
      <c r="A2157" t="inlineStr">
        <is>
          <t>2025-10-27</t>
        </is>
      </c>
      <c r="B2157" t="inlineStr">
        <is>
          <t>코나아이</t>
        </is>
      </c>
      <c r="C2157" t="inlineStr">
        <is>
          <t>052400</t>
        </is>
      </c>
      <c r="D2157" t="inlineStr">
        <is>
          <t>연결</t>
        </is>
      </c>
      <c r="E2157" t="inlineStr">
        <is>
          <t>2025Q3</t>
        </is>
      </c>
      <c r="F2157" s="2" t="n">
        <v>93250</v>
      </c>
      <c r="G2157" t="n">
        <v>38.7</v>
      </c>
      <c r="H2157" t="n">
        <v>67.8</v>
      </c>
      <c r="I2157" s="2" t="n">
        <v>30177</v>
      </c>
      <c r="J2157" t="n">
        <v>75.40000000000001</v>
      </c>
      <c r="K2157" t="n">
        <v>198.4</v>
      </c>
      <c r="L2157" s="2" t="n">
        <v>30050</v>
      </c>
      <c r="M2157" t="n">
        <v>304.1</v>
      </c>
      <c r="N2157" t="inlineStr">
        <is>
          <t>20251027900073</t>
        </is>
      </c>
      <c r="O2157">
        <f>HYPERLINK("https://dart.fss.or.kr/dsaf001/main.do?rcpNo=20251027900073", "공시열람")</f>
        <v/>
      </c>
    </row>
    <row r="2158">
      <c r="A2158" t="inlineStr">
        <is>
          <t>2025-10-27</t>
        </is>
      </c>
      <c r="B2158" t="inlineStr">
        <is>
          <t>에스앤에스텍</t>
        </is>
      </c>
      <c r="C2158" t="inlineStr">
        <is>
          <t>101490</t>
        </is>
      </c>
      <c r="D2158" t="inlineStr">
        <is>
          <t>연결</t>
        </is>
      </c>
      <c r="E2158" t="inlineStr">
        <is>
          <t>2025Q3</t>
        </is>
      </c>
      <c r="F2158" s="2" t="n">
        <v>61548</v>
      </c>
      <c r="G2158" t="n">
        <v>1.4</v>
      </c>
      <c r="H2158" t="n">
        <v>32.2</v>
      </c>
      <c r="I2158" s="2" t="n">
        <v>11912</v>
      </c>
      <c r="J2158" t="n">
        <v>-10.4</v>
      </c>
      <c r="K2158" t="n">
        <v>24.1</v>
      </c>
      <c r="L2158" s="2" t="n">
        <v>12676</v>
      </c>
      <c r="M2158" t="n">
        <v>54.9</v>
      </c>
      <c r="N2158" t="inlineStr">
        <is>
          <t>20251027900116</t>
        </is>
      </c>
      <c r="O2158">
        <f>HYPERLINK("https://dart.fss.or.kr/dsaf001/main.do?rcpNo=20251027900116", "공시열람")</f>
        <v/>
      </c>
    </row>
    <row r="2159">
      <c r="A2159" t="inlineStr">
        <is>
          <t>2025-10-27</t>
        </is>
      </c>
      <c r="B2159" t="inlineStr">
        <is>
          <t>POSCO홀딩스</t>
        </is>
      </c>
      <c r="C2159" t="inlineStr">
        <is>
          <t>005490</t>
        </is>
      </c>
      <c r="D2159" t="inlineStr">
        <is>
          <t>별도</t>
        </is>
      </c>
      <c r="E2159" t="inlineStr">
        <is>
          <t>2025Q3</t>
        </is>
      </c>
      <c r="F2159" s="2" t="n">
        <v>9</v>
      </c>
      <c r="G2159" t="n">
        <v>-1.7</v>
      </c>
      <c r="H2159" t="n">
        <v>-7.2</v>
      </c>
      <c r="I2159" s="2" t="n">
        <v>1</v>
      </c>
      <c r="J2159" t="n">
        <v>13.7</v>
      </c>
      <c r="K2159" t="n">
        <v>31.8</v>
      </c>
      <c r="L2159" s="2" t="n">
        <v>0</v>
      </c>
      <c r="M2159" t="n">
        <v>61.5</v>
      </c>
      <c r="N2159" t="inlineStr">
        <is>
          <t>20251027800300</t>
        </is>
      </c>
      <c r="O2159">
        <f>HYPERLINK("https://dart.fss.or.kr/dsaf001/main.do?rcpNo=20251027800300", "공시열람")</f>
        <v/>
      </c>
    </row>
    <row r="2160">
      <c r="A2160" t="inlineStr">
        <is>
          <t>2025-10-27</t>
        </is>
      </c>
      <c r="B2160" t="inlineStr">
        <is>
          <t>포스코DX</t>
        </is>
      </c>
      <c r="C2160" t="inlineStr">
        <is>
          <t>022100</t>
        </is>
      </c>
      <c r="D2160" t="inlineStr">
        <is>
          <t>연결</t>
        </is>
      </c>
      <c r="E2160" t="inlineStr">
        <is>
          <t>2025Q3</t>
        </is>
      </c>
      <c r="F2160" s="2" t="n">
        <v>244724</v>
      </c>
      <c r="G2160" t="n">
        <v>-10.3</v>
      </c>
      <c r="H2160" t="n">
        <v>-23.2</v>
      </c>
      <c r="I2160" s="2" t="n">
        <v>21659</v>
      </c>
      <c r="J2160" t="n">
        <v>26.8</v>
      </c>
      <c r="K2160" t="n">
        <v>-17.6</v>
      </c>
      <c r="L2160" s="2" t="n">
        <v>17504</v>
      </c>
      <c r="M2160" t="n">
        <v>-19.2</v>
      </c>
      <c r="N2160" t="inlineStr">
        <is>
          <t>20251027800138</t>
        </is>
      </c>
      <c r="O2160">
        <f>HYPERLINK("https://dart.fss.or.kr/dsaf001/main.do?rcpNo=20251027800138", "공시열람")</f>
        <v/>
      </c>
    </row>
    <row r="2161">
      <c r="A2161" t="inlineStr">
        <is>
          <t>2025-10-27</t>
        </is>
      </c>
      <c r="B2161" t="inlineStr">
        <is>
          <t>포스코인터내셔널</t>
        </is>
      </c>
      <c r="C2161" t="inlineStr">
        <is>
          <t>047050</t>
        </is>
      </c>
      <c r="D2161" t="inlineStr">
        <is>
          <t>연결</t>
        </is>
      </c>
      <c r="E2161" t="inlineStr">
        <is>
          <t>2025Q3</t>
        </is>
      </c>
      <c r="F2161" s="2" t="n">
        <v>8248300</v>
      </c>
      <c r="G2161" t="n">
        <v>1.3</v>
      </c>
      <c r="H2161" t="n">
        <v>-1.3</v>
      </c>
      <c r="I2161" s="2" t="n">
        <v>315900</v>
      </c>
      <c r="J2161" t="n">
        <v>0.7</v>
      </c>
      <c r="K2161" t="n">
        <v>-11.6</v>
      </c>
      <c r="L2161" s="2" t="n">
        <v>209700</v>
      </c>
      <c r="M2161" t="n">
        <v>-11.7</v>
      </c>
      <c r="N2161" t="inlineStr">
        <is>
          <t>20251027800140</t>
        </is>
      </c>
      <c r="O2161">
        <f>HYPERLINK("https://dart.fss.or.kr/dsaf001/main.do?rcpNo=20251027800140", "공시열람")</f>
        <v/>
      </c>
    </row>
    <row r="2162">
      <c r="A2162" t="inlineStr">
        <is>
          <t>2025-10-27</t>
        </is>
      </c>
      <c r="B2162" t="inlineStr">
        <is>
          <t>포스코퓨처엠</t>
        </is>
      </c>
      <c r="C2162" t="inlineStr">
        <is>
          <t>003670</t>
        </is>
      </c>
      <c r="D2162" t="inlineStr">
        <is>
          <t>별도</t>
        </is>
      </c>
      <c r="E2162" t="inlineStr">
        <is>
          <t>2025Q3</t>
        </is>
      </c>
      <c r="F2162" s="2" t="n">
        <v>781006</v>
      </c>
      <c r="G2162" t="n">
        <v>34.8</v>
      </c>
      <c r="H2162" t="n">
        <v>-13.4</v>
      </c>
      <c r="I2162" s="2" t="n">
        <v>57864</v>
      </c>
      <c r="J2162" t="inlineStr"/>
      <c r="K2162" t="n">
        <v>750.4</v>
      </c>
      <c r="L2162" s="2" t="n">
        <v>31987</v>
      </c>
      <c r="M2162" t="n">
        <v>159.9</v>
      </c>
      <c r="N2162" t="inlineStr">
        <is>
          <t>20251027800142</t>
        </is>
      </c>
      <c r="O2162">
        <f>HYPERLINK("https://dart.fss.or.kr/dsaf001/main.do?rcpNo=20251027800142", "공시열람")</f>
        <v/>
      </c>
    </row>
    <row r="2163">
      <c r="A2163" t="inlineStr">
        <is>
          <t>2025-10-27</t>
        </is>
      </c>
      <c r="B2163" t="inlineStr">
        <is>
          <t>포스코퓨처엠</t>
        </is>
      </c>
      <c r="C2163" t="inlineStr">
        <is>
          <t>003670</t>
        </is>
      </c>
      <c r="D2163" t="inlineStr">
        <is>
          <t>연결</t>
        </is>
      </c>
      <c r="E2163" t="inlineStr">
        <is>
          <t>2025Q3</t>
        </is>
      </c>
      <c r="F2163" s="2" t="n">
        <v>874798</v>
      </c>
      <c r="G2163" t="n">
        <v>32.4</v>
      </c>
      <c r="H2163" t="n">
        <v>-5.2</v>
      </c>
      <c r="I2163" s="2" t="n">
        <v>66670</v>
      </c>
      <c r="J2163" t="n">
        <v>8521.200000000001</v>
      </c>
      <c r="K2163" t="n">
        <v>4775</v>
      </c>
      <c r="L2163" s="2" t="n">
        <v>46449</v>
      </c>
      <c r="M2163" t="inlineStr"/>
      <c r="N2163" t="inlineStr">
        <is>
          <t>20251027800146</t>
        </is>
      </c>
      <c r="O2163">
        <f>HYPERLINK("https://dart.fss.or.kr/dsaf001/main.do?rcpNo=20251027800146", "공시열람")</f>
        <v/>
      </c>
    </row>
    <row r="2164">
      <c r="A2164" t="inlineStr">
        <is>
          <t>2025-10-27</t>
        </is>
      </c>
      <c r="B2164" t="inlineStr">
        <is>
          <t>RF머트리얼즈</t>
        </is>
      </c>
      <c r="C2164" t="inlineStr">
        <is>
          <t>327260</t>
        </is>
      </c>
      <c r="D2164" t="inlineStr">
        <is>
          <t>연결</t>
        </is>
      </c>
      <c r="E2164" t="inlineStr">
        <is>
          <t>2025Q3</t>
        </is>
      </c>
      <c r="F2164" s="2" t="n">
        <v>14589</v>
      </c>
      <c r="G2164" t="n">
        <v>-11.92</v>
      </c>
      <c r="H2164" t="n">
        <v>89.22</v>
      </c>
      <c r="I2164" s="2" t="n">
        <v>1891</v>
      </c>
      <c r="J2164" t="n">
        <v>0.96</v>
      </c>
      <c r="K2164" t="inlineStr"/>
      <c r="L2164" s="2" t="n">
        <v>2317</v>
      </c>
      <c r="M2164" t="inlineStr"/>
      <c r="N2164" t="inlineStr">
        <is>
          <t>20251027900156</t>
        </is>
      </c>
      <c r="O2164">
        <f>HYPERLINK("https://dart.fss.or.kr/dsaf001/main.do?rcpNo=20251027900156", "공시열람")</f>
        <v/>
      </c>
    </row>
    <row r="2165">
      <c r="A2165" t="inlineStr">
        <is>
          <t>2025-10-27</t>
        </is>
      </c>
      <c r="B2165" t="inlineStr">
        <is>
          <t>HD현대에너지솔루션</t>
        </is>
      </c>
      <c r="C2165" t="inlineStr">
        <is>
          <t>322000</t>
        </is>
      </c>
      <c r="D2165" t="inlineStr">
        <is>
          <t>연결</t>
        </is>
      </c>
      <c r="E2165" t="inlineStr">
        <is>
          <t>2025Q3</t>
        </is>
      </c>
      <c r="F2165" s="2" t="n">
        <v>121049</v>
      </c>
      <c r="G2165" t="n">
        <v>-9.5</v>
      </c>
      <c r="H2165" t="n">
        <v>20.3</v>
      </c>
      <c r="I2165" s="2" t="n">
        <v>14675</v>
      </c>
      <c r="J2165" t="n">
        <v>-2.6</v>
      </c>
      <c r="K2165" t="n">
        <v>328.8</v>
      </c>
      <c r="L2165" s="2" t="n">
        <v>11971</v>
      </c>
      <c r="M2165" t="n">
        <v>1523.9</v>
      </c>
      <c r="N2165" t="inlineStr">
        <is>
          <t>20251027800159</t>
        </is>
      </c>
      <c r="O2165">
        <f>HYPERLINK("https://dart.fss.or.kr/dsaf001/main.do?rcpNo=20251027800159", "공시열람")</f>
        <v/>
      </c>
    </row>
    <row r="2166">
      <c r="A2166" t="inlineStr">
        <is>
          <t>2025-10-27</t>
        </is>
      </c>
      <c r="B2166" t="inlineStr">
        <is>
          <t>포스코엠텍</t>
        </is>
      </c>
      <c r="C2166" t="inlineStr">
        <is>
          <t>009520</t>
        </is>
      </c>
      <c r="D2166" t="inlineStr">
        <is>
          <t>별도</t>
        </is>
      </c>
      <c r="E2166" t="inlineStr">
        <is>
          <t>2025Q3</t>
        </is>
      </c>
      <c r="F2166" s="2" t="n">
        <v>82878</v>
      </c>
      <c r="G2166" t="n">
        <v>-7.24</v>
      </c>
      <c r="H2166" t="n">
        <v>-6.01</v>
      </c>
      <c r="I2166" s="2" t="n">
        <v>1737</v>
      </c>
      <c r="J2166" t="inlineStr"/>
      <c r="K2166" t="inlineStr"/>
      <c r="L2166" s="2" t="n">
        <v>1332</v>
      </c>
      <c r="M2166" t="inlineStr"/>
      <c r="N2166" t="inlineStr">
        <is>
          <t>20251027900134</t>
        </is>
      </c>
      <c r="O2166">
        <f>HYPERLINK("https://dart.fss.or.kr/dsaf001/main.do?rcpNo=20251027900134", "공시열람")</f>
        <v/>
      </c>
    </row>
    <row r="2167">
      <c r="A2167" t="inlineStr">
        <is>
          <t>2025-10-27</t>
        </is>
      </c>
      <c r="B2167" t="inlineStr">
        <is>
          <t>RF시스템즈</t>
        </is>
      </c>
      <c r="C2167" t="inlineStr">
        <is>
          <t>474610</t>
        </is>
      </c>
      <c r="D2167" t="inlineStr">
        <is>
          <t>별도</t>
        </is>
      </c>
      <c r="E2167" t="inlineStr">
        <is>
          <t>2025Q3</t>
        </is>
      </c>
      <c r="F2167" s="2" t="n">
        <v>7601</v>
      </c>
      <c r="G2167" t="n">
        <v>-26.91</v>
      </c>
      <c r="H2167" t="n">
        <v>62.28</v>
      </c>
      <c r="I2167" s="2" t="n">
        <v>613</v>
      </c>
      <c r="J2167" t="n">
        <v>-61.27</v>
      </c>
      <c r="K2167" t="inlineStr"/>
      <c r="L2167" s="2" t="n">
        <v>904</v>
      </c>
      <c r="M2167" t="inlineStr"/>
      <c r="N2167" t="inlineStr">
        <is>
          <t>20251027900181</t>
        </is>
      </c>
      <c r="O2167">
        <f>HYPERLINK("https://dart.fss.or.kr/dsaf001/main.do?rcpNo=20251027900181", "공시열람")</f>
        <v/>
      </c>
    </row>
    <row r="2168">
      <c r="A2168" t="inlineStr">
        <is>
          <t>2025-10-27</t>
        </is>
      </c>
      <c r="B2168" t="inlineStr">
        <is>
          <t>RFHIC</t>
        </is>
      </c>
      <c r="C2168" t="inlineStr">
        <is>
          <t>218410</t>
        </is>
      </c>
      <c r="D2168" t="inlineStr">
        <is>
          <t>연결</t>
        </is>
      </c>
      <c r="E2168" t="inlineStr">
        <is>
          <t>2025Q3</t>
        </is>
      </c>
      <c r="F2168" s="2" t="n">
        <v>40497</v>
      </c>
      <c r="G2168" t="n">
        <v>-9.279999999999999</v>
      </c>
      <c r="H2168" t="n">
        <v>64.72</v>
      </c>
      <c r="I2168" s="2" t="n">
        <v>7363</v>
      </c>
      <c r="J2168" t="n">
        <v>-11.35</v>
      </c>
      <c r="K2168" t="inlineStr"/>
      <c r="L2168" s="2" t="n">
        <v>7149</v>
      </c>
      <c r="M2168" t="n">
        <v>936.83</v>
      </c>
      <c r="N2168" t="inlineStr">
        <is>
          <t>20251027900217</t>
        </is>
      </c>
      <c r="O2168">
        <f>HYPERLINK("https://dart.fss.or.kr/dsaf001/main.do?rcpNo=20251027900217", "공시열람")</f>
        <v/>
      </c>
    </row>
    <row r="2169">
      <c r="A2169" t="inlineStr">
        <is>
          <t>2025-10-27</t>
        </is>
      </c>
      <c r="B2169" t="inlineStr">
        <is>
          <t>한화오션</t>
        </is>
      </c>
      <c r="C2169" t="inlineStr">
        <is>
          <t>042660</t>
        </is>
      </c>
      <c r="D2169" t="inlineStr">
        <is>
          <t>연결</t>
        </is>
      </c>
      <c r="E2169" t="inlineStr">
        <is>
          <t>2025Q3</t>
        </is>
      </c>
      <c r="F2169" s="2" t="n">
        <v>3023400</v>
      </c>
      <c r="G2169" t="n">
        <v>-8.199999999999999</v>
      </c>
      <c r="H2169" t="n">
        <v>11.8</v>
      </c>
      <c r="I2169" s="2" t="n">
        <v>289800</v>
      </c>
      <c r="J2169" t="n">
        <v>-22</v>
      </c>
      <c r="K2169" t="n">
        <v>1032</v>
      </c>
      <c r="L2169" s="2" t="n">
        <v>269400</v>
      </c>
      <c r="M2169" t="inlineStr"/>
      <c r="N2169" t="inlineStr">
        <is>
          <t>20251027800193</t>
        </is>
      </c>
      <c r="O2169">
        <f>HYPERLINK("https://dart.fss.or.kr/dsaf001/main.do?rcpNo=20251027800193", "공시열람")</f>
        <v/>
      </c>
    </row>
    <row r="2170">
      <c r="A2170" t="inlineStr">
        <is>
          <t>2025-10-24</t>
        </is>
      </c>
      <c r="B2170" t="inlineStr">
        <is>
          <t>국도화학</t>
        </is>
      </c>
      <c r="C2170" t="inlineStr">
        <is>
          <t>007690</t>
        </is>
      </c>
      <c r="D2170" t="inlineStr">
        <is>
          <t>연결</t>
        </is>
      </c>
      <c r="E2170" t="inlineStr">
        <is>
          <t>2025Q3</t>
        </is>
      </c>
      <c r="F2170" s="2" t="n">
        <v>354481</v>
      </c>
      <c r="G2170" t="n">
        <v>1.7</v>
      </c>
      <c r="H2170" t="n">
        <v>4.2</v>
      </c>
      <c r="I2170" s="2" t="n">
        <v>10765</v>
      </c>
      <c r="J2170" t="n">
        <v>-36.1</v>
      </c>
      <c r="K2170" t="n">
        <v>50.6</v>
      </c>
      <c r="L2170" s="2" t="n">
        <v>5949</v>
      </c>
      <c r="M2170" t="inlineStr"/>
      <c r="N2170" t="inlineStr">
        <is>
          <t>20251024800174</t>
        </is>
      </c>
      <c r="O2170">
        <f>HYPERLINK("https://dart.fss.or.kr/dsaf001/main.do?rcpNo=20251024800174", "공시열람")</f>
        <v/>
      </c>
    </row>
    <row r="2171">
      <c r="A2171" t="inlineStr">
        <is>
          <t>2025-10-24</t>
        </is>
      </c>
      <c r="B2171" t="inlineStr">
        <is>
          <t>노을</t>
        </is>
      </c>
      <c r="C2171" t="inlineStr">
        <is>
          <t>376930</t>
        </is>
      </c>
      <c r="D2171" t="inlineStr">
        <is>
          <t>연결</t>
        </is>
      </c>
      <c r="E2171" t="inlineStr">
        <is>
          <t>2025Q3</t>
        </is>
      </c>
      <c r="F2171" s="2" t="n">
        <v>1082</v>
      </c>
      <c r="G2171" t="n">
        <v>-22.7</v>
      </c>
      <c r="H2171" t="n">
        <v>-20.4</v>
      </c>
      <c r="I2171" s="2" t="n">
        <v>-3939</v>
      </c>
      <c r="J2171" t="n">
        <v>21.3</v>
      </c>
      <c r="K2171" t="n">
        <v>10.2</v>
      </c>
      <c r="L2171" s="2" t="inlineStr"/>
      <c r="M2171" t="inlineStr"/>
      <c r="N2171" t="inlineStr">
        <is>
          <t>20251024900056</t>
        </is>
      </c>
      <c r="O2171">
        <f>HYPERLINK("https://dart.fss.or.kr/dsaf001/main.do?rcpNo=20251024900056", "공시열람")</f>
        <v/>
      </c>
    </row>
    <row r="2172">
      <c r="A2172" t="inlineStr">
        <is>
          <t>2025-10-23</t>
        </is>
      </c>
      <c r="B2172" t="inlineStr">
        <is>
          <t>삼성중공업</t>
        </is>
      </c>
      <c r="C2172" t="inlineStr">
        <is>
          <t>010140</t>
        </is>
      </c>
      <c r="D2172" t="inlineStr">
        <is>
          <t>연결</t>
        </is>
      </c>
      <c r="E2172" t="inlineStr">
        <is>
          <t>2025Q3</t>
        </is>
      </c>
      <c r="F2172" s="2" t="n">
        <v>2634800</v>
      </c>
      <c r="G2172" t="n">
        <v>-1.8</v>
      </c>
      <c r="H2172" t="n">
        <v>13.4</v>
      </c>
      <c r="I2172" s="2" t="n">
        <v>238100</v>
      </c>
      <c r="J2172" t="n">
        <v>16.3</v>
      </c>
      <c r="K2172" t="n">
        <v>98.59999999999999</v>
      </c>
      <c r="L2172" s="2" t="n">
        <v>140300</v>
      </c>
      <c r="M2172" t="n">
        <v>96.5</v>
      </c>
      <c r="N2172" t="inlineStr">
        <is>
          <t>20251023800266</t>
        </is>
      </c>
      <c r="O2172">
        <f>HYPERLINK("https://dart.fss.or.kr/dsaf001/main.do?rcpNo=20251023800266", "공시열람")</f>
        <v/>
      </c>
    </row>
    <row r="2173">
      <c r="A2173" t="inlineStr">
        <is>
          <t>2025-10-23</t>
        </is>
      </c>
      <c r="B2173" t="inlineStr">
        <is>
          <t>한솔아이원스</t>
        </is>
      </c>
      <c r="C2173" t="inlineStr">
        <is>
          <t>114810</t>
        </is>
      </c>
      <c r="D2173" t="inlineStr">
        <is>
          <t>연결</t>
        </is>
      </c>
      <c r="E2173" t="inlineStr">
        <is>
          <t>2025Q3</t>
        </is>
      </c>
      <c r="F2173" s="2" t="n">
        <v>51224</v>
      </c>
      <c r="G2173" t="n">
        <v>8.94</v>
      </c>
      <c r="H2173" t="n">
        <v>40.16</v>
      </c>
      <c r="I2173" s="2" t="n">
        <v>9380</v>
      </c>
      <c r="J2173" t="n">
        <v>3.23</v>
      </c>
      <c r="K2173" t="n">
        <v>99.90000000000001</v>
      </c>
      <c r="L2173" s="2" t="n">
        <v>6441</v>
      </c>
      <c r="M2173" t="n">
        <v>52.97</v>
      </c>
      <c r="N2173" t="inlineStr">
        <is>
          <t>20251023900235</t>
        </is>
      </c>
      <c r="O2173">
        <f>HYPERLINK("https://dart.fss.or.kr/dsaf001/main.do?rcpNo=20251023900235", "공시열람")</f>
        <v/>
      </c>
    </row>
    <row r="2174">
      <c r="A2174" t="inlineStr">
        <is>
          <t>2025-10-23</t>
        </is>
      </c>
      <c r="B2174" t="inlineStr">
        <is>
          <t>멀티캠퍼스</t>
        </is>
      </c>
      <c r="C2174" t="inlineStr">
        <is>
          <t>067280</t>
        </is>
      </c>
      <c r="D2174" t="inlineStr">
        <is>
          <t>연결</t>
        </is>
      </c>
      <c r="E2174" t="inlineStr">
        <is>
          <t>2025Q3</t>
        </is>
      </c>
      <c r="F2174" s="2" t="n">
        <v>84863</v>
      </c>
      <c r="G2174" t="n">
        <v>0</v>
      </c>
      <c r="H2174" t="n">
        <v>-6.8</v>
      </c>
      <c r="I2174" s="2" t="n">
        <v>7992</v>
      </c>
      <c r="J2174" t="n">
        <v>-9.1</v>
      </c>
      <c r="K2174" t="n">
        <v>-19.2</v>
      </c>
      <c r="L2174" s="2" t="n">
        <v>6832</v>
      </c>
      <c r="M2174" t="n">
        <v>-17.2</v>
      </c>
      <c r="N2174" t="inlineStr">
        <is>
          <t>20251023900272</t>
        </is>
      </c>
      <c r="O2174">
        <f>HYPERLINK("https://dart.fss.or.kr/dsaf001/main.do?rcpNo=20251023900272", "공시열람")</f>
        <v/>
      </c>
    </row>
    <row r="2175">
      <c r="A2175" t="inlineStr">
        <is>
          <t>2025-10-23</t>
        </is>
      </c>
      <c r="B2175" t="inlineStr">
        <is>
          <t>HD현대일렉트릭</t>
        </is>
      </c>
      <c r="C2175" t="inlineStr">
        <is>
          <t>267260</t>
        </is>
      </c>
      <c r="D2175" t="inlineStr">
        <is>
          <t>연결</t>
        </is>
      </c>
      <c r="E2175" t="inlineStr">
        <is>
          <t>2025Q3</t>
        </is>
      </c>
      <c r="F2175" s="2" t="n">
        <v>995400</v>
      </c>
      <c r="G2175" t="n">
        <v>9.800000000000001</v>
      </c>
      <c r="H2175" t="n">
        <v>26.2</v>
      </c>
      <c r="I2175" s="2" t="n">
        <v>247100</v>
      </c>
      <c r="J2175" t="n">
        <v>18.2</v>
      </c>
      <c r="K2175" t="n">
        <v>50.9</v>
      </c>
      <c r="L2175" s="2" t="n">
        <v>191100</v>
      </c>
      <c r="M2175" t="n">
        <v>63.9</v>
      </c>
      <c r="N2175" t="inlineStr">
        <is>
          <t>20251023800145</t>
        </is>
      </c>
      <c r="O2175">
        <f>HYPERLINK("https://dart.fss.or.kr/dsaf001/main.do?rcpNo=20251023800145", "공시열람")</f>
        <v/>
      </c>
    </row>
    <row r="2176">
      <c r="A2176" t="inlineStr">
        <is>
          <t>2025-10-22</t>
        </is>
      </c>
      <c r="B2176" t="inlineStr">
        <is>
          <t>지역난방공사</t>
        </is>
      </c>
      <c r="C2176" t="inlineStr">
        <is>
          <t>071320</t>
        </is>
      </c>
      <c r="D2176" t="inlineStr">
        <is>
          <t>별도</t>
        </is>
      </c>
      <c r="E2176" t="inlineStr">
        <is>
          <t>2025Q3</t>
        </is>
      </c>
      <c r="F2176" s="2" t="inlineStr"/>
      <c r="G2176" t="inlineStr"/>
      <c r="H2176" t="inlineStr"/>
      <c r="I2176" s="2" t="inlineStr"/>
      <c r="J2176" t="inlineStr"/>
      <c r="K2176" t="inlineStr"/>
      <c r="L2176" s="2" t="inlineStr"/>
      <c r="M2176" t="inlineStr"/>
      <c r="N2176" t="inlineStr">
        <is>
          <t>20251022800109</t>
        </is>
      </c>
      <c r="O2176">
        <f>HYPERLINK("https://dart.fss.or.kr/dsaf001/main.do?rcpNo=20251022800109", "공시열람")</f>
        <v/>
      </c>
    </row>
    <row r="2177">
      <c r="A2177" t="inlineStr">
        <is>
          <t>2025-10-22</t>
        </is>
      </c>
      <c r="B2177" t="inlineStr">
        <is>
          <t>엘에스일렉트릭</t>
        </is>
      </c>
      <c r="C2177" t="inlineStr">
        <is>
          <t>010120</t>
        </is>
      </c>
      <c r="D2177" t="inlineStr">
        <is>
          <t>연결</t>
        </is>
      </c>
      <c r="E2177" t="inlineStr">
        <is>
          <t>2025Q3</t>
        </is>
      </c>
      <c r="F2177" s="2" t="n">
        <v>1216295</v>
      </c>
      <c r="G2177" t="n">
        <v>1.95</v>
      </c>
      <c r="H2177" t="n">
        <v>19.1</v>
      </c>
      <c r="I2177" s="2" t="n">
        <v>100791</v>
      </c>
      <c r="J2177" t="n">
        <v>-7.19</v>
      </c>
      <c r="K2177" t="n">
        <v>51.68</v>
      </c>
      <c r="L2177" s="2" t="n">
        <v>65892</v>
      </c>
      <c r="M2177" t="n">
        <v>87.59999999999999</v>
      </c>
      <c r="N2177" t="inlineStr">
        <is>
          <t>20251022800182</t>
        </is>
      </c>
      <c r="O2177">
        <f>HYPERLINK("https://dart.fss.or.kr/dsaf001/main.do?rcpNo=20251022800182", "공시열람")</f>
        <v/>
      </c>
    </row>
    <row r="2178">
      <c r="A2178" t="inlineStr">
        <is>
          <t>2025-10-21</t>
        </is>
      </c>
      <c r="B2178" t="inlineStr">
        <is>
          <t>테크윙</t>
        </is>
      </c>
      <c r="C2178" t="inlineStr">
        <is>
          <t>089030</t>
        </is>
      </c>
      <c r="D2178" t="inlineStr">
        <is>
          <t>연결</t>
        </is>
      </c>
      <c r="E2178" t="inlineStr">
        <is>
          <t>2025Q3</t>
        </is>
      </c>
      <c r="F2178" s="2" t="n">
        <v>41766</v>
      </c>
      <c r="G2178" t="n">
        <v>-14.58</v>
      </c>
      <c r="H2178" t="n">
        <v>-10.61</v>
      </c>
      <c r="I2178" s="2" t="n">
        <v>7112</v>
      </c>
      <c r="J2178" t="n">
        <v>11.81</v>
      </c>
      <c r="K2178" t="n">
        <v>15.14</v>
      </c>
      <c r="L2178" s="2" t="inlineStr"/>
      <c r="M2178" t="inlineStr"/>
      <c r="N2178" t="inlineStr">
        <is>
          <t>20251021900333</t>
        </is>
      </c>
      <c r="O2178">
        <f>HYPERLINK("https://dart.fss.or.kr/dsaf001/main.do?rcpNo=20251021900333", "공시열람")</f>
        <v/>
      </c>
    </row>
    <row r="2179">
      <c r="A2179" t="inlineStr">
        <is>
          <t>2025-10-21</t>
        </is>
      </c>
      <c r="B2179" t="inlineStr">
        <is>
          <t>셀트리온</t>
        </is>
      </c>
      <c r="C2179" t="inlineStr">
        <is>
          <t>068270</t>
        </is>
      </c>
      <c r="D2179" t="inlineStr">
        <is>
          <t>연결</t>
        </is>
      </c>
      <c r="E2179" t="inlineStr">
        <is>
          <t>2025Q3</t>
        </is>
      </c>
      <c r="F2179" s="2" t="n">
        <v>1026024</v>
      </c>
      <c r="G2179" t="n">
        <v>6.72</v>
      </c>
      <c r="H2179" t="n">
        <v>16.34</v>
      </c>
      <c r="I2179" s="2" t="n">
        <v>301036</v>
      </c>
      <c r="J2179" t="n">
        <v>24.16</v>
      </c>
      <c r="K2179" t="n">
        <v>44.95</v>
      </c>
      <c r="L2179" s="2" t="inlineStr"/>
      <c r="M2179" t="inlineStr"/>
      <c r="N2179" t="inlineStr">
        <is>
          <t>20251021800045</t>
        </is>
      </c>
      <c r="O2179">
        <f>HYPERLINK("https://dart.fss.or.kr/dsaf001/main.do?rcpNo=20251021800045", "공시열람")</f>
        <v/>
      </c>
    </row>
    <row r="2180">
      <c r="A2180" t="inlineStr">
        <is>
          <t>2025-10-21</t>
        </is>
      </c>
      <c r="B2180" t="inlineStr">
        <is>
          <t>대한항공</t>
        </is>
      </c>
      <c r="C2180" t="inlineStr">
        <is>
          <t>003490</t>
        </is>
      </c>
      <c r="D2180" t="inlineStr">
        <is>
          <t>별도</t>
        </is>
      </c>
      <c r="E2180" t="inlineStr">
        <is>
          <t>2025Q3</t>
        </is>
      </c>
      <c r="F2180" s="2" t="n">
        <v>4008500</v>
      </c>
      <c r="G2180" t="n">
        <v>0.6</v>
      </c>
      <c r="H2180" t="n">
        <v>-5.5</v>
      </c>
      <c r="I2180" s="2" t="n">
        <v>376300</v>
      </c>
      <c r="J2180" t="n">
        <v>-5.7</v>
      </c>
      <c r="K2180" t="n">
        <v>-39.2</v>
      </c>
      <c r="L2180" s="2" t="n">
        <v>91900</v>
      </c>
      <c r="M2180" t="n">
        <v>-66.8</v>
      </c>
      <c r="N2180" t="inlineStr">
        <is>
          <t>20251021800365</t>
        </is>
      </c>
      <c r="O2180">
        <f>HYPERLINK("https://dart.fss.or.kr/dsaf001/main.do?rcpNo=20251021800365", "공시열람")</f>
        <v/>
      </c>
    </row>
    <row r="2181">
      <c r="A2181" t="inlineStr">
        <is>
          <t>2025-10-21</t>
        </is>
      </c>
      <c r="B2181" t="inlineStr">
        <is>
          <t>부광약품</t>
        </is>
      </c>
      <c r="C2181" t="inlineStr">
        <is>
          <t>003000</t>
        </is>
      </c>
      <c r="D2181" t="inlineStr">
        <is>
          <t>연결</t>
        </is>
      </c>
      <c r="E2181" t="inlineStr">
        <is>
          <t>2025Q3</t>
        </is>
      </c>
      <c r="F2181" s="2" t="n">
        <v>47815</v>
      </c>
      <c r="G2181" t="n">
        <v>12.3</v>
      </c>
      <c r="H2181" t="n">
        <v>12.25</v>
      </c>
      <c r="I2181" s="2" t="n">
        <v>979</v>
      </c>
      <c r="J2181" t="n">
        <v>-51.37</v>
      </c>
      <c r="K2181" t="n">
        <v>-69.3</v>
      </c>
      <c r="L2181" s="2" t="n">
        <v>1495</v>
      </c>
      <c r="M2181" t="n">
        <v>1410.1</v>
      </c>
      <c r="N2181" t="inlineStr">
        <is>
          <t>20251021800153</t>
        </is>
      </c>
      <c r="O2181">
        <f>HYPERLINK("https://dart.fss.or.kr/dsaf001/main.do?rcpNo=20251021800153", "공시열람")</f>
        <v/>
      </c>
    </row>
    <row r="2182">
      <c r="A2182" t="inlineStr">
        <is>
          <t>2025-10-21</t>
        </is>
      </c>
      <c r="B2182" t="inlineStr">
        <is>
          <t>오리온</t>
        </is>
      </c>
      <c r="C2182" t="inlineStr">
        <is>
          <t>271560</t>
        </is>
      </c>
      <c r="D2182" t="inlineStr">
        <is>
          <t>연결</t>
        </is>
      </c>
      <c r="E2182" t="inlineStr">
        <is>
          <t>2025Q3</t>
        </is>
      </c>
      <c r="F2182" s="2" t="inlineStr"/>
      <c r="G2182" t="inlineStr"/>
      <c r="H2182" t="inlineStr"/>
      <c r="I2182" s="2" t="inlineStr"/>
      <c r="J2182" t="inlineStr"/>
      <c r="K2182" t="inlineStr"/>
      <c r="L2182" s="2" t="inlineStr"/>
      <c r="M2182" t="inlineStr"/>
      <c r="N2182" t="inlineStr">
        <is>
          <t>20251021800095</t>
        </is>
      </c>
      <c r="O2182">
        <f>HYPERLINK("https://dart.fss.or.kr/dsaf001/main.do?rcpNo=20251021800095", "공시열람")</f>
        <v/>
      </c>
    </row>
    <row r="2183">
      <c r="A2183" t="inlineStr">
        <is>
          <t>2025-10-21</t>
        </is>
      </c>
      <c r="B2183" t="inlineStr">
        <is>
          <t>아바텍</t>
        </is>
      </c>
      <c r="C2183" t="inlineStr">
        <is>
          <t>149950</t>
        </is>
      </c>
      <c r="D2183" t="inlineStr">
        <is>
          <t>별도</t>
        </is>
      </c>
      <c r="E2183" t="inlineStr">
        <is>
          <t>2025Q3</t>
        </is>
      </c>
      <c r="F2183" s="2" t="n">
        <v>22817</v>
      </c>
      <c r="G2183" t="n">
        <v>23.84</v>
      </c>
      <c r="H2183" t="n">
        <v>9.140000000000001</v>
      </c>
      <c r="I2183" s="2" t="n">
        <v>3303</v>
      </c>
      <c r="J2183" t="n">
        <v>150.21</v>
      </c>
      <c r="K2183" t="n">
        <v>400.84</v>
      </c>
      <c r="L2183" s="2" t="n">
        <v>3048</v>
      </c>
      <c r="M2183" t="n">
        <v>382.06</v>
      </c>
      <c r="N2183" t="inlineStr">
        <is>
          <t>20251021900065</t>
        </is>
      </c>
      <c r="O2183">
        <f>HYPERLINK("https://dart.fss.or.kr/dsaf001/main.do?rcpNo=20251021900065", "공시열람")</f>
        <v/>
      </c>
    </row>
    <row r="2184">
      <c r="A2184" t="inlineStr">
        <is>
          <t>2025-10-17</t>
        </is>
      </c>
      <c r="B2184" t="inlineStr">
        <is>
          <t>한진</t>
        </is>
      </c>
      <c r="C2184" t="inlineStr">
        <is>
          <t>002320</t>
        </is>
      </c>
      <c r="D2184" t="inlineStr">
        <is>
          <t>연결</t>
        </is>
      </c>
      <c r="E2184" t="inlineStr">
        <is>
          <t>2025Q3</t>
        </is>
      </c>
      <c r="F2184" s="2" t="n">
        <v>800400</v>
      </c>
      <c r="G2184" t="n">
        <v>8</v>
      </c>
      <c r="H2184" t="n">
        <v>5.8</v>
      </c>
      <c r="I2184" s="2" t="n">
        <v>29400</v>
      </c>
      <c r="J2184" t="n">
        <v>-20.5</v>
      </c>
      <c r="K2184" t="n">
        <v>-26.3</v>
      </c>
      <c r="L2184" s="2" t="inlineStr"/>
      <c r="M2184" t="inlineStr"/>
      <c r="N2184" t="inlineStr">
        <is>
          <t>20251017800409</t>
        </is>
      </c>
      <c r="O2184">
        <f>HYPERLINK("https://dart.fss.or.kr/dsaf001/main.do?rcpNo=20251017800409", "공시열람")</f>
        <v/>
      </c>
    </row>
    <row r="2185">
      <c r="A2185" t="inlineStr">
        <is>
          <t>2025-10-16</t>
        </is>
      </c>
      <c r="B2185" t="inlineStr">
        <is>
          <t>서울바이오시스</t>
        </is>
      </c>
      <c r="C2185" t="inlineStr">
        <is>
          <t>092190</t>
        </is>
      </c>
      <c r="D2185" t="inlineStr">
        <is>
          <t>연결</t>
        </is>
      </c>
      <c r="E2185" t="inlineStr">
        <is>
          <t>2025Q3</t>
        </is>
      </c>
      <c r="F2185" s="2" t="n">
        <v>187311</v>
      </c>
      <c r="G2185" t="n">
        <v>-0.4</v>
      </c>
      <c r="H2185" t="n">
        <v>1.6</v>
      </c>
      <c r="I2185" s="2" t="inlineStr"/>
      <c r="J2185" t="inlineStr"/>
      <c r="K2185" t="inlineStr"/>
      <c r="L2185" s="2" t="inlineStr"/>
      <c r="M2185" t="inlineStr"/>
      <c r="N2185" t="inlineStr">
        <is>
          <t>20251016900336</t>
        </is>
      </c>
      <c r="O2185">
        <f>HYPERLINK("https://dart.fss.or.kr/dsaf001/main.do?rcpNo=20251016900336", "공시열람")</f>
        <v/>
      </c>
    </row>
    <row r="2186">
      <c r="A2186" t="inlineStr">
        <is>
          <t>2025-10-16</t>
        </is>
      </c>
      <c r="B2186" t="inlineStr">
        <is>
          <t>서울반도체</t>
        </is>
      </c>
      <c r="C2186" t="inlineStr">
        <is>
          <t>046890</t>
        </is>
      </c>
      <c r="D2186" t="inlineStr">
        <is>
          <t>연결</t>
        </is>
      </c>
      <c r="E2186" t="inlineStr">
        <is>
          <t>2025Q3</t>
        </is>
      </c>
      <c r="F2186" s="2" t="n">
        <v>258023</v>
      </c>
      <c r="G2186" t="n">
        <v>7.9</v>
      </c>
      <c r="H2186" t="n">
        <v>-14.2</v>
      </c>
      <c r="I2186" s="2" t="inlineStr"/>
      <c r="J2186" t="inlineStr"/>
      <c r="K2186" t="inlineStr"/>
      <c r="L2186" s="2" t="inlineStr"/>
      <c r="M2186" t="inlineStr"/>
      <c r="N2186" t="inlineStr">
        <is>
          <t>20251016900327</t>
        </is>
      </c>
      <c r="O2186">
        <f>HYPERLINK("https://dart.fss.or.kr/dsaf001/main.do?rcpNo=20251016900327", "공시열람")</f>
        <v/>
      </c>
    </row>
    <row r="2187">
      <c r="A2187" t="inlineStr">
        <is>
          <t>2025-10-16</t>
        </is>
      </c>
      <c r="B2187" t="inlineStr">
        <is>
          <t>이마트</t>
        </is>
      </c>
      <c r="C2187" t="inlineStr">
        <is>
          <t>139480</t>
        </is>
      </c>
      <c r="D2187" t="inlineStr">
        <is>
          <t>별도</t>
        </is>
      </c>
      <c r="E2187" t="inlineStr">
        <is>
          <t>2025Q3</t>
        </is>
      </c>
      <c r="F2187" s="2" t="n">
        <v>1480900</v>
      </c>
      <c r="G2187" t="n">
        <v>6</v>
      </c>
      <c r="H2187" t="n">
        <v>-1</v>
      </c>
      <c r="I2187" s="2" t="inlineStr"/>
      <c r="J2187" t="inlineStr"/>
      <c r="K2187" t="inlineStr"/>
      <c r="L2187" s="2" t="inlineStr"/>
      <c r="M2187" t="inlineStr"/>
      <c r="N2187" t="inlineStr">
        <is>
          <t>20251016800120</t>
        </is>
      </c>
      <c r="O2187">
        <f>HYPERLINK("https://dart.fss.or.kr/dsaf001/main.do?rcpNo=20251016800120", "공시열람")</f>
        <v/>
      </c>
    </row>
    <row r="2188">
      <c r="A2188" t="inlineStr">
        <is>
          <t>2025-10-15</t>
        </is>
      </c>
      <c r="B2188" t="inlineStr">
        <is>
          <t>티앤알바이오팹</t>
        </is>
      </c>
      <c r="C2188" t="inlineStr">
        <is>
          <t>246710</t>
        </is>
      </c>
      <c r="D2188" t="inlineStr">
        <is>
          <t>연결</t>
        </is>
      </c>
      <c r="E2188" t="inlineStr">
        <is>
          <t>2024Q3</t>
        </is>
      </c>
      <c r="F2188" s="2" t="n">
        <v>7003</v>
      </c>
      <c r="G2188" t="n">
        <v>7.15</v>
      </c>
      <c r="H2188" t="n">
        <v>538.96</v>
      </c>
      <c r="I2188" s="2" t="inlineStr"/>
      <c r="J2188" t="inlineStr"/>
      <c r="K2188" t="inlineStr"/>
      <c r="L2188" s="2" t="inlineStr"/>
      <c r="M2188" t="inlineStr"/>
      <c r="N2188" t="inlineStr">
        <is>
          <t>20251015900076</t>
        </is>
      </c>
      <c r="O2188">
        <f>HYPERLINK("https://dart.fss.or.kr/dsaf001/main.do?rcpNo=20251015900076", "공시열람")</f>
        <v/>
      </c>
    </row>
    <row r="2189">
      <c r="A2189" t="inlineStr">
        <is>
          <t>2025-10-14</t>
        </is>
      </c>
      <c r="B2189" t="inlineStr">
        <is>
          <t>한국가스공사</t>
        </is>
      </c>
      <c r="C2189" t="inlineStr">
        <is>
          <t>036460</t>
        </is>
      </c>
      <c r="D2189" t="inlineStr">
        <is>
          <t>별도</t>
        </is>
      </c>
      <c r="E2189" t="inlineStr">
        <is>
          <t>2025Q3</t>
        </is>
      </c>
      <c r="F2189" s="2" t="inlineStr"/>
      <c r="G2189" t="inlineStr"/>
      <c r="H2189" t="inlineStr"/>
      <c r="I2189" s="2" t="inlineStr"/>
      <c r="J2189" t="inlineStr"/>
      <c r="K2189" t="inlineStr"/>
      <c r="L2189" s="2" t="inlineStr"/>
      <c r="M2189" t="inlineStr"/>
      <c r="N2189" t="inlineStr">
        <is>
          <t>20251014800536</t>
        </is>
      </c>
      <c r="O2189">
        <f>HYPERLINK("https://dart.fss.or.kr/dsaf001/main.do?rcpNo=20251014800536", "공시열람")</f>
        <v/>
      </c>
    </row>
    <row r="2190">
      <c r="A2190" t="inlineStr">
        <is>
          <t>2025-10-14</t>
        </is>
      </c>
      <c r="B2190" t="inlineStr">
        <is>
          <t>삼성전자</t>
        </is>
      </c>
      <c r="C2190" t="inlineStr">
        <is>
          <t>005930</t>
        </is>
      </c>
      <c r="D2190" t="inlineStr">
        <is>
          <t>연결</t>
        </is>
      </c>
      <c r="E2190" t="inlineStr">
        <is>
          <t>2025Q3</t>
        </is>
      </c>
      <c r="F2190" s="2" t="n">
        <v>86</v>
      </c>
      <c r="G2190" t="n">
        <v>15.33</v>
      </c>
      <c r="H2190" t="n">
        <v>8.720000000000001</v>
      </c>
      <c r="I2190" s="2" t="n">
        <v>12</v>
      </c>
      <c r="J2190" t="n">
        <v>158.55</v>
      </c>
      <c r="K2190" t="n">
        <v>31.81</v>
      </c>
      <c r="L2190" s="2" t="inlineStr"/>
      <c r="M2190" t="inlineStr"/>
      <c r="N2190" t="inlineStr">
        <is>
          <t>20251014800003</t>
        </is>
      </c>
      <c r="O2190">
        <f>HYPERLINK("https://dart.fss.or.kr/dsaf001/main.do?rcpNo=20251014800003", "공시열람")</f>
        <v/>
      </c>
    </row>
    <row r="2191">
      <c r="A2191" t="inlineStr">
        <is>
          <t>2025-10-13</t>
        </is>
      </c>
      <c r="B2191" t="inlineStr">
        <is>
          <t>메카로</t>
        </is>
      </c>
      <c r="C2191" t="inlineStr">
        <is>
          <t>241770</t>
        </is>
      </c>
      <c r="D2191" t="inlineStr">
        <is>
          <t>연결</t>
        </is>
      </c>
      <c r="E2191" t="inlineStr">
        <is>
          <t>2025Q3</t>
        </is>
      </c>
      <c r="F2191" s="2" t="n">
        <v>25756</v>
      </c>
      <c r="G2191" t="n">
        <v>12.48</v>
      </c>
      <c r="H2191" t="n">
        <v>64.34</v>
      </c>
      <c r="I2191" s="2" t="inlineStr"/>
      <c r="J2191" t="inlineStr"/>
      <c r="K2191" t="inlineStr"/>
      <c r="L2191" s="2" t="inlineStr"/>
      <c r="M2191" t="inlineStr"/>
      <c r="N2191" t="inlineStr">
        <is>
          <t>20251013900136</t>
        </is>
      </c>
      <c r="O2191">
        <f>HYPERLINK("https://dart.fss.or.kr/dsaf001/main.do?rcpNo=20251013900136", "공시열람")</f>
        <v/>
      </c>
    </row>
    <row r="2192">
      <c r="A2192" t="inlineStr">
        <is>
          <t>2025-10-13</t>
        </is>
      </c>
      <c r="B2192" t="inlineStr">
        <is>
          <t>LG전자</t>
        </is>
      </c>
      <c r="C2192" t="inlineStr">
        <is>
          <t>066570</t>
        </is>
      </c>
      <c r="D2192" t="inlineStr">
        <is>
          <t>연결</t>
        </is>
      </c>
      <c r="E2192" t="inlineStr">
        <is>
          <t>2025Q3</t>
        </is>
      </c>
      <c r="F2192" s="2" t="n">
        <v>21875100</v>
      </c>
      <c r="G2192" t="n">
        <v>5.5</v>
      </c>
      <c r="H2192" t="n">
        <v>-1.4</v>
      </c>
      <c r="I2192" s="2" t="n">
        <v>688900</v>
      </c>
      <c r="J2192" t="n">
        <v>7.7</v>
      </c>
      <c r="K2192" t="n">
        <v>-8.4</v>
      </c>
      <c r="L2192" s="2" t="inlineStr"/>
      <c r="M2192" t="inlineStr"/>
      <c r="N2192" t="inlineStr">
        <is>
          <t>20251013800144</t>
        </is>
      </c>
      <c r="O2192">
        <f>HYPERLINK("https://dart.fss.or.kr/dsaf001/main.do?rcpNo=20251013800144", "공시열람")</f>
        <v/>
      </c>
    </row>
    <row r="2193">
      <c r="A2193" t="inlineStr">
        <is>
          <t>2025-10-13</t>
        </is>
      </c>
      <c r="B2193" t="inlineStr">
        <is>
          <t>LG에너지솔루션</t>
        </is>
      </c>
      <c r="C2193" t="inlineStr">
        <is>
          <t>373220</t>
        </is>
      </c>
      <c r="D2193" t="inlineStr">
        <is>
          <t>연결</t>
        </is>
      </c>
      <c r="E2193" t="inlineStr">
        <is>
          <t>2025Q3</t>
        </is>
      </c>
      <c r="F2193" s="2" t="n">
        <v>5699900</v>
      </c>
      <c r="G2193" t="n">
        <v>2.4</v>
      </c>
      <c r="H2193" t="n">
        <v>-17.1</v>
      </c>
      <c r="I2193" s="2" t="n">
        <v>601300</v>
      </c>
      <c r="J2193" t="n">
        <v>22.2</v>
      </c>
      <c r="K2193" t="n">
        <v>34.1</v>
      </c>
      <c r="L2193" s="2" t="inlineStr"/>
      <c r="M2193" t="inlineStr"/>
      <c r="N2193" t="inlineStr">
        <is>
          <t>20251013800094</t>
        </is>
      </c>
      <c r="O2193">
        <f>HYPERLINK("https://dart.fss.or.kr/dsaf001/main.do?rcpNo=20251013800094", "공시열람")</f>
        <v/>
      </c>
    </row>
    <row r="2194">
      <c r="A2194" t="inlineStr">
        <is>
          <t>2025-10-10</t>
        </is>
      </c>
      <c r="B2194" t="inlineStr">
        <is>
          <t>광주신세계</t>
        </is>
      </c>
      <c r="C2194" t="inlineStr">
        <is>
          <t>037710</t>
        </is>
      </c>
      <c r="D2194" t="inlineStr">
        <is>
          <t>별도</t>
        </is>
      </c>
      <c r="E2194" t="inlineStr">
        <is>
          <t>2025Q3</t>
        </is>
      </c>
      <c r="F2194" s="2" t="n">
        <v>15468</v>
      </c>
      <c r="G2194" t="n">
        <v>15.6</v>
      </c>
      <c r="H2194" t="n">
        <v>-6</v>
      </c>
      <c r="I2194" s="2" t="inlineStr"/>
      <c r="J2194" t="inlineStr"/>
      <c r="K2194" t="inlineStr"/>
      <c r="L2194" s="2" t="inlineStr"/>
      <c r="M2194" t="inlineStr"/>
      <c r="N2194" t="inlineStr">
        <is>
          <t>20251010800446</t>
        </is>
      </c>
      <c r="O2194">
        <f>HYPERLINK("https://dart.fss.or.kr/dsaf001/main.do?rcpNo=20251010800446", "공시열람")</f>
        <v/>
      </c>
    </row>
    <row r="2195">
      <c r="A2195" t="inlineStr">
        <is>
          <t>2025-10-10</t>
        </is>
      </c>
      <c r="B2195" t="inlineStr">
        <is>
          <t>신세계</t>
        </is>
      </c>
      <c r="C2195" t="inlineStr">
        <is>
          <t>004170</t>
        </is>
      </c>
      <c r="D2195" t="inlineStr">
        <is>
          <t>별도</t>
        </is>
      </c>
      <c r="E2195" t="inlineStr">
        <is>
          <t>2025Q3</t>
        </is>
      </c>
      <c r="F2195" s="2" t="n">
        <v>179582</v>
      </c>
      <c r="G2195" t="n">
        <v>24.21</v>
      </c>
      <c r="H2195" t="n">
        <v>2.89</v>
      </c>
      <c r="I2195" s="2" t="inlineStr"/>
      <c r="J2195" t="inlineStr"/>
      <c r="K2195" t="inlineStr"/>
      <c r="L2195" s="2" t="inlineStr"/>
      <c r="M2195" t="inlineStr"/>
      <c r="N2195" t="inlineStr">
        <is>
          <t>20251010800432</t>
        </is>
      </c>
      <c r="O2195">
        <f>HYPERLINK("https://dart.fss.or.kr/dsaf001/main.do?rcpNo=20251010800432", "공시열람")</f>
        <v/>
      </c>
    </row>
    <row r="2196">
      <c r="A2196" t="inlineStr">
        <is>
          <t>2025-10-02</t>
        </is>
      </c>
      <c r="B2196" t="inlineStr">
        <is>
          <t>GKL</t>
        </is>
      </c>
      <c r="C2196" t="inlineStr">
        <is>
          <t>114090</t>
        </is>
      </c>
      <c r="D2196" t="inlineStr">
        <is>
          <t>별도</t>
        </is>
      </c>
      <c r="E2196" t="inlineStr">
        <is>
          <t>2025Q3</t>
        </is>
      </c>
      <c r="F2196" s="2" t="inlineStr"/>
      <c r="G2196" t="inlineStr"/>
      <c r="H2196" t="inlineStr"/>
      <c r="I2196" s="2" t="inlineStr"/>
      <c r="J2196" t="inlineStr"/>
      <c r="K2196" t="inlineStr"/>
      <c r="L2196" s="2" t="inlineStr"/>
      <c r="M2196" t="inlineStr"/>
      <c r="N2196" t="inlineStr">
        <is>
          <t>20251002800306</t>
        </is>
      </c>
      <c r="O2196">
        <f>HYPERLINK("https://dart.fss.or.kr/dsaf001/main.do?rcpNo=20251002800306", "공시열람")</f>
        <v/>
      </c>
    </row>
    <row r="2197">
      <c r="A2197" t="inlineStr">
        <is>
          <t>2025-10-02</t>
        </is>
      </c>
      <c r="B2197" t="inlineStr">
        <is>
          <t>파라다이스</t>
        </is>
      </c>
      <c r="C2197" t="inlineStr">
        <is>
          <t>034230</t>
        </is>
      </c>
      <c r="D2197" t="inlineStr">
        <is>
          <t>연결</t>
        </is>
      </c>
      <c r="E2197" t="inlineStr">
        <is>
          <t>2025Q3</t>
        </is>
      </c>
      <c r="F2197" s="2" t="inlineStr"/>
      <c r="G2197" t="inlineStr"/>
      <c r="H2197" t="inlineStr"/>
      <c r="I2197" s="2" t="inlineStr"/>
      <c r="J2197" t="inlineStr"/>
      <c r="K2197" t="inlineStr"/>
      <c r="L2197" s="2" t="inlineStr"/>
      <c r="M2197" t="inlineStr"/>
      <c r="N2197" t="inlineStr">
        <is>
          <t>20251002800626</t>
        </is>
      </c>
      <c r="O2197">
        <f>HYPERLINK("https://dart.fss.or.kr/dsaf001/main.do?rcpNo=20251002800626", "공시열람")</f>
        <v/>
      </c>
    </row>
    <row r="2198">
      <c r="A2198" t="inlineStr">
        <is>
          <t>2025-10-01</t>
        </is>
      </c>
      <c r="B2198" t="inlineStr">
        <is>
          <t>KG모빌리티</t>
        </is>
      </c>
      <c r="C2198" t="inlineStr">
        <is>
          <t>003620</t>
        </is>
      </c>
      <c r="D2198" t="inlineStr">
        <is>
          <t>별도</t>
        </is>
      </c>
      <c r="E2198" t="inlineStr">
        <is>
          <t>2025Q3</t>
        </is>
      </c>
      <c r="F2198" s="2" t="inlineStr"/>
      <c r="G2198" t="inlineStr"/>
      <c r="H2198" t="inlineStr"/>
      <c r="I2198" s="2" t="inlineStr"/>
      <c r="J2198" t="inlineStr"/>
      <c r="K2198" t="inlineStr"/>
      <c r="L2198" s="2" t="inlineStr"/>
      <c r="M2198" t="inlineStr"/>
      <c r="N2198" t="inlineStr">
        <is>
          <t>20251001800403</t>
        </is>
      </c>
      <c r="O2198">
        <f>HYPERLINK("https://dart.fss.or.kr/dsaf001/main.do?rcpNo=20251001800403", "공시열람")</f>
        <v/>
      </c>
    </row>
    <row r="2199">
      <c r="A2199" t="inlineStr">
        <is>
          <t>2025-10-01</t>
        </is>
      </c>
      <c r="B2199" t="inlineStr">
        <is>
          <t>현대자동차</t>
        </is>
      </c>
      <c r="C2199" t="inlineStr">
        <is>
          <t>005380</t>
        </is>
      </c>
      <c r="D2199" t="inlineStr">
        <is>
          <t>별도</t>
        </is>
      </c>
      <c r="E2199" t="inlineStr">
        <is>
          <t>2025Q3</t>
        </is>
      </c>
      <c r="F2199" s="2" t="inlineStr"/>
      <c r="G2199" t="inlineStr"/>
      <c r="H2199" t="inlineStr"/>
      <c r="I2199" s="2" t="inlineStr"/>
      <c r="J2199" t="inlineStr"/>
      <c r="K2199" t="inlineStr"/>
      <c r="L2199" s="2" t="inlineStr"/>
      <c r="M2199" t="inlineStr"/>
      <c r="N2199" t="inlineStr">
        <is>
          <t>20251001800514</t>
        </is>
      </c>
      <c r="O2199">
        <f>HYPERLINK("https://dart.fss.or.kr/dsaf001/main.do?rcpNo=20251001800514", "공시열람")</f>
        <v/>
      </c>
    </row>
    <row r="2200">
      <c r="A2200" t="inlineStr">
        <is>
          <t>2025-10-01</t>
        </is>
      </c>
      <c r="B2200" t="inlineStr">
        <is>
          <t>롯데관광개발</t>
        </is>
      </c>
      <c r="C2200" t="inlineStr">
        <is>
          <t>032350</t>
        </is>
      </c>
      <c r="D2200" t="inlineStr">
        <is>
          <t>연결</t>
        </is>
      </c>
      <c r="E2200" t="inlineStr">
        <is>
          <t>2025Q3</t>
        </is>
      </c>
      <c r="F2200" s="2" t="inlineStr"/>
      <c r="G2200" t="inlineStr"/>
      <c r="H2200" t="inlineStr"/>
      <c r="I2200" s="2" t="inlineStr"/>
      <c r="J2200" t="inlineStr"/>
      <c r="K2200" t="inlineStr"/>
      <c r="L2200" s="2" t="inlineStr"/>
      <c r="M2200" t="inlineStr"/>
      <c r="N2200" t="inlineStr">
        <is>
          <t>20251001800519</t>
        </is>
      </c>
      <c r="O2200">
        <f>HYPERLINK("https://dart.fss.or.kr/dsaf001/main.do?rcpNo=20251001800519", "공시열람")</f>
        <v/>
      </c>
    </row>
    <row r="2201">
      <c r="A2201" t="inlineStr">
        <is>
          <t>2025-10-01</t>
        </is>
      </c>
      <c r="B2201" t="inlineStr">
        <is>
          <t>기아</t>
        </is>
      </c>
      <c r="C2201" t="inlineStr">
        <is>
          <t>000270</t>
        </is>
      </c>
      <c r="D2201" t="inlineStr">
        <is>
          <t>별도</t>
        </is>
      </c>
      <c r="E2201" t="inlineStr">
        <is>
          <t>2025Q3</t>
        </is>
      </c>
      <c r="F2201" s="2" t="inlineStr"/>
      <c r="G2201" t="inlineStr"/>
      <c r="H2201" t="inlineStr"/>
      <c r="I2201" s="2" t="inlineStr"/>
      <c r="J2201" t="inlineStr"/>
      <c r="K2201" t="inlineStr"/>
      <c r="L2201" s="2" t="inlineStr"/>
      <c r="M2201" t="inlineStr"/>
      <c r="N2201" t="inlineStr">
        <is>
          <t>20251001800550</t>
        </is>
      </c>
      <c r="O2201">
        <f>HYPERLINK("https://dart.fss.or.kr/dsaf001/main.do?rcpNo=20251001800550", "공시열람")</f>
        <v/>
      </c>
    </row>
    <row r="2202">
      <c r="A2202" t="inlineStr">
        <is>
          <t>2025-10-01</t>
        </is>
      </c>
      <c r="B2202" t="inlineStr">
        <is>
          <t>롯데관광개발</t>
        </is>
      </c>
      <c r="C2202" t="inlineStr">
        <is>
          <t>032350</t>
        </is>
      </c>
      <c r="D2202" t="inlineStr">
        <is>
          <t>연결</t>
        </is>
      </c>
      <c r="E2202" t="inlineStr">
        <is>
          <t>2025Q3</t>
        </is>
      </c>
      <c r="F2202" s="2" t="inlineStr"/>
      <c r="G2202" t="inlineStr"/>
      <c r="H2202" t="inlineStr"/>
      <c r="I2202" s="2" t="inlineStr"/>
      <c r="J2202" t="inlineStr"/>
      <c r="K2202" t="inlineStr"/>
      <c r="L2202" s="2" t="inlineStr"/>
      <c r="M2202" t="inlineStr"/>
      <c r="N2202" t="inlineStr">
        <is>
          <t>20251001800816</t>
        </is>
      </c>
      <c r="O2202">
        <f>HYPERLINK("https://dart.fss.or.kr/dsaf001/main.do?rcpNo=20251001800816", "공시열람")</f>
        <v/>
      </c>
    </row>
    <row r="2203">
      <c r="A2203" t="inlineStr">
        <is>
          <t>2025-09-26</t>
        </is>
      </c>
      <c r="B2203" t="inlineStr">
        <is>
          <t>지역난방공사</t>
        </is>
      </c>
      <c r="C2203" t="inlineStr">
        <is>
          <t>071320</t>
        </is>
      </c>
      <c r="D2203" t="inlineStr">
        <is>
          <t>별도</t>
        </is>
      </c>
      <c r="E2203" t="inlineStr">
        <is>
          <t>2025Q2</t>
        </is>
      </c>
      <c r="F2203" s="2" t="inlineStr"/>
      <c r="G2203" t="inlineStr"/>
      <c r="H2203" t="inlineStr"/>
      <c r="I2203" s="2" t="inlineStr"/>
      <c r="J2203" t="inlineStr"/>
      <c r="K2203" t="inlineStr"/>
      <c r="L2203" s="2" t="inlineStr"/>
      <c r="M2203" t="inlineStr"/>
      <c r="N2203" t="inlineStr">
        <is>
          <t>20250926800071</t>
        </is>
      </c>
      <c r="O2203">
        <f>HYPERLINK("https://dart.fss.or.kr/dsaf001/main.do?rcpNo=20250926800071", "공시열람")</f>
        <v/>
      </c>
    </row>
    <row r="2204">
      <c r="A2204" t="inlineStr">
        <is>
          <t>2025-09-16</t>
        </is>
      </c>
      <c r="B2204" t="inlineStr">
        <is>
          <t>오리온</t>
        </is>
      </c>
      <c r="C2204" t="inlineStr">
        <is>
          <t>271560</t>
        </is>
      </c>
      <c r="D2204" t="inlineStr">
        <is>
          <t>연결</t>
        </is>
      </c>
      <c r="E2204" t="inlineStr">
        <is>
          <t>2025Q2</t>
        </is>
      </c>
      <c r="F2204" s="2" t="inlineStr"/>
      <c r="G2204" t="inlineStr"/>
      <c r="H2204" t="inlineStr"/>
      <c r="I2204" s="2" t="inlineStr"/>
      <c r="J2204" t="inlineStr"/>
      <c r="K2204" t="inlineStr"/>
      <c r="L2204" s="2" t="inlineStr"/>
      <c r="M2204" t="inlineStr"/>
      <c r="N2204" t="inlineStr">
        <is>
          <t>20250916800063</t>
        </is>
      </c>
      <c r="O2204">
        <f>HYPERLINK("https://dart.fss.or.kr/dsaf001/main.do?rcpNo=20250916800063", "공시열람")</f>
        <v/>
      </c>
    </row>
    <row r="2205">
      <c r="A2205" t="inlineStr">
        <is>
          <t>2025-09-15</t>
        </is>
      </c>
      <c r="B2205" t="inlineStr">
        <is>
          <t>HD한국조선해양</t>
        </is>
      </c>
      <c r="C2205" t="inlineStr">
        <is>
          <t>009540</t>
        </is>
      </c>
      <c r="D2205" t="inlineStr">
        <is>
          <t>별도</t>
        </is>
      </c>
      <c r="E2205" t="inlineStr">
        <is>
          <t>2025Q2</t>
        </is>
      </c>
      <c r="F2205" s="2" t="n">
        <v>608527</v>
      </c>
      <c r="G2205" t="n">
        <v>-3.26</v>
      </c>
      <c r="H2205" t="n">
        <v>5.37</v>
      </c>
      <c r="I2205" s="2" t="inlineStr"/>
      <c r="J2205" t="inlineStr"/>
      <c r="K2205" t="inlineStr"/>
      <c r="L2205" s="2" t="inlineStr"/>
      <c r="M2205" t="inlineStr"/>
      <c r="N2205" t="inlineStr">
        <is>
          <t>20250915800391</t>
        </is>
      </c>
      <c r="O2205">
        <f>HYPERLINK("https://dart.fss.or.kr/dsaf001/main.do?rcpNo=20250915800391", "공시열람")</f>
        <v/>
      </c>
    </row>
    <row r="2206">
      <c r="A2206" t="inlineStr">
        <is>
          <t>2025-09-15</t>
        </is>
      </c>
      <c r="B2206" t="inlineStr">
        <is>
          <t>HD현대중공업</t>
        </is>
      </c>
      <c r="C2206" t="inlineStr">
        <is>
          <t>329180</t>
        </is>
      </c>
      <c r="D2206" t="inlineStr">
        <is>
          <t>별도</t>
        </is>
      </c>
      <c r="E2206" t="inlineStr">
        <is>
          <t>2025Q2</t>
        </is>
      </c>
      <c r="F2206" s="2" t="n">
        <v>1345615</v>
      </c>
      <c r="G2206" t="n">
        <v>-8.109999999999999</v>
      </c>
      <c r="H2206" t="n">
        <v>17.51</v>
      </c>
      <c r="I2206" s="2" t="inlineStr"/>
      <c r="J2206" t="inlineStr"/>
      <c r="K2206" t="inlineStr"/>
      <c r="L2206" s="2" t="inlineStr"/>
      <c r="M2206" t="inlineStr"/>
      <c r="N2206" t="inlineStr">
        <is>
          <t>20250915800398</t>
        </is>
      </c>
      <c r="O2206">
        <f>HYPERLINK("https://dart.fss.or.kr/dsaf001/main.do?rcpNo=20250915800398", "공시열람")</f>
        <v/>
      </c>
    </row>
    <row r="2207">
      <c r="A2207" t="inlineStr">
        <is>
          <t>2025-09-12</t>
        </is>
      </c>
      <c r="B2207" t="inlineStr">
        <is>
          <t>한국가스공사</t>
        </is>
      </c>
      <c r="C2207" t="inlineStr">
        <is>
          <t>036460</t>
        </is>
      </c>
      <c r="D2207" t="inlineStr">
        <is>
          <t>별도</t>
        </is>
      </c>
      <c r="E2207" t="inlineStr">
        <is>
          <t>2025Q2</t>
        </is>
      </c>
      <c r="F2207" s="2" t="inlineStr"/>
      <c r="G2207" t="inlineStr"/>
      <c r="H2207" t="inlineStr"/>
      <c r="I2207" s="2" t="inlineStr"/>
      <c r="J2207" t="inlineStr"/>
      <c r="K2207" t="inlineStr"/>
      <c r="L2207" s="2" t="inlineStr"/>
      <c r="M2207" t="inlineStr"/>
      <c r="N2207" t="inlineStr">
        <is>
          <t>20250912800160</t>
        </is>
      </c>
      <c r="O2207">
        <f>HYPERLINK("https://dart.fss.or.kr/dsaf001/main.do?rcpNo=20250912800160", "공시열람")</f>
        <v/>
      </c>
    </row>
    <row r="2208">
      <c r="A2208" t="inlineStr">
        <is>
          <t>2025-09-05</t>
        </is>
      </c>
      <c r="B2208" t="inlineStr">
        <is>
          <t>신세계</t>
        </is>
      </c>
      <c r="C2208" t="inlineStr">
        <is>
          <t>004170</t>
        </is>
      </c>
      <c r="D2208" t="inlineStr">
        <is>
          <t>별도</t>
        </is>
      </c>
      <c r="E2208" t="inlineStr">
        <is>
          <t>2025Q2</t>
        </is>
      </c>
      <c r="F2208" s="2" t="n">
        <v>144472</v>
      </c>
      <c r="G2208" t="n">
        <v>0.89</v>
      </c>
      <c r="H2208" t="n">
        <v>-1.36</v>
      </c>
      <c r="I2208" s="2" t="inlineStr"/>
      <c r="J2208" t="inlineStr"/>
      <c r="K2208" t="inlineStr"/>
      <c r="L2208" s="2" t="inlineStr"/>
      <c r="M2208" t="inlineStr"/>
      <c r="N2208" t="inlineStr">
        <is>
          <t>20250905800285</t>
        </is>
      </c>
      <c r="O2208">
        <f>HYPERLINK("https://dart.fss.or.kr/dsaf001/main.do?rcpNo=20250905800285", "공시열람")</f>
        <v/>
      </c>
    </row>
    <row r="2209">
      <c r="A2209" t="inlineStr">
        <is>
          <t>2025-09-05</t>
        </is>
      </c>
      <c r="B2209" t="inlineStr">
        <is>
          <t>광주신세계</t>
        </is>
      </c>
      <c r="C2209" t="inlineStr">
        <is>
          <t>037710</t>
        </is>
      </c>
      <c r="D2209" t="inlineStr">
        <is>
          <t>별도</t>
        </is>
      </c>
      <c r="E2209" t="inlineStr">
        <is>
          <t>2025Q2</t>
        </is>
      </c>
      <c r="F2209" s="2" t="n">
        <v>13394</v>
      </c>
      <c r="G2209" t="n">
        <v>6.8</v>
      </c>
      <c r="H2209" t="n">
        <v>-0.8</v>
      </c>
      <c r="I2209" s="2" t="inlineStr"/>
      <c r="J2209" t="inlineStr"/>
      <c r="K2209" t="inlineStr"/>
      <c r="L2209" s="2" t="inlineStr"/>
      <c r="M2209" t="inlineStr"/>
      <c r="N2209" t="inlineStr">
        <is>
          <t>20250905800343</t>
        </is>
      </c>
      <c r="O2209">
        <f>HYPERLINK("https://dart.fss.or.kr/dsaf001/main.do?rcpNo=20250905800343", "공시열람")</f>
        <v/>
      </c>
    </row>
    <row r="2210">
      <c r="A2210" t="inlineStr">
        <is>
          <t>2025-09-03</t>
        </is>
      </c>
      <c r="B2210" t="inlineStr">
        <is>
          <t>GKL</t>
        </is>
      </c>
      <c r="C2210" t="inlineStr">
        <is>
          <t>114090</t>
        </is>
      </c>
      <c r="D2210" t="inlineStr">
        <is>
          <t>별도</t>
        </is>
      </c>
      <c r="E2210" t="inlineStr">
        <is>
          <t>2025Q2</t>
        </is>
      </c>
      <c r="F2210" s="2" t="inlineStr"/>
      <c r="G2210" t="inlineStr"/>
      <c r="H2210" t="inlineStr"/>
      <c r="I2210" s="2" t="inlineStr"/>
      <c r="J2210" t="inlineStr"/>
      <c r="K2210" t="inlineStr"/>
      <c r="L2210" s="2" t="inlineStr"/>
      <c r="M2210" t="inlineStr"/>
      <c r="N2210" t="inlineStr">
        <is>
          <t>20250903800309</t>
        </is>
      </c>
      <c r="O2210">
        <f>HYPERLINK("https://dart.fss.or.kr/dsaf001/main.do?rcpNo=20250903800309", "공시열람")</f>
        <v/>
      </c>
    </row>
    <row r="2211">
      <c r="A2211" t="inlineStr">
        <is>
          <t>2025-09-02</t>
        </is>
      </c>
      <c r="B2211" t="inlineStr">
        <is>
          <t>파라다이스</t>
        </is>
      </c>
      <c r="C2211" t="inlineStr">
        <is>
          <t>034230</t>
        </is>
      </c>
      <c r="D2211" t="inlineStr">
        <is>
          <t>연결</t>
        </is>
      </c>
      <c r="E2211" t="inlineStr">
        <is>
          <t>2025Q2</t>
        </is>
      </c>
      <c r="F2211" s="2" t="inlineStr"/>
      <c r="G2211" t="inlineStr"/>
      <c r="H2211" t="inlineStr"/>
      <c r="I2211" s="2" t="inlineStr"/>
      <c r="J2211" t="inlineStr"/>
      <c r="K2211" t="inlineStr"/>
      <c r="L2211" s="2" t="inlineStr"/>
      <c r="M2211" t="inlineStr"/>
      <c r="N2211" t="inlineStr">
        <is>
          <t>20250902800354</t>
        </is>
      </c>
      <c r="O2211">
        <f>HYPERLINK("https://dart.fss.or.kr/dsaf001/main.do?rcpNo=20250902800354", "공시열람")</f>
        <v/>
      </c>
    </row>
    <row r="2212">
      <c r="A2212" t="inlineStr">
        <is>
          <t>2025-09-01</t>
        </is>
      </c>
      <c r="B2212" t="inlineStr">
        <is>
          <t>롯데관광개발</t>
        </is>
      </c>
      <c r="C2212" t="inlineStr">
        <is>
          <t>032350</t>
        </is>
      </c>
      <c r="D2212" t="inlineStr">
        <is>
          <t>연결</t>
        </is>
      </c>
      <c r="E2212" t="inlineStr">
        <is>
          <t>2025Q2</t>
        </is>
      </c>
      <c r="F2212" s="2" t="inlineStr"/>
      <c r="G2212" t="inlineStr"/>
      <c r="H2212" t="inlineStr"/>
      <c r="I2212" s="2" t="inlineStr"/>
      <c r="J2212" t="inlineStr"/>
      <c r="K2212" t="inlineStr"/>
      <c r="L2212" s="2" t="inlineStr"/>
      <c r="M2212" t="inlineStr"/>
      <c r="N2212" t="inlineStr">
        <is>
          <t>20250901800622</t>
        </is>
      </c>
      <c r="O2212">
        <f>HYPERLINK("https://dart.fss.or.kr/dsaf001/main.do?rcpNo=20250901800622", "공시열람")</f>
        <v/>
      </c>
    </row>
    <row r="2213">
      <c r="A2213" t="inlineStr">
        <is>
          <t>2025-09-01</t>
        </is>
      </c>
      <c r="B2213" t="inlineStr">
        <is>
          <t>KG모빌리티</t>
        </is>
      </c>
      <c r="C2213" t="inlineStr">
        <is>
          <t>003620</t>
        </is>
      </c>
      <c r="D2213" t="inlineStr">
        <is>
          <t>별도</t>
        </is>
      </c>
      <c r="E2213" t="inlineStr">
        <is>
          <t>2025Q2</t>
        </is>
      </c>
      <c r="F2213" s="2" t="inlineStr"/>
      <c r="G2213" t="inlineStr"/>
      <c r="H2213" t="inlineStr"/>
      <c r="I2213" s="2" t="inlineStr"/>
      <c r="J2213" t="inlineStr"/>
      <c r="K2213" t="inlineStr"/>
      <c r="L2213" s="2" t="inlineStr"/>
      <c r="M2213" t="inlineStr"/>
      <c r="N2213" t="inlineStr">
        <is>
          <t>20250901800528</t>
        </is>
      </c>
      <c r="O2213">
        <f>HYPERLINK("https://dart.fss.or.kr/dsaf001/main.do?rcpNo=20250901800528", "공시열람")</f>
        <v/>
      </c>
    </row>
    <row r="2214">
      <c r="A2214" t="inlineStr">
        <is>
          <t>2025-09-01</t>
        </is>
      </c>
      <c r="B2214" t="inlineStr">
        <is>
          <t>기아</t>
        </is>
      </c>
      <c r="C2214" t="inlineStr">
        <is>
          <t>000270</t>
        </is>
      </c>
      <c r="D2214" t="inlineStr">
        <is>
          <t>별도</t>
        </is>
      </c>
      <c r="E2214" t="inlineStr">
        <is>
          <t>2025Q2</t>
        </is>
      </c>
      <c r="F2214" s="2" t="inlineStr"/>
      <c r="G2214" t="inlineStr"/>
      <c r="H2214" t="inlineStr"/>
      <c r="I2214" s="2" t="inlineStr"/>
      <c r="J2214" t="inlineStr"/>
      <c r="K2214" t="inlineStr"/>
      <c r="L2214" s="2" t="inlineStr"/>
      <c r="M2214" t="inlineStr"/>
      <c r="N2214" t="inlineStr">
        <is>
          <t>20250901800660</t>
        </is>
      </c>
      <c r="O2214">
        <f>HYPERLINK("https://dart.fss.or.kr/dsaf001/main.do?rcpNo=20250901800660", "공시열람")</f>
        <v/>
      </c>
    </row>
    <row r="2215">
      <c r="A2215" t="inlineStr">
        <is>
          <t>2025-09-01</t>
        </is>
      </c>
      <c r="B2215" t="inlineStr">
        <is>
          <t>현대자동차</t>
        </is>
      </c>
      <c r="C2215" t="inlineStr">
        <is>
          <t>005380</t>
        </is>
      </c>
      <c r="D2215" t="inlineStr">
        <is>
          <t>별도</t>
        </is>
      </c>
      <c r="E2215" t="inlineStr">
        <is>
          <t>2025Q2</t>
        </is>
      </c>
      <c r="F2215" s="2" t="inlineStr"/>
      <c r="G2215" t="inlineStr"/>
      <c r="H2215" t="inlineStr"/>
      <c r="I2215" s="2" t="inlineStr"/>
      <c r="J2215" t="inlineStr"/>
      <c r="K2215" t="inlineStr"/>
      <c r="L2215" s="2" t="inlineStr"/>
      <c r="M2215" t="inlineStr"/>
      <c r="N2215" t="inlineStr">
        <is>
          <t>20250901800724</t>
        </is>
      </c>
      <c r="O2215">
        <f>HYPERLINK("https://dart.fss.or.kr/dsaf001/main.do?rcpNo=20250901800724", "공시열람")</f>
        <v/>
      </c>
    </row>
    <row r="2216">
      <c r="A2216" t="inlineStr">
        <is>
          <t>2025-08-28</t>
        </is>
      </c>
      <c r="B2216" t="inlineStr">
        <is>
          <t>HD한국조선해양</t>
        </is>
      </c>
      <c r="C2216" t="inlineStr">
        <is>
          <t>009540</t>
        </is>
      </c>
      <c r="D2216" t="inlineStr">
        <is>
          <t>별도</t>
        </is>
      </c>
      <c r="E2216" t="inlineStr">
        <is>
          <t>2025Q2</t>
        </is>
      </c>
      <c r="F2216" s="2" t="n">
        <v>629037</v>
      </c>
      <c r="G2216" t="n">
        <v>-14.01</v>
      </c>
      <c r="H2216" t="n">
        <v>21.16</v>
      </c>
      <c r="I2216" s="2" t="inlineStr"/>
      <c r="J2216" t="inlineStr"/>
      <c r="K2216" t="inlineStr"/>
      <c r="L2216" s="2" t="inlineStr"/>
      <c r="M2216" t="inlineStr"/>
      <c r="N2216" t="inlineStr">
        <is>
          <t>20250828800339</t>
        </is>
      </c>
      <c r="O2216">
        <f>HYPERLINK("https://dart.fss.or.kr/dsaf001/main.do?rcpNo=20250828800339", "공시열람")</f>
        <v/>
      </c>
    </row>
    <row r="2217">
      <c r="A2217" t="inlineStr">
        <is>
          <t>2025-08-28</t>
        </is>
      </c>
      <c r="B2217" t="inlineStr">
        <is>
          <t>HD현대중공업</t>
        </is>
      </c>
      <c r="C2217" t="inlineStr">
        <is>
          <t>329180</t>
        </is>
      </c>
      <c r="D2217" t="inlineStr">
        <is>
          <t>별도</t>
        </is>
      </c>
      <c r="E2217" t="inlineStr">
        <is>
          <t>2025Q2</t>
        </is>
      </c>
      <c r="F2217" s="2" t="n">
        <v>1464345</v>
      </c>
      <c r="G2217" t="n">
        <v>2.42</v>
      </c>
      <c r="H2217" t="n">
        <v>19.11</v>
      </c>
      <c r="I2217" s="2" t="inlineStr"/>
      <c r="J2217" t="inlineStr"/>
      <c r="K2217" t="inlineStr"/>
      <c r="L2217" s="2" t="inlineStr"/>
      <c r="M2217" t="inlineStr"/>
      <c r="N2217" t="inlineStr">
        <is>
          <t>20250828800360</t>
        </is>
      </c>
      <c r="O2217">
        <f>HYPERLINK("https://dart.fss.or.kr/dsaf001/main.do?rcpNo=20250828800360", "공시열람")</f>
        <v/>
      </c>
    </row>
    <row r="2218">
      <c r="A2218" t="inlineStr">
        <is>
          <t>2025-08-25</t>
        </is>
      </c>
      <c r="B2218" t="inlineStr">
        <is>
          <t>지역난방공사</t>
        </is>
      </c>
      <c r="C2218" t="inlineStr">
        <is>
          <t>071320</t>
        </is>
      </c>
      <c r="D2218" t="inlineStr">
        <is>
          <t>별도</t>
        </is>
      </c>
      <c r="E2218" t="inlineStr">
        <is>
          <t>2025Q2</t>
        </is>
      </c>
      <c r="F2218" s="2" t="inlineStr"/>
      <c r="G2218" t="inlineStr"/>
      <c r="H2218" t="inlineStr"/>
      <c r="I2218" s="2" t="inlineStr"/>
      <c r="J2218" t="inlineStr"/>
      <c r="K2218" t="inlineStr"/>
      <c r="L2218" s="2" t="inlineStr"/>
      <c r="M2218" t="inlineStr"/>
      <c r="N2218" t="inlineStr">
        <is>
          <t>20250825800167</t>
        </is>
      </c>
      <c r="O2218">
        <f>HYPERLINK("https://dart.fss.or.kr/dsaf001/main.do?rcpNo=20250825800167", "공시열람")</f>
        <v/>
      </c>
    </row>
    <row r="2219">
      <c r="A2219" t="inlineStr">
        <is>
          <t>2025-08-19</t>
        </is>
      </c>
      <c r="B2219" t="inlineStr">
        <is>
          <t>오리온</t>
        </is>
      </c>
      <c r="C2219" t="inlineStr">
        <is>
          <t>271560</t>
        </is>
      </c>
      <c r="D2219" t="inlineStr">
        <is>
          <t>연결</t>
        </is>
      </c>
      <c r="E2219" t="inlineStr">
        <is>
          <t>2025Q2</t>
        </is>
      </c>
      <c r="F2219" s="2" t="inlineStr"/>
      <c r="G2219" t="inlineStr"/>
      <c r="H2219" t="inlineStr"/>
      <c r="I2219" s="2" t="inlineStr"/>
      <c r="J2219" t="inlineStr"/>
      <c r="K2219" t="inlineStr"/>
      <c r="L2219" s="2" t="inlineStr"/>
      <c r="M2219" t="inlineStr"/>
      <c r="N2219" t="inlineStr">
        <is>
          <t>20250819800073</t>
        </is>
      </c>
      <c r="O2219">
        <f>HYPERLINK("https://dart.fss.or.kr/dsaf001/main.do?rcpNo=20250819800073", "공시열람")</f>
        <v/>
      </c>
    </row>
    <row r="2220">
      <c r="A2220" t="inlineStr">
        <is>
          <t>2025-08-18</t>
        </is>
      </c>
      <c r="B2220" t="inlineStr">
        <is>
          <t>콜마비앤에이치</t>
        </is>
      </c>
      <c r="C2220" t="inlineStr">
        <is>
          <t>200130</t>
        </is>
      </c>
      <c r="D2220" t="inlineStr">
        <is>
          <t>별도</t>
        </is>
      </c>
      <c r="E2220" t="inlineStr">
        <is>
          <t>2025Q2</t>
        </is>
      </c>
      <c r="F2220" s="2" t="n">
        <v>42063</v>
      </c>
      <c r="G2220" t="inlineStr"/>
      <c r="H2220" t="inlineStr"/>
      <c r="I2220" s="2" t="n">
        <v>3313</v>
      </c>
      <c r="J2220" t="inlineStr"/>
      <c r="K2220" t="inlineStr"/>
      <c r="L2220" s="2" t="inlineStr"/>
      <c r="M2220" t="inlineStr"/>
      <c r="N2220" t="inlineStr">
        <is>
          <t>20250818900307</t>
        </is>
      </c>
      <c r="O2220">
        <f>HYPERLINK("https://dart.fss.or.kr/dsaf001/main.do?rcpNo=20250818900307", "공시열람")</f>
        <v/>
      </c>
    </row>
    <row r="2221">
      <c r="A2221" t="inlineStr">
        <is>
          <t>2025-08-14</t>
        </is>
      </c>
      <c r="B2221" t="inlineStr">
        <is>
          <t>HL만도</t>
        </is>
      </c>
      <c r="C2221" t="inlineStr">
        <is>
          <t>204320</t>
        </is>
      </c>
      <c r="D2221" t="inlineStr">
        <is>
          <t>연결</t>
        </is>
      </c>
      <c r="E2221" t="inlineStr">
        <is>
          <t>2025Q2</t>
        </is>
      </c>
      <c r="F2221" s="2" t="n">
        <v>2400874</v>
      </c>
      <c r="G2221" t="n">
        <v>5.7</v>
      </c>
      <c r="H2221" t="n">
        <v>11.8</v>
      </c>
      <c r="I2221" s="2" t="n">
        <v>104101</v>
      </c>
      <c r="J2221" t="n">
        <v>31.5</v>
      </c>
      <c r="K2221" t="n">
        <v>16.2</v>
      </c>
      <c r="L2221" s="2" t="n">
        <v>9898</v>
      </c>
      <c r="M2221" t="n">
        <v>-16.7</v>
      </c>
      <c r="N2221" t="inlineStr">
        <is>
          <t>20250814802666</t>
        </is>
      </c>
      <c r="O2221">
        <f>HYPERLINK("https://dart.fss.or.kr/dsaf001/main.do?rcpNo=20250814802666", "공시열람")</f>
        <v/>
      </c>
    </row>
    <row r="2222">
      <c r="A2222" t="inlineStr">
        <is>
          <t>2025-08-14</t>
        </is>
      </c>
      <c r="B2222" t="inlineStr">
        <is>
          <t>한국타이어앤테크놀로지</t>
        </is>
      </c>
      <c r="C2222" t="inlineStr">
        <is>
          <t>161390</t>
        </is>
      </c>
      <c r="D2222" t="inlineStr">
        <is>
          <t>연결</t>
        </is>
      </c>
      <c r="E2222" t="inlineStr">
        <is>
          <t>2025Q1</t>
        </is>
      </c>
      <c r="F2222" s="2" t="n">
        <v>5369660</v>
      </c>
      <c r="G2222" t="n">
        <v>8.199999999999999</v>
      </c>
      <c r="H2222" t="n">
        <v>131.7</v>
      </c>
      <c r="I2222" s="2" t="n">
        <v>353640</v>
      </c>
      <c r="J2222" t="n">
        <v>-0.3</v>
      </c>
      <c r="K2222" t="n">
        <v>-15.8</v>
      </c>
      <c r="L2222" s="2" t="n">
        <v>178752</v>
      </c>
      <c r="M2222" t="n">
        <v>-44.7</v>
      </c>
      <c r="N2222" t="inlineStr">
        <is>
          <t>20250814800576</t>
        </is>
      </c>
      <c r="O2222">
        <f>HYPERLINK("https://dart.fss.or.kr/dsaf001/main.do?rcpNo=20250814800576", "공시열람")</f>
        <v/>
      </c>
    </row>
    <row r="2223">
      <c r="A2223" t="inlineStr">
        <is>
          <t>2025-08-14</t>
        </is>
      </c>
      <c r="B2223" t="inlineStr">
        <is>
          <t>한온시스템</t>
        </is>
      </c>
      <c r="C2223" t="inlineStr">
        <is>
          <t>018880</t>
        </is>
      </c>
      <c r="D2223" t="inlineStr">
        <is>
          <t>연결</t>
        </is>
      </c>
      <c r="E2223" t="inlineStr">
        <is>
          <t>2025Q2</t>
        </is>
      </c>
      <c r="F2223" s="2" t="n">
        <v>2858196</v>
      </c>
      <c r="G2223" t="inlineStr"/>
      <c r="H2223" t="inlineStr"/>
      <c r="I2223" s="2" t="n">
        <v>64300</v>
      </c>
      <c r="J2223" t="inlineStr"/>
      <c r="K2223" t="inlineStr"/>
      <c r="L2223" s="2" t="n">
        <v>-15086</v>
      </c>
      <c r="M2223" t="inlineStr"/>
      <c r="N2223" t="inlineStr">
        <is>
          <t>20250814800442</t>
        </is>
      </c>
      <c r="O2223">
        <f>HYPERLINK("https://dart.fss.or.kr/dsaf001/main.do?rcpNo=20250814800442", "공시열람")</f>
        <v/>
      </c>
    </row>
    <row r="2224">
      <c r="A2224" t="inlineStr">
        <is>
          <t>2025-08-14</t>
        </is>
      </c>
      <c r="B2224" t="inlineStr">
        <is>
          <t>미래에셋생명</t>
        </is>
      </c>
      <c r="C2224" t="inlineStr">
        <is>
          <t>085620</t>
        </is>
      </c>
      <c r="D2224" t="inlineStr">
        <is>
          <t>연결</t>
        </is>
      </c>
      <c r="E2224" t="inlineStr">
        <is>
          <t>2025Q2</t>
        </is>
      </c>
      <c r="F2224" s="2" t="n">
        <v>1618092</v>
      </c>
      <c r="G2224" t="n">
        <v>50.16</v>
      </c>
      <c r="H2224" t="n">
        <v>48.97</v>
      </c>
      <c r="I2224" s="2" t="n">
        <v>65039</v>
      </c>
      <c r="J2224" t="n">
        <v>65.27</v>
      </c>
      <c r="K2224" t="n">
        <v>269.31</v>
      </c>
      <c r="L2224" s="2" t="n">
        <v>50692</v>
      </c>
      <c r="M2224" t="n">
        <v>202.62</v>
      </c>
      <c r="N2224" t="inlineStr">
        <is>
          <t>20250814800430</t>
        </is>
      </c>
      <c r="O2224">
        <f>HYPERLINK("https://dart.fss.or.kr/dsaf001/main.do?rcpNo=20250814800430", "공시열람")</f>
        <v/>
      </c>
    </row>
    <row r="2225">
      <c r="A2225" t="inlineStr">
        <is>
          <t>2025-08-14</t>
        </is>
      </c>
      <c r="B2225" t="inlineStr">
        <is>
          <t>미래에셋생명</t>
        </is>
      </c>
      <c r="C2225" t="inlineStr">
        <is>
          <t>085620</t>
        </is>
      </c>
      <c r="D2225" t="inlineStr">
        <is>
          <t>별도</t>
        </is>
      </c>
      <c r="E2225" t="inlineStr">
        <is>
          <t>2025Q2</t>
        </is>
      </c>
      <c r="F2225" s="2" t="n">
        <v>1573980</v>
      </c>
      <c r="G2225" t="n">
        <v>48.98</v>
      </c>
      <c r="H2225" t="n">
        <v>49.63</v>
      </c>
      <c r="I2225" s="2" t="n">
        <v>64739</v>
      </c>
      <c r="J2225" t="n">
        <v>64.98999999999999</v>
      </c>
      <c r="K2225" t="n">
        <v>334.58</v>
      </c>
      <c r="L2225" s="2" t="n">
        <v>50353</v>
      </c>
      <c r="M2225" t="n">
        <v>259.36</v>
      </c>
      <c r="N2225" t="inlineStr">
        <is>
          <t>20250814800426</t>
        </is>
      </c>
      <c r="O2225">
        <f>HYPERLINK("https://dart.fss.or.kr/dsaf001/main.do?rcpNo=20250814800426", "공시열람")</f>
        <v/>
      </c>
    </row>
    <row r="2226">
      <c r="A2226" t="inlineStr">
        <is>
          <t>2025-08-14</t>
        </is>
      </c>
      <c r="B2226" t="inlineStr">
        <is>
          <t>DB손해보험</t>
        </is>
      </c>
      <c r="C2226" t="inlineStr">
        <is>
          <t>005830</t>
        </is>
      </c>
      <c r="D2226" t="inlineStr">
        <is>
          <t>별도</t>
        </is>
      </c>
      <c r="E2226" t="inlineStr">
        <is>
          <t>2025Q2</t>
        </is>
      </c>
      <c r="F2226" s="2" t="n">
        <v>5517013</v>
      </c>
      <c r="G2226" t="n">
        <v>10.9</v>
      </c>
      <c r="H2226" t="n">
        <v>17.7</v>
      </c>
      <c r="I2226" s="2" t="n">
        <v>612341</v>
      </c>
      <c r="J2226" t="n">
        <v>-5.3</v>
      </c>
      <c r="K2226" t="n">
        <v>-13.2</v>
      </c>
      <c r="L2226" s="2" t="n">
        <v>459923</v>
      </c>
      <c r="M2226" t="n">
        <v>-14.9</v>
      </c>
      <c r="N2226" t="inlineStr">
        <is>
          <t>20250814800593</t>
        </is>
      </c>
      <c r="O2226">
        <f>HYPERLINK("https://dart.fss.or.kr/dsaf001/main.do?rcpNo=20250814800593", "공시열람")</f>
        <v/>
      </c>
    </row>
    <row r="2227">
      <c r="A2227" t="inlineStr">
        <is>
          <t>2025-08-14</t>
        </is>
      </c>
      <c r="B2227" t="inlineStr">
        <is>
          <t>한국앤컴퍼니</t>
        </is>
      </c>
      <c r="C2227" t="inlineStr">
        <is>
          <t>000240</t>
        </is>
      </c>
      <c r="D2227" t="inlineStr">
        <is>
          <t>연결</t>
        </is>
      </c>
      <c r="E2227" t="inlineStr">
        <is>
          <t>2025Q2</t>
        </is>
      </c>
      <c r="F2227" s="2" t="n">
        <v>343752</v>
      </c>
      <c r="G2227" t="inlineStr"/>
      <c r="H2227" t="inlineStr"/>
      <c r="I2227" s="2" t="n">
        <v>73867</v>
      </c>
      <c r="J2227" t="inlineStr"/>
      <c r="K2227" t="inlineStr"/>
      <c r="L2227" s="2" t="n">
        <v>56529</v>
      </c>
      <c r="M2227" t="inlineStr"/>
      <c r="N2227" t="inlineStr">
        <is>
          <t>20250814800647</t>
        </is>
      </c>
      <c r="O2227">
        <f>HYPERLINK("https://dart.fss.or.kr/dsaf001/main.do?rcpNo=20250814800647", "공시열람")</f>
        <v/>
      </c>
    </row>
    <row r="2228">
      <c r="A2228" t="inlineStr">
        <is>
          <t>2025-08-14</t>
        </is>
      </c>
      <c r="B2228" t="inlineStr">
        <is>
          <t>SK리츠</t>
        </is>
      </c>
      <c r="C2228" t="inlineStr">
        <is>
          <t>395400</t>
        </is>
      </c>
      <c r="D2228" t="inlineStr">
        <is>
          <t>별도</t>
        </is>
      </c>
      <c r="E2228" t="inlineStr">
        <is>
          <t>2025Q2</t>
        </is>
      </c>
      <c r="F2228" s="2" t="n">
        <v>38355</v>
      </c>
      <c r="G2228" t="n">
        <v>5.7</v>
      </c>
      <c r="H2228" t="n">
        <v>22.6</v>
      </c>
      <c r="I2228" s="2" t="n">
        <v>36487</v>
      </c>
      <c r="J2228" t="n">
        <v>18.7</v>
      </c>
      <c r="K2228" t="n">
        <v>38.4</v>
      </c>
      <c r="L2228" s="2" t="n">
        <v>21249</v>
      </c>
      <c r="M2228" t="n">
        <v>62.9</v>
      </c>
      <c r="N2228" t="inlineStr">
        <is>
          <t>20250814801595</t>
        </is>
      </c>
      <c r="O2228">
        <f>HYPERLINK("https://dart.fss.or.kr/dsaf001/main.do?rcpNo=20250814801595", "공시열람")</f>
        <v/>
      </c>
    </row>
    <row r="2229">
      <c r="A2229" t="inlineStr">
        <is>
          <t>2025-08-14</t>
        </is>
      </c>
      <c r="B2229" t="inlineStr">
        <is>
          <t>LG</t>
        </is>
      </c>
      <c r="C2229" t="inlineStr">
        <is>
          <t>003550</t>
        </is>
      </c>
      <c r="D2229" t="inlineStr">
        <is>
          <t>연결</t>
        </is>
      </c>
      <c r="E2229" t="inlineStr">
        <is>
          <t>2025Q2</t>
        </is>
      </c>
      <c r="F2229" s="2" t="n">
        <v>1797748</v>
      </c>
      <c r="G2229" t="inlineStr"/>
      <c r="H2229" t="inlineStr"/>
      <c r="I2229" s="2" t="n">
        <v>276889</v>
      </c>
      <c r="J2229" t="inlineStr"/>
      <c r="K2229" t="inlineStr"/>
      <c r="L2229" s="2" t="n">
        <v>244174</v>
      </c>
      <c r="M2229" t="inlineStr"/>
      <c r="N2229" t="inlineStr">
        <is>
          <t>20250814800611</t>
        </is>
      </c>
      <c r="O2229">
        <f>HYPERLINK("https://dart.fss.or.kr/dsaf001/main.do?rcpNo=20250814800611", "공시열람")</f>
        <v/>
      </c>
    </row>
    <row r="2230">
      <c r="A2230" t="inlineStr">
        <is>
          <t>2025-08-14</t>
        </is>
      </c>
      <c r="B2230" t="inlineStr">
        <is>
          <t>코리안리</t>
        </is>
      </c>
      <c r="C2230" t="inlineStr">
        <is>
          <t>003690</t>
        </is>
      </c>
      <c r="D2230" t="inlineStr">
        <is>
          <t>별도</t>
        </is>
      </c>
      <c r="E2230" t="inlineStr">
        <is>
          <t>2025Q2</t>
        </is>
      </c>
      <c r="F2230" s="2" t="n">
        <v>1949972</v>
      </c>
      <c r="G2230" t="n">
        <v>25.5</v>
      </c>
      <c r="H2230" t="n">
        <v>9.1</v>
      </c>
      <c r="I2230" s="2" t="n">
        <v>135899</v>
      </c>
      <c r="J2230" t="n">
        <v>15.6</v>
      </c>
      <c r="K2230" t="n">
        <v>11.3</v>
      </c>
      <c r="L2230" s="2" t="n">
        <v>104975</v>
      </c>
      <c r="M2230" t="n">
        <v>14.2</v>
      </c>
      <c r="N2230" t="inlineStr">
        <is>
          <t>20250814801872</t>
        </is>
      </c>
      <c r="O2230">
        <f>HYPERLINK("https://dart.fss.or.kr/dsaf001/main.do?rcpNo=20250814801872", "공시열람")</f>
        <v/>
      </c>
    </row>
    <row r="2231">
      <c r="A2231" t="inlineStr">
        <is>
          <t>2025-08-13</t>
        </is>
      </c>
      <c r="B2231" t="inlineStr">
        <is>
          <t>더블유게임즈</t>
        </is>
      </c>
      <c r="C2231" t="inlineStr">
        <is>
          <t>192080</t>
        </is>
      </c>
      <c r="D2231" t="inlineStr">
        <is>
          <t>연결</t>
        </is>
      </c>
      <c r="E2231" t="inlineStr">
        <is>
          <t>2025Q2</t>
        </is>
      </c>
      <c r="F2231" s="2" t="n">
        <v>171946</v>
      </c>
      <c r="G2231" t="n">
        <v>6.2</v>
      </c>
      <c r="H2231" t="n">
        <v>5.4</v>
      </c>
      <c r="I2231" s="2" t="n">
        <v>54318</v>
      </c>
      <c r="J2231" t="n">
        <v>-0.8</v>
      </c>
      <c r="K2231" t="n">
        <v>-19</v>
      </c>
      <c r="L2231" s="2" t="n">
        <v>32990</v>
      </c>
      <c r="M2231" t="n">
        <v>-48.6</v>
      </c>
      <c r="N2231" t="inlineStr">
        <is>
          <t>20250813800011</t>
        </is>
      </c>
      <c r="O2231">
        <f>HYPERLINK("https://dart.fss.or.kr/dsaf001/main.do?rcpNo=20250813800011", "공시열람")</f>
        <v/>
      </c>
    </row>
    <row r="2232">
      <c r="A2232" t="inlineStr">
        <is>
          <t>2025-08-13</t>
        </is>
      </c>
      <c r="B2232" t="inlineStr">
        <is>
          <t>오상자이엘</t>
        </is>
      </c>
      <c r="C2232" t="inlineStr">
        <is>
          <t>053980</t>
        </is>
      </c>
      <c r="D2232" t="inlineStr">
        <is>
          <t>연결</t>
        </is>
      </c>
      <c r="E2232" t="inlineStr">
        <is>
          <t>2025Q2</t>
        </is>
      </c>
      <c r="F2232" s="2" t="n">
        <v>35318</v>
      </c>
      <c r="G2232" t="inlineStr"/>
      <c r="H2232" t="inlineStr"/>
      <c r="I2232" s="2" t="n">
        <v>3055</v>
      </c>
      <c r="J2232" t="inlineStr"/>
      <c r="K2232" t="inlineStr"/>
      <c r="L2232" s="2" t="n">
        <v>1796</v>
      </c>
      <c r="M2232" t="inlineStr"/>
      <c r="N2232" t="inlineStr">
        <is>
          <t>20250813900077</t>
        </is>
      </c>
      <c r="O2232">
        <f>HYPERLINK("https://dart.fss.or.kr/dsaf001/main.do?rcpNo=20250813900077", "공시열람")</f>
        <v/>
      </c>
    </row>
    <row r="2233">
      <c r="A2233" t="inlineStr">
        <is>
          <t>2025-08-13</t>
        </is>
      </c>
      <c r="B2233" t="inlineStr">
        <is>
          <t>펄어비스</t>
        </is>
      </c>
      <c r="C2233" t="inlineStr">
        <is>
          <t>263750</t>
        </is>
      </c>
      <c r="D2233" t="inlineStr">
        <is>
          <t>연결</t>
        </is>
      </c>
      <c r="E2233" t="inlineStr">
        <is>
          <t>2025Q2</t>
        </is>
      </c>
      <c r="F2233" s="2" t="n">
        <v>79562</v>
      </c>
      <c r="G2233" t="inlineStr"/>
      <c r="H2233" t="inlineStr"/>
      <c r="I2233" s="2" t="n">
        <v>-11779</v>
      </c>
      <c r="J2233" t="inlineStr"/>
      <c r="K2233" t="inlineStr"/>
      <c r="L2233" s="2" t="n">
        <v>-22700</v>
      </c>
      <c r="M2233" t="inlineStr"/>
      <c r="N2233" t="inlineStr">
        <is>
          <t>20250813900001</t>
        </is>
      </c>
      <c r="O2233">
        <f>HYPERLINK("https://dart.fss.or.kr/dsaf001/main.do?rcpNo=20250813900001", "공시열람")</f>
        <v/>
      </c>
    </row>
    <row r="2234">
      <c r="A2234" t="inlineStr">
        <is>
          <t>2025-08-13</t>
        </is>
      </c>
      <c r="B2234" t="inlineStr">
        <is>
          <t>인바디</t>
        </is>
      </c>
      <c r="C2234" t="inlineStr">
        <is>
          <t>041830</t>
        </is>
      </c>
      <c r="D2234" t="inlineStr">
        <is>
          <t>연결</t>
        </is>
      </c>
      <c r="E2234" t="inlineStr">
        <is>
          <t>2025Q2</t>
        </is>
      </c>
      <c r="F2234" s="2" t="n">
        <v>56170</v>
      </c>
      <c r="G2234" t="inlineStr"/>
      <c r="H2234" t="inlineStr"/>
      <c r="I2234" s="2" t="n">
        <v>10394</v>
      </c>
      <c r="J2234" t="inlineStr"/>
      <c r="K2234" t="inlineStr"/>
      <c r="L2234" s="2" t="n">
        <v>7397</v>
      </c>
      <c r="M2234" t="inlineStr"/>
      <c r="N2234" t="inlineStr">
        <is>
          <t>20250813900628</t>
        </is>
      </c>
      <c r="O2234">
        <f>HYPERLINK("https://dart.fss.or.kr/dsaf001/main.do?rcpNo=20250813900628", "공시열람")</f>
        <v/>
      </c>
    </row>
    <row r="2235">
      <c r="A2235" t="inlineStr">
        <is>
          <t>2025-08-13</t>
        </is>
      </c>
      <c r="B2235" t="inlineStr">
        <is>
          <t>한화손해보험</t>
        </is>
      </c>
      <c r="C2235" t="inlineStr">
        <is>
          <t>000370</t>
        </is>
      </c>
      <c r="D2235" t="inlineStr">
        <is>
          <t>별도</t>
        </is>
      </c>
      <c r="E2235" t="inlineStr">
        <is>
          <t>2025Q2</t>
        </is>
      </c>
      <c r="F2235" s="2" t="n">
        <v>1713368</v>
      </c>
      <c r="G2235" t="n">
        <v>6.5</v>
      </c>
      <c r="H2235" t="n">
        <v>15.5</v>
      </c>
      <c r="I2235" s="2" t="n">
        <v>116582</v>
      </c>
      <c r="J2235" t="n">
        <v>-37.9</v>
      </c>
      <c r="K2235" t="n">
        <v>-28.8</v>
      </c>
      <c r="L2235" s="2" t="n">
        <v>79941</v>
      </c>
      <c r="M2235" t="n">
        <v>-38.4</v>
      </c>
      <c r="N2235" t="inlineStr">
        <is>
          <t>20250813800610</t>
        </is>
      </c>
      <c r="O2235">
        <f>HYPERLINK("https://dart.fss.or.kr/dsaf001/main.do?rcpNo=20250813800610", "공시열람")</f>
        <v/>
      </c>
    </row>
    <row r="2236">
      <c r="A2236" t="inlineStr">
        <is>
          <t>2025-08-13</t>
        </is>
      </c>
      <c r="B2236" t="inlineStr">
        <is>
          <t>메리츠금융지주</t>
        </is>
      </c>
      <c r="C2236" t="inlineStr">
        <is>
          <t>138040</t>
        </is>
      </c>
      <c r="D2236" t="inlineStr">
        <is>
          <t>연결</t>
        </is>
      </c>
      <c r="E2236" t="inlineStr">
        <is>
          <t>2025Q2</t>
        </is>
      </c>
      <c r="F2236" s="2" t="n">
        <v>9351456</v>
      </c>
      <c r="G2236" t="n">
        <v>13.6</v>
      </c>
      <c r="H2236" t="n">
        <v>-16.7</v>
      </c>
      <c r="I2236" s="2" t="n">
        <v>949733</v>
      </c>
      <c r="J2236" t="n">
        <v>31.6</v>
      </c>
      <c r="K2236" t="n">
        <v>-5.6</v>
      </c>
      <c r="L2236" s="2" t="n">
        <v>737568</v>
      </c>
      <c r="M2236" t="n">
        <v>0.2</v>
      </c>
      <c r="N2236" t="inlineStr">
        <is>
          <t>20250813800611</t>
        </is>
      </c>
      <c r="O2236">
        <f>HYPERLINK("https://dart.fss.or.kr/dsaf001/main.do?rcpNo=20250813800611", "공시열람")</f>
        <v/>
      </c>
    </row>
    <row r="2237">
      <c r="A2237" t="inlineStr">
        <is>
          <t>2025-08-13</t>
        </is>
      </c>
      <c r="B2237" t="inlineStr">
        <is>
          <t>메리츠금융지주</t>
        </is>
      </c>
      <c r="C2237" t="inlineStr">
        <is>
          <t>138040</t>
        </is>
      </c>
      <c r="D2237" t="inlineStr">
        <is>
          <t>연결</t>
        </is>
      </c>
      <c r="E2237" t="inlineStr">
        <is>
          <t>2025Q2</t>
        </is>
      </c>
      <c r="F2237" s="2" t="n">
        <v>6595261</v>
      </c>
      <c r="G2237" t="n">
        <v>26.9</v>
      </c>
      <c r="H2237" t="n">
        <v>-24.1</v>
      </c>
      <c r="I2237" s="2" t="n">
        <v>300350</v>
      </c>
      <c r="J2237" t="n">
        <v>102.7</v>
      </c>
      <c r="K2237" t="n">
        <v>-13.2</v>
      </c>
      <c r="L2237" s="2" t="n">
        <v>256055</v>
      </c>
      <c r="M2237" t="n">
        <v>5.2</v>
      </c>
      <c r="N2237" t="inlineStr">
        <is>
          <t>20250813800597</t>
        </is>
      </c>
      <c r="O2237">
        <f>HYPERLINK("https://dart.fss.or.kr/dsaf001/main.do?rcpNo=20250813800597", "공시열람")</f>
        <v/>
      </c>
    </row>
    <row r="2238">
      <c r="A2238" t="inlineStr">
        <is>
          <t>2025-08-13</t>
        </is>
      </c>
      <c r="B2238" t="inlineStr">
        <is>
          <t>메리츠금융지주</t>
        </is>
      </c>
      <c r="C2238" t="inlineStr">
        <is>
          <t>138040</t>
        </is>
      </c>
      <c r="D2238" t="inlineStr">
        <is>
          <t>별도</t>
        </is>
      </c>
      <c r="E2238" t="inlineStr">
        <is>
          <t>2025Q2</t>
        </is>
      </c>
      <c r="F2238" s="2" t="n">
        <v>3197691</v>
      </c>
      <c r="G2238" t="n">
        <v>6.1</v>
      </c>
      <c r="H2238" t="n">
        <v>12.5</v>
      </c>
      <c r="I2238" s="2" t="n">
        <v>707043</v>
      </c>
      <c r="J2238" t="n">
        <v>13.7</v>
      </c>
      <c r="K2238" t="n">
        <v>4.5</v>
      </c>
      <c r="L2238" s="2" t="n">
        <v>524741</v>
      </c>
      <c r="M2238" t="n">
        <v>3.5</v>
      </c>
      <c r="N2238" t="inlineStr">
        <is>
          <t>20250813800583</t>
        </is>
      </c>
      <c r="O2238">
        <f>HYPERLINK("https://dart.fss.or.kr/dsaf001/main.do?rcpNo=20250813800583", "공시열람")</f>
        <v/>
      </c>
    </row>
    <row r="2239">
      <c r="A2239" t="inlineStr">
        <is>
          <t>2025-08-13</t>
        </is>
      </c>
      <c r="B2239" t="inlineStr">
        <is>
          <t>옵티시스</t>
        </is>
      </c>
      <c r="C2239" t="inlineStr">
        <is>
          <t>109080</t>
        </is>
      </c>
      <c r="D2239" t="inlineStr">
        <is>
          <t>별도</t>
        </is>
      </c>
      <c r="E2239" t="inlineStr">
        <is>
          <t>2025Q2</t>
        </is>
      </c>
      <c r="F2239" s="2" t="n">
        <v>7543</v>
      </c>
      <c r="G2239" t="inlineStr"/>
      <c r="H2239" t="inlineStr"/>
      <c r="I2239" s="2" t="n">
        <v>1643</v>
      </c>
      <c r="J2239" t="inlineStr"/>
      <c r="K2239" t="inlineStr"/>
      <c r="L2239" s="2" t="n">
        <v>783</v>
      </c>
      <c r="M2239" t="inlineStr"/>
      <c r="N2239" t="inlineStr">
        <is>
          <t>20250813900589</t>
        </is>
      </c>
      <c r="O2239">
        <f>HYPERLINK("https://dart.fss.or.kr/dsaf001/main.do?rcpNo=20250813900589", "공시열람")</f>
        <v/>
      </c>
    </row>
    <row r="2240">
      <c r="A2240" t="inlineStr">
        <is>
          <t>2025-08-13</t>
        </is>
      </c>
      <c r="B2240" t="inlineStr">
        <is>
          <t>미투온</t>
        </is>
      </c>
      <c r="C2240" t="inlineStr">
        <is>
          <t>201490</t>
        </is>
      </c>
      <c r="D2240" t="inlineStr">
        <is>
          <t>연결</t>
        </is>
      </c>
      <c r="E2240" t="inlineStr">
        <is>
          <t>2025Q2</t>
        </is>
      </c>
      <c r="F2240" s="2" t="n">
        <v>22340</v>
      </c>
      <c r="G2240" t="inlineStr"/>
      <c r="H2240" t="inlineStr"/>
      <c r="I2240" s="2" t="n">
        <v>2949</v>
      </c>
      <c r="J2240" t="inlineStr"/>
      <c r="K2240" t="inlineStr"/>
      <c r="L2240" s="2" t="n">
        <v>2343</v>
      </c>
      <c r="M2240" t="inlineStr"/>
      <c r="N2240" t="inlineStr">
        <is>
          <t>20250813900701</t>
        </is>
      </c>
      <c r="O2240">
        <f>HYPERLINK("https://dart.fss.or.kr/dsaf001/main.do?rcpNo=20250813900701", "공시열람")</f>
        <v/>
      </c>
    </row>
    <row r="2241">
      <c r="A2241" t="inlineStr">
        <is>
          <t>2025-08-13</t>
        </is>
      </c>
      <c r="B2241" t="inlineStr">
        <is>
          <t>FSN</t>
        </is>
      </c>
      <c r="C2241" t="inlineStr">
        <is>
          <t>214270</t>
        </is>
      </c>
      <c r="D2241" t="inlineStr">
        <is>
          <t>별도</t>
        </is>
      </c>
      <c r="E2241" t="inlineStr">
        <is>
          <t>2025Q2</t>
        </is>
      </c>
      <c r="F2241" s="2" t="n">
        <v>6688</v>
      </c>
      <c r="G2241" t="inlineStr"/>
      <c r="H2241" t="inlineStr"/>
      <c r="I2241" s="2" t="n">
        <v>-1034</v>
      </c>
      <c r="J2241" t="inlineStr"/>
      <c r="K2241" t="inlineStr"/>
      <c r="L2241" s="2" t="n">
        <v>-6273</v>
      </c>
      <c r="M2241" t="inlineStr"/>
      <c r="N2241" t="inlineStr">
        <is>
          <t>20250813900483</t>
        </is>
      </c>
      <c r="O2241">
        <f>HYPERLINK("https://dart.fss.or.kr/dsaf001/main.do?rcpNo=20250813900483", "공시열람")</f>
        <v/>
      </c>
    </row>
    <row r="2242">
      <c r="A2242" t="inlineStr">
        <is>
          <t>2025-08-13</t>
        </is>
      </c>
      <c r="B2242" t="inlineStr">
        <is>
          <t>동아에스티</t>
        </is>
      </c>
      <c r="C2242" t="inlineStr">
        <is>
          <t>170900</t>
        </is>
      </c>
      <c r="D2242" t="inlineStr">
        <is>
          <t>별도</t>
        </is>
      </c>
      <c r="E2242" t="inlineStr">
        <is>
          <t>2025Q2</t>
        </is>
      </c>
      <c r="F2242" s="2" t="n">
        <v>177388</v>
      </c>
      <c r="G2242" t="n">
        <v>5</v>
      </c>
      <c r="H2242" t="n">
        <v>12.5</v>
      </c>
      <c r="I2242" s="2" t="n">
        <v>4015</v>
      </c>
      <c r="J2242" t="n">
        <v>-42.7</v>
      </c>
      <c r="K2242" t="n">
        <v>-43.4</v>
      </c>
      <c r="L2242" s="2" t="n">
        <v>-16047</v>
      </c>
      <c r="M2242" t="inlineStr"/>
      <c r="N2242" t="inlineStr">
        <is>
          <t>20250813800722</t>
        </is>
      </c>
      <c r="O2242">
        <f>HYPERLINK("https://dart.fss.or.kr/dsaf001/main.do?rcpNo=20250813800722", "공시열람")</f>
        <v/>
      </c>
    </row>
    <row r="2243">
      <c r="A2243" t="inlineStr">
        <is>
          <t>2025-08-13</t>
        </is>
      </c>
      <c r="B2243" t="inlineStr">
        <is>
          <t>고스트스튜디오</t>
        </is>
      </c>
      <c r="C2243" t="inlineStr">
        <is>
          <t>950190</t>
        </is>
      </c>
      <c r="D2243" t="inlineStr">
        <is>
          <t>연결</t>
        </is>
      </c>
      <c r="E2243" t="inlineStr">
        <is>
          <t>2025Q2</t>
        </is>
      </c>
      <c r="F2243" s="2" t="n">
        <v>20412</v>
      </c>
      <c r="G2243" t="inlineStr"/>
      <c r="H2243" t="inlineStr"/>
      <c r="I2243" s="2" t="n">
        <v>3834</v>
      </c>
      <c r="J2243" t="inlineStr"/>
      <c r="K2243" t="inlineStr"/>
      <c r="L2243" s="2" t="n">
        <v>2786</v>
      </c>
      <c r="M2243" t="inlineStr"/>
      <c r="N2243" t="inlineStr">
        <is>
          <t>20250813900681</t>
        </is>
      </c>
      <c r="O2243">
        <f>HYPERLINK("https://dart.fss.or.kr/dsaf001/main.do?rcpNo=20250813900681", "공시열람")</f>
        <v/>
      </c>
    </row>
    <row r="2244">
      <c r="A2244" t="inlineStr">
        <is>
          <t>2025-08-13</t>
        </is>
      </c>
      <c r="B2244" t="inlineStr">
        <is>
          <t>클리오</t>
        </is>
      </c>
      <c r="C2244" t="inlineStr">
        <is>
          <t>237880</t>
        </is>
      </c>
      <c r="D2244" t="inlineStr">
        <is>
          <t>연결</t>
        </is>
      </c>
      <c r="E2244" t="inlineStr">
        <is>
          <t>2025Q2</t>
        </is>
      </c>
      <c r="F2244" s="2" t="n">
        <v>82130</v>
      </c>
      <c r="G2244" t="inlineStr"/>
      <c r="H2244" t="inlineStr"/>
      <c r="I2244" s="2" t="n">
        <v>3521</v>
      </c>
      <c r="J2244" t="inlineStr"/>
      <c r="K2244" t="inlineStr"/>
      <c r="L2244" s="2" t="n">
        <v>1941</v>
      </c>
      <c r="M2244" t="inlineStr"/>
      <c r="N2244" t="inlineStr">
        <is>
          <t>20250813900688</t>
        </is>
      </c>
      <c r="O2244">
        <f>HYPERLINK("https://dart.fss.or.kr/dsaf001/main.do?rcpNo=20250813900688", "공시열람")</f>
        <v/>
      </c>
    </row>
    <row r="2245">
      <c r="A2245" t="inlineStr">
        <is>
          <t>2025-08-13</t>
        </is>
      </c>
      <c r="B2245" t="inlineStr">
        <is>
          <t>HS애드</t>
        </is>
      </c>
      <c r="C2245" t="inlineStr">
        <is>
          <t>035000</t>
        </is>
      </c>
      <c r="D2245" t="inlineStr">
        <is>
          <t>연결</t>
        </is>
      </c>
      <c r="E2245" t="inlineStr">
        <is>
          <t>2025Q2</t>
        </is>
      </c>
      <c r="F2245" s="2" t="n">
        <v>98998</v>
      </c>
      <c r="G2245" t="n">
        <v>22.57</v>
      </c>
      <c r="H2245" t="n">
        <v>-20.66</v>
      </c>
      <c r="I2245" s="2" t="n">
        <v>461</v>
      </c>
      <c r="J2245" t="inlineStr"/>
      <c r="K2245" t="n">
        <v>-92.51000000000001</v>
      </c>
      <c r="L2245" s="2" t="n">
        <v>-612</v>
      </c>
      <c r="M2245" t="inlineStr"/>
      <c r="N2245" t="inlineStr">
        <is>
          <t>20250813800778</t>
        </is>
      </c>
      <c r="O2245">
        <f>HYPERLINK("https://dart.fss.or.kr/dsaf001/main.do?rcpNo=20250813800778", "공시열람")</f>
        <v/>
      </c>
    </row>
    <row r="2246">
      <c r="A2246" t="inlineStr">
        <is>
          <t>2025-08-13</t>
        </is>
      </c>
      <c r="B2246" t="inlineStr">
        <is>
          <t>JYP Ent.</t>
        </is>
      </c>
      <c r="C2246" t="inlineStr">
        <is>
          <t>035900</t>
        </is>
      </c>
      <c r="D2246" t="inlineStr">
        <is>
          <t>연결</t>
        </is>
      </c>
      <c r="E2246" t="inlineStr">
        <is>
          <t>2025Q2</t>
        </is>
      </c>
      <c r="F2246" s="2" t="n">
        <v>215832</v>
      </c>
      <c r="G2246" t="inlineStr"/>
      <c r="H2246" t="inlineStr"/>
      <c r="I2246" s="2" t="n">
        <v>52908</v>
      </c>
      <c r="J2246" t="inlineStr"/>
      <c r="K2246" t="inlineStr"/>
      <c r="L2246" s="2" t="n">
        <v>36259</v>
      </c>
      <c r="M2246" t="inlineStr"/>
      <c r="N2246" t="inlineStr">
        <is>
          <t>20250813900760</t>
        </is>
      </c>
      <c r="O2246">
        <f>HYPERLINK("https://dart.fss.or.kr/dsaf001/main.do?rcpNo=20250813900760", "공시열람")</f>
        <v/>
      </c>
    </row>
    <row r="2247">
      <c r="A2247" t="inlineStr">
        <is>
          <t>2025-08-13</t>
        </is>
      </c>
      <c r="B2247" t="inlineStr">
        <is>
          <t>에이치피오</t>
        </is>
      </c>
      <c r="C2247" t="inlineStr">
        <is>
          <t>357230</t>
        </is>
      </c>
      <c r="D2247" t="inlineStr">
        <is>
          <t>연결</t>
        </is>
      </c>
      <c r="E2247" t="inlineStr">
        <is>
          <t>2025Q2</t>
        </is>
      </c>
      <c r="F2247" s="2" t="n">
        <v>74873</v>
      </c>
      <c r="G2247" t="inlineStr"/>
      <c r="H2247" t="inlineStr"/>
      <c r="I2247" s="2" t="n">
        <v>5630</v>
      </c>
      <c r="J2247" t="inlineStr"/>
      <c r="K2247" t="inlineStr"/>
      <c r="L2247" s="2" t="n">
        <v>4002</v>
      </c>
      <c r="M2247" t="inlineStr"/>
      <c r="N2247" t="inlineStr">
        <is>
          <t>20250813901172</t>
        </is>
      </c>
      <c r="O2247">
        <f>HYPERLINK("https://dart.fss.or.kr/dsaf001/main.do?rcpNo=20250813901172", "공시열람")</f>
        <v/>
      </c>
    </row>
    <row r="2248">
      <c r="A2248" t="inlineStr">
        <is>
          <t>2025-08-13</t>
        </is>
      </c>
      <c r="B2248" t="inlineStr">
        <is>
          <t>더블유게임즈</t>
        </is>
      </c>
      <c r="C2248" t="inlineStr">
        <is>
          <t>192080</t>
        </is>
      </c>
      <c r="D2248" t="inlineStr">
        <is>
          <t>별도</t>
        </is>
      </c>
      <c r="E2248" t="inlineStr">
        <is>
          <t>2025Q2</t>
        </is>
      </c>
      <c r="F2248" s="2" t="n">
        <v>43687</v>
      </c>
      <c r="G2248" t="n">
        <v>-0.5</v>
      </c>
      <c r="H2248" t="n">
        <v>-2.1</v>
      </c>
      <c r="I2248" s="2" t="n">
        <v>12324</v>
      </c>
      <c r="J2248" t="n">
        <v>4.2</v>
      </c>
      <c r="K2248" t="n">
        <v>-29.6</v>
      </c>
      <c r="L2248" s="2" t="n">
        <v>2281</v>
      </c>
      <c r="M2248" t="n">
        <v>-87.8</v>
      </c>
      <c r="N2248" t="inlineStr">
        <is>
          <t>20250813800010</t>
        </is>
      </c>
      <c r="O2248">
        <f>HYPERLINK("https://dart.fss.or.kr/dsaf001/main.do?rcpNo=20250813800010", "공시열람")</f>
        <v/>
      </c>
    </row>
    <row r="2249">
      <c r="A2249" t="inlineStr">
        <is>
          <t>2025-08-13</t>
        </is>
      </c>
      <c r="B2249" t="inlineStr">
        <is>
          <t>FSN</t>
        </is>
      </c>
      <c r="C2249" t="inlineStr">
        <is>
          <t>214270</t>
        </is>
      </c>
      <c r="D2249" t="inlineStr">
        <is>
          <t>연결</t>
        </is>
      </c>
      <c r="E2249" t="inlineStr">
        <is>
          <t>2025Q2</t>
        </is>
      </c>
      <c r="F2249" s="2" t="n">
        <v>72106</v>
      </c>
      <c r="G2249" t="inlineStr"/>
      <c r="H2249" t="inlineStr"/>
      <c r="I2249" s="2" t="n">
        <v>9438</v>
      </c>
      <c r="J2249" t="inlineStr"/>
      <c r="K2249" t="inlineStr"/>
      <c r="L2249" s="2" t="n">
        <v>4547</v>
      </c>
      <c r="M2249" t="inlineStr"/>
      <c r="N2249" t="inlineStr">
        <is>
          <t>20250813900489</t>
        </is>
      </c>
      <c r="O2249">
        <f>HYPERLINK("https://dart.fss.or.kr/dsaf001/main.do?rcpNo=20250813900489", "공시열람")</f>
        <v/>
      </c>
    </row>
    <row r="2250">
      <c r="A2250" t="inlineStr">
        <is>
          <t>2025-08-13</t>
        </is>
      </c>
      <c r="B2250" t="inlineStr">
        <is>
          <t>코스맥스엔비티</t>
        </is>
      </c>
      <c r="C2250" t="inlineStr">
        <is>
          <t>222040</t>
        </is>
      </c>
      <c r="D2250" t="inlineStr">
        <is>
          <t>연결</t>
        </is>
      </c>
      <c r="E2250" t="inlineStr">
        <is>
          <t>2025Q2</t>
        </is>
      </c>
      <c r="F2250" s="2" t="n">
        <v>75652</v>
      </c>
      <c r="G2250" t="inlineStr"/>
      <c r="H2250" t="inlineStr"/>
      <c r="I2250" s="2" t="n">
        <v>2520</v>
      </c>
      <c r="J2250" t="inlineStr"/>
      <c r="K2250" t="inlineStr"/>
      <c r="L2250" s="2" t="n">
        <v>-1130</v>
      </c>
      <c r="M2250" t="inlineStr"/>
      <c r="N2250" t="inlineStr">
        <is>
          <t>20250813900559</t>
        </is>
      </c>
      <c r="O2250">
        <f>HYPERLINK("https://dart.fss.or.kr/dsaf001/main.do?rcpNo=20250813900559", "공시열람")</f>
        <v/>
      </c>
    </row>
    <row r="2251">
      <c r="A2251" t="inlineStr">
        <is>
          <t>2025-08-13</t>
        </is>
      </c>
      <c r="B2251" t="inlineStr">
        <is>
          <t>삼성화재해상보험</t>
        </is>
      </c>
      <c r="C2251" t="inlineStr">
        <is>
          <t>000810</t>
        </is>
      </c>
      <c r="D2251" t="inlineStr">
        <is>
          <t>연결</t>
        </is>
      </c>
      <c r="E2251" t="inlineStr">
        <is>
          <t>2025Q2</t>
        </is>
      </c>
      <c r="F2251" s="2" t="n">
        <v>6857430</v>
      </c>
      <c r="G2251" t="n">
        <v>12.3</v>
      </c>
      <c r="H2251" t="n">
        <v>24.1</v>
      </c>
      <c r="I2251" s="2" t="n">
        <v>811465</v>
      </c>
      <c r="J2251" t="n">
        <v>2.4</v>
      </c>
      <c r="K2251" t="n">
        <v>3.7</v>
      </c>
      <c r="L2251" s="2" t="n">
        <v>638379</v>
      </c>
      <c r="M2251" t="n">
        <v>4.2</v>
      </c>
      <c r="N2251" t="inlineStr">
        <is>
          <t>20250813800006</t>
        </is>
      </c>
      <c r="O2251">
        <f>HYPERLINK("https://dart.fss.or.kr/dsaf001/main.do?rcpNo=20250813800006", "공시열람")</f>
        <v/>
      </c>
    </row>
    <row r="2252">
      <c r="A2252" t="inlineStr">
        <is>
          <t>2025-08-13</t>
        </is>
      </c>
      <c r="B2252" t="inlineStr">
        <is>
          <t>수성웹툰</t>
        </is>
      </c>
      <c r="C2252" t="inlineStr">
        <is>
          <t>084180</t>
        </is>
      </c>
      <c r="D2252" t="inlineStr">
        <is>
          <t>연결</t>
        </is>
      </c>
      <c r="E2252" t="inlineStr">
        <is>
          <t>2025Q2</t>
        </is>
      </c>
      <c r="F2252" s="2" t="n">
        <v>31961</v>
      </c>
      <c r="G2252" t="inlineStr"/>
      <c r="H2252" t="inlineStr"/>
      <c r="I2252" s="2" t="n">
        <v>3122</v>
      </c>
      <c r="J2252" t="inlineStr"/>
      <c r="K2252" t="inlineStr"/>
      <c r="L2252" s="2" t="n">
        <v>759</v>
      </c>
      <c r="M2252" t="inlineStr"/>
      <c r="N2252" t="inlineStr">
        <is>
          <t>20250813900152</t>
        </is>
      </c>
      <c r="O2252">
        <f>HYPERLINK("https://dart.fss.or.kr/dsaf001/main.do?rcpNo=20250813900152", "공시열람")</f>
        <v/>
      </c>
    </row>
    <row r="2253">
      <c r="A2253" t="inlineStr">
        <is>
          <t>2025-08-13</t>
        </is>
      </c>
      <c r="B2253" t="inlineStr">
        <is>
          <t>삼성생명</t>
        </is>
      </c>
      <c r="C2253" t="inlineStr">
        <is>
          <t>032830</t>
        </is>
      </c>
      <c r="D2253" t="inlineStr">
        <is>
          <t>연결</t>
        </is>
      </c>
      <c r="E2253" t="inlineStr">
        <is>
          <t>2025Q2</t>
        </is>
      </c>
      <c r="F2253" s="2" t="n">
        <v>10911075</v>
      </c>
      <c r="G2253" t="inlineStr"/>
      <c r="H2253" t="inlineStr"/>
      <c r="I2253" s="2" t="n">
        <v>915407</v>
      </c>
      <c r="J2253" t="inlineStr"/>
      <c r="K2253" t="inlineStr"/>
      <c r="L2253" s="2" t="n">
        <v>793580</v>
      </c>
      <c r="M2253" t="inlineStr"/>
      <c r="N2253" t="inlineStr">
        <is>
          <t>20250813800276</t>
        </is>
      </c>
      <c r="O2253">
        <f>HYPERLINK("https://dart.fss.or.kr/dsaf001/main.do?rcpNo=20250813800276", "공시열람")</f>
        <v/>
      </c>
    </row>
    <row r="2254">
      <c r="A2254" t="inlineStr">
        <is>
          <t>2025-08-13</t>
        </is>
      </c>
      <c r="B2254" t="inlineStr">
        <is>
          <t>SK네트웍스</t>
        </is>
      </c>
      <c r="C2254" t="inlineStr">
        <is>
          <t>001740</t>
        </is>
      </c>
      <c r="D2254" t="inlineStr">
        <is>
          <t>연결</t>
        </is>
      </c>
      <c r="E2254" t="inlineStr">
        <is>
          <t>2025Q2</t>
        </is>
      </c>
      <c r="F2254" s="2" t="n">
        <v>1516334</v>
      </c>
      <c r="G2254" t="n">
        <v>-7.4</v>
      </c>
      <c r="H2254" t="n">
        <v>-10.3</v>
      </c>
      <c r="I2254" s="2" t="n">
        <v>43030</v>
      </c>
      <c r="J2254" t="n">
        <v>161.2</v>
      </c>
      <c r="K2254" t="n">
        <v>48</v>
      </c>
      <c r="L2254" s="2" t="n">
        <v>26085</v>
      </c>
      <c r="M2254" t="n">
        <v>22.8</v>
      </c>
      <c r="N2254" t="inlineStr">
        <is>
          <t>20250813800300</t>
        </is>
      </c>
      <c r="O2254">
        <f>HYPERLINK("https://dart.fss.or.kr/dsaf001/main.do?rcpNo=20250813800300", "공시열람")</f>
        <v/>
      </c>
    </row>
    <row r="2255">
      <c r="A2255" t="inlineStr">
        <is>
          <t>2025-08-13</t>
        </is>
      </c>
      <c r="B2255" t="inlineStr">
        <is>
          <t>한국가스공사</t>
        </is>
      </c>
      <c r="C2255" t="inlineStr">
        <is>
          <t>036460</t>
        </is>
      </c>
      <c r="D2255" t="inlineStr">
        <is>
          <t>별도</t>
        </is>
      </c>
      <c r="E2255" t="inlineStr">
        <is>
          <t>2025Q2</t>
        </is>
      </c>
      <c r="F2255" s="2" t="inlineStr"/>
      <c r="G2255" t="inlineStr"/>
      <c r="H2255" t="inlineStr"/>
      <c r="I2255" s="2" t="inlineStr"/>
      <c r="J2255" t="inlineStr"/>
      <c r="K2255" t="inlineStr"/>
      <c r="L2255" s="2" t="inlineStr"/>
      <c r="M2255" t="inlineStr"/>
      <c r="N2255" t="inlineStr">
        <is>
          <t>20250813800323</t>
        </is>
      </c>
      <c r="O2255">
        <f>HYPERLINK("https://dart.fss.or.kr/dsaf001/main.do?rcpNo=20250813800323", "공시열람")</f>
        <v/>
      </c>
    </row>
    <row r="2256">
      <c r="A2256" t="inlineStr">
        <is>
          <t>2025-08-13</t>
        </is>
      </c>
      <c r="B2256" t="inlineStr">
        <is>
          <t>현대해상</t>
        </is>
      </c>
      <c r="C2256" t="inlineStr">
        <is>
          <t>001450</t>
        </is>
      </c>
      <c r="D2256" t="inlineStr">
        <is>
          <t>별도</t>
        </is>
      </c>
      <c r="E2256" t="inlineStr">
        <is>
          <t>2025Q2</t>
        </is>
      </c>
      <c r="F2256" s="2" t="n">
        <v>4875558</v>
      </c>
      <c r="G2256" t="n">
        <v>16</v>
      </c>
      <c r="H2256" t="n">
        <v>15</v>
      </c>
      <c r="I2256" s="2" t="n">
        <v>343751</v>
      </c>
      <c r="J2256" t="n">
        <v>20.6</v>
      </c>
      <c r="K2256" t="n">
        <v>-27.6</v>
      </c>
      <c r="L2256" s="2" t="n">
        <v>247770</v>
      </c>
      <c r="M2256" t="n">
        <v>-30.4</v>
      </c>
      <c r="N2256" t="inlineStr">
        <is>
          <t>20250813800469</t>
        </is>
      </c>
      <c r="O2256">
        <f>HYPERLINK("https://dart.fss.or.kr/dsaf001/main.do?rcpNo=20250813800469", "공시열람")</f>
        <v/>
      </c>
    </row>
    <row r="2257">
      <c r="A2257" t="inlineStr">
        <is>
          <t>2025-08-13</t>
        </is>
      </c>
      <c r="B2257" t="inlineStr">
        <is>
          <t>KTis</t>
        </is>
      </c>
      <c r="C2257" t="inlineStr">
        <is>
          <t>058860</t>
        </is>
      </c>
      <c r="D2257" t="inlineStr">
        <is>
          <t>별도</t>
        </is>
      </c>
      <c r="E2257" t="inlineStr">
        <is>
          <t>2025Q2</t>
        </is>
      </c>
      <c r="F2257" s="2" t="n">
        <v>140722</v>
      </c>
      <c r="G2257" t="inlineStr"/>
      <c r="H2257" t="inlineStr"/>
      <c r="I2257" s="2" t="n">
        <v>6589</v>
      </c>
      <c r="J2257" t="inlineStr"/>
      <c r="K2257" t="inlineStr"/>
      <c r="L2257" s="2" t="n">
        <v>5481</v>
      </c>
      <c r="M2257" t="inlineStr"/>
      <c r="N2257" t="inlineStr">
        <is>
          <t>20250813800474</t>
        </is>
      </c>
      <c r="O2257">
        <f>HYPERLINK("https://dart.fss.or.kr/dsaf001/main.do?rcpNo=20250813800474", "공시열람")</f>
        <v/>
      </c>
    </row>
    <row r="2258">
      <c r="A2258" t="inlineStr">
        <is>
          <t>2025-08-12</t>
        </is>
      </c>
      <c r="B2258" t="inlineStr">
        <is>
          <t>더즌</t>
        </is>
      </c>
      <c r="C2258" t="inlineStr">
        <is>
          <t>462860</t>
        </is>
      </c>
      <c r="D2258" t="inlineStr">
        <is>
          <t>연결</t>
        </is>
      </c>
      <c r="E2258" t="inlineStr">
        <is>
          <t>2025Q2</t>
        </is>
      </c>
      <c r="F2258" s="2" t="n">
        <v>14609</v>
      </c>
      <c r="G2258" t="inlineStr"/>
      <c r="H2258" t="inlineStr"/>
      <c r="I2258" s="2" t="n">
        <v>3108</v>
      </c>
      <c r="J2258" t="inlineStr"/>
      <c r="K2258" t="inlineStr"/>
      <c r="L2258" s="2" t="n">
        <v>2788</v>
      </c>
      <c r="M2258" t="inlineStr"/>
      <c r="N2258" t="inlineStr">
        <is>
          <t>20250812900359</t>
        </is>
      </c>
      <c r="O2258">
        <f>HYPERLINK("https://dart.fss.or.kr/dsaf001/main.do?rcpNo=20250812900359", "공시열람")</f>
        <v/>
      </c>
    </row>
    <row r="2259">
      <c r="A2259" t="inlineStr">
        <is>
          <t>2025-08-12</t>
        </is>
      </c>
      <c r="B2259" t="inlineStr">
        <is>
          <t>KTis</t>
        </is>
      </c>
      <c r="C2259" t="inlineStr">
        <is>
          <t>058860</t>
        </is>
      </c>
      <c r="D2259" t="inlineStr">
        <is>
          <t>별도</t>
        </is>
      </c>
      <c r="E2259" t="inlineStr">
        <is>
          <t>2025Q2</t>
        </is>
      </c>
      <c r="F2259" s="2" t="n">
        <v>140722</v>
      </c>
      <c r="G2259" t="inlineStr"/>
      <c r="H2259" t="inlineStr"/>
      <c r="I2259" s="2" t="n">
        <v>6589</v>
      </c>
      <c r="J2259" t="inlineStr"/>
      <c r="K2259" t="inlineStr"/>
      <c r="L2259" s="2" t="n">
        <v>5481</v>
      </c>
      <c r="M2259" t="inlineStr"/>
      <c r="N2259" t="inlineStr">
        <is>
          <t>20250812800705</t>
        </is>
      </c>
      <c r="O2259">
        <f>HYPERLINK("https://dart.fss.or.kr/dsaf001/main.do?rcpNo=20250812800705", "공시열람")</f>
        <v/>
      </c>
    </row>
    <row r="2260">
      <c r="A2260" t="inlineStr">
        <is>
          <t>2025-08-12</t>
        </is>
      </c>
      <c r="B2260" t="inlineStr">
        <is>
          <t>NHN벅스</t>
        </is>
      </c>
      <c r="C2260" t="inlineStr">
        <is>
          <t>104200</t>
        </is>
      </c>
      <c r="D2260" t="inlineStr">
        <is>
          <t>별도</t>
        </is>
      </c>
      <c r="E2260" t="inlineStr">
        <is>
          <t>2025Q2</t>
        </is>
      </c>
      <c r="F2260" s="2" t="n">
        <v>11586</v>
      </c>
      <c r="G2260" t="inlineStr"/>
      <c r="H2260" t="inlineStr"/>
      <c r="I2260" s="2" t="n">
        <v>220</v>
      </c>
      <c r="J2260" t="inlineStr"/>
      <c r="K2260" t="inlineStr"/>
      <c r="L2260" s="2" t="n">
        <v>-665</v>
      </c>
      <c r="M2260" t="inlineStr"/>
      <c r="N2260" t="inlineStr">
        <is>
          <t>20250812900029</t>
        </is>
      </c>
      <c r="O2260">
        <f>HYPERLINK("https://dart.fss.or.kr/dsaf001/main.do?rcpNo=20250812900029", "공시열람")</f>
        <v/>
      </c>
    </row>
    <row r="2261">
      <c r="A2261" t="inlineStr">
        <is>
          <t>2025-08-12</t>
        </is>
      </c>
      <c r="B2261" t="inlineStr">
        <is>
          <t>NHN</t>
        </is>
      </c>
      <c r="C2261" t="inlineStr">
        <is>
          <t>181710</t>
        </is>
      </c>
      <c r="D2261" t="inlineStr">
        <is>
          <t>연결</t>
        </is>
      </c>
      <c r="E2261" t="inlineStr">
        <is>
          <t>2025Q2</t>
        </is>
      </c>
      <c r="F2261" s="2" t="n">
        <v>604887</v>
      </c>
      <c r="G2261" t="inlineStr"/>
      <c r="H2261" t="inlineStr"/>
      <c r="I2261" s="2" t="n">
        <v>21922</v>
      </c>
      <c r="J2261" t="inlineStr"/>
      <c r="K2261" t="inlineStr"/>
      <c r="L2261" s="2" t="n">
        <v>11233</v>
      </c>
      <c r="M2261" t="inlineStr"/>
      <c r="N2261" t="inlineStr">
        <is>
          <t>20250812800014</t>
        </is>
      </c>
      <c r="O2261">
        <f>HYPERLINK("https://dart.fss.or.kr/dsaf001/main.do?rcpNo=20250812800014", "공시열람")</f>
        <v/>
      </c>
    </row>
    <row r="2262">
      <c r="A2262" t="inlineStr">
        <is>
          <t>2025-08-12</t>
        </is>
      </c>
      <c r="B2262" t="inlineStr">
        <is>
          <t>노을</t>
        </is>
      </c>
      <c r="C2262" t="inlineStr">
        <is>
          <t>376930</t>
        </is>
      </c>
      <c r="D2262" t="inlineStr">
        <is>
          <t>연결</t>
        </is>
      </c>
      <c r="E2262" t="inlineStr">
        <is>
          <t>2025Q2</t>
        </is>
      </c>
      <c r="F2262" s="2" t="n">
        <v>1401</v>
      </c>
      <c r="G2262" t="inlineStr"/>
      <c r="H2262" t="inlineStr"/>
      <c r="I2262" s="2" t="n">
        <v>-5005</v>
      </c>
      <c r="J2262" t="inlineStr"/>
      <c r="K2262" t="inlineStr"/>
      <c r="L2262" s="2" t="n">
        <v>-5315</v>
      </c>
      <c r="M2262" t="inlineStr"/>
      <c r="N2262" t="inlineStr">
        <is>
          <t>20250812900634</t>
        </is>
      </c>
      <c r="O2262">
        <f>HYPERLINK("https://dart.fss.or.kr/dsaf001/main.do?rcpNo=20250812900634", "공시열람")</f>
        <v/>
      </c>
    </row>
    <row r="2263">
      <c r="A2263" t="inlineStr">
        <is>
          <t>2025-08-12</t>
        </is>
      </c>
      <c r="B2263" t="inlineStr">
        <is>
          <t>한국공항</t>
        </is>
      </c>
      <c r="C2263" t="inlineStr">
        <is>
          <t>005430</t>
        </is>
      </c>
      <c r="D2263" t="inlineStr">
        <is>
          <t>연결</t>
        </is>
      </c>
      <c r="E2263" t="inlineStr">
        <is>
          <t>2025Q2</t>
        </is>
      </c>
      <c r="F2263" s="2" t="n">
        <v>160297</v>
      </c>
      <c r="G2263" t="n">
        <v>2.19</v>
      </c>
      <c r="H2263" t="n">
        <v>6.86</v>
      </c>
      <c r="I2263" s="2" t="n">
        <v>11469</v>
      </c>
      <c r="J2263" t="n">
        <v>-21.05</v>
      </c>
      <c r="K2263" t="n">
        <v>-19.53</v>
      </c>
      <c r="L2263" s="2" t="n">
        <v>9474</v>
      </c>
      <c r="M2263" t="n">
        <v>-16.94</v>
      </c>
      <c r="N2263" t="inlineStr">
        <is>
          <t>20250812800637</t>
        </is>
      </c>
      <c r="O2263">
        <f>HYPERLINK("https://dart.fss.or.kr/dsaf001/main.do?rcpNo=20250812800637", "공시열람")</f>
        <v/>
      </c>
    </row>
    <row r="2264">
      <c r="A2264" t="inlineStr">
        <is>
          <t>2025-08-12</t>
        </is>
      </c>
      <c r="B2264" t="inlineStr">
        <is>
          <t>NHN KCP</t>
        </is>
      </c>
      <c r="C2264" t="inlineStr">
        <is>
          <t>060250</t>
        </is>
      </c>
      <c r="D2264" t="inlineStr">
        <is>
          <t>별도</t>
        </is>
      </c>
      <c r="E2264" t="inlineStr">
        <is>
          <t>2025Q2</t>
        </is>
      </c>
      <c r="F2264" s="2" t="n">
        <v>283844</v>
      </c>
      <c r="G2264" t="inlineStr"/>
      <c r="H2264" t="inlineStr"/>
      <c r="I2264" s="2" t="n">
        <v>12071</v>
      </c>
      <c r="J2264" t="inlineStr"/>
      <c r="K2264" t="inlineStr"/>
      <c r="L2264" s="2" t="n">
        <v>9392</v>
      </c>
      <c r="M2264" t="inlineStr"/>
      <c r="N2264" t="inlineStr">
        <is>
          <t>20250812900015</t>
        </is>
      </c>
      <c r="O2264">
        <f>HYPERLINK("https://dart.fss.or.kr/dsaf001/main.do?rcpNo=20250812900015", "공시열람")</f>
        <v/>
      </c>
    </row>
    <row r="2265">
      <c r="A2265" t="inlineStr">
        <is>
          <t>2025-08-12</t>
        </is>
      </c>
      <c r="B2265" t="inlineStr">
        <is>
          <t>NHN KCP</t>
        </is>
      </c>
      <c r="C2265" t="inlineStr">
        <is>
          <t>060250</t>
        </is>
      </c>
      <c r="D2265" t="inlineStr">
        <is>
          <t>연결</t>
        </is>
      </c>
      <c r="E2265" t="inlineStr">
        <is>
          <t>2025Q2</t>
        </is>
      </c>
      <c r="F2265" s="2" t="n">
        <v>300662</v>
      </c>
      <c r="G2265" t="inlineStr"/>
      <c r="H2265" t="inlineStr"/>
      <c r="I2265" s="2" t="n">
        <v>12370</v>
      </c>
      <c r="J2265" t="inlineStr"/>
      <c r="K2265" t="inlineStr"/>
      <c r="L2265" s="2" t="n">
        <v>9543</v>
      </c>
      <c r="M2265" t="inlineStr"/>
      <c r="N2265" t="inlineStr">
        <is>
          <t>20250812900013</t>
        </is>
      </c>
      <c r="O2265">
        <f>HYPERLINK("https://dart.fss.or.kr/dsaf001/main.do?rcpNo=20250812900013", "공시열람")</f>
        <v/>
      </c>
    </row>
    <row r="2266">
      <c r="A2266" t="inlineStr">
        <is>
          <t>2025-08-12</t>
        </is>
      </c>
      <c r="B2266" t="inlineStr">
        <is>
          <t>서울반도체</t>
        </is>
      </c>
      <c r="C2266" t="inlineStr">
        <is>
          <t>046890</t>
        </is>
      </c>
      <c r="D2266" t="inlineStr">
        <is>
          <t>연결</t>
        </is>
      </c>
      <c r="E2266" t="inlineStr">
        <is>
          <t>2025Q2</t>
        </is>
      </c>
      <c r="F2266" s="2" t="n">
        <v>251578</v>
      </c>
      <c r="G2266" t="inlineStr"/>
      <c r="H2266" t="inlineStr"/>
      <c r="I2266" s="2" t="n">
        <v>-7881</v>
      </c>
      <c r="J2266" t="inlineStr"/>
      <c r="K2266" t="inlineStr"/>
      <c r="L2266" s="2" t="n">
        <v>-24746</v>
      </c>
      <c r="M2266" t="inlineStr"/>
      <c r="N2266" t="inlineStr">
        <is>
          <t>20250812900352</t>
        </is>
      </c>
      <c r="O2266">
        <f>HYPERLINK("https://dart.fss.or.kr/dsaf001/main.do?rcpNo=20250812900352", "공시열람")</f>
        <v/>
      </c>
    </row>
    <row r="2267">
      <c r="A2267" t="inlineStr">
        <is>
          <t>2025-08-12</t>
        </is>
      </c>
      <c r="B2267" t="inlineStr">
        <is>
          <t>이마트</t>
        </is>
      </c>
      <c r="C2267" t="inlineStr">
        <is>
          <t>139480</t>
        </is>
      </c>
      <c r="D2267" t="inlineStr">
        <is>
          <t>별도</t>
        </is>
      </c>
      <c r="E2267" t="inlineStr">
        <is>
          <t>2025Q2</t>
        </is>
      </c>
      <c r="F2267" s="2" t="n">
        <v>1395000</v>
      </c>
      <c r="G2267" t="n">
        <v>5.5</v>
      </c>
      <c r="H2267" t="n">
        <v>5.2</v>
      </c>
      <c r="I2267" s="2" t="inlineStr"/>
      <c r="J2267" t="inlineStr"/>
      <c r="K2267" t="inlineStr"/>
      <c r="L2267" s="2" t="inlineStr"/>
      <c r="M2267" t="inlineStr"/>
      <c r="N2267" t="inlineStr">
        <is>
          <t>20250812800169</t>
        </is>
      </c>
      <c r="O2267">
        <f>HYPERLINK("https://dart.fss.or.kr/dsaf001/main.do?rcpNo=20250812800169", "공시열람")</f>
        <v/>
      </c>
    </row>
    <row r="2268">
      <c r="A2268" t="inlineStr">
        <is>
          <t>2025-08-12</t>
        </is>
      </c>
      <c r="B2268" t="inlineStr">
        <is>
          <t>한국전력공사</t>
        </is>
      </c>
      <c r="C2268" t="inlineStr">
        <is>
          <t>015760</t>
        </is>
      </c>
      <c r="D2268" t="inlineStr">
        <is>
          <t>연결</t>
        </is>
      </c>
      <c r="E2268" t="inlineStr">
        <is>
          <t>2025Q2</t>
        </is>
      </c>
      <c r="F2268" s="2" t="n">
        <v>21950138</v>
      </c>
      <c r="G2268" t="n">
        <v>-9.4</v>
      </c>
      <c r="H2268" t="n">
        <v>7.2</v>
      </c>
      <c r="I2268" s="2" t="n">
        <v>2135872</v>
      </c>
      <c r="J2268" t="n">
        <v>-43.1</v>
      </c>
      <c r="K2268" t="n">
        <v>70.8</v>
      </c>
      <c r="L2268" s="2" t="n">
        <v>1176357</v>
      </c>
      <c r="M2268" t="n">
        <v>928.1</v>
      </c>
      <c r="N2268" t="inlineStr">
        <is>
          <t>20250812800202</t>
        </is>
      </c>
      <c r="O2268">
        <f>HYPERLINK("https://dart.fss.or.kr/dsaf001/main.do?rcpNo=20250812800202", "공시열람")</f>
        <v/>
      </c>
    </row>
    <row r="2269">
      <c r="A2269" t="inlineStr">
        <is>
          <t>2025-08-12</t>
        </is>
      </c>
      <c r="B2269" t="inlineStr">
        <is>
          <t>현대공업</t>
        </is>
      </c>
      <c r="C2269" t="inlineStr">
        <is>
          <t>170030</t>
        </is>
      </c>
      <c r="D2269" t="inlineStr">
        <is>
          <t>연결</t>
        </is>
      </c>
      <c r="E2269" t="inlineStr">
        <is>
          <t>2025Q2</t>
        </is>
      </c>
      <c r="F2269" s="2" t="n">
        <v>98508</v>
      </c>
      <c r="G2269" t="inlineStr"/>
      <c r="H2269" t="inlineStr"/>
      <c r="I2269" s="2" t="n">
        <v>6042</v>
      </c>
      <c r="J2269" t="inlineStr"/>
      <c r="K2269" t="inlineStr"/>
      <c r="L2269" s="2" t="n">
        <v>3005</v>
      </c>
      <c r="M2269" t="inlineStr"/>
      <c r="N2269" t="inlineStr">
        <is>
          <t>20250812900210</t>
        </is>
      </c>
      <c r="O2269">
        <f>HYPERLINK("https://dart.fss.or.kr/dsaf001/main.do?rcpNo=20250812900210", "공시열람")</f>
        <v/>
      </c>
    </row>
    <row r="2270">
      <c r="A2270" t="inlineStr">
        <is>
          <t>2025-08-12</t>
        </is>
      </c>
      <c r="B2270" t="inlineStr">
        <is>
          <t>콜마홀딩스</t>
        </is>
      </c>
      <c r="C2270" t="inlineStr">
        <is>
          <t>024720</t>
        </is>
      </c>
      <c r="D2270" t="inlineStr">
        <is>
          <t>연결</t>
        </is>
      </c>
      <c r="E2270" t="inlineStr">
        <is>
          <t>2025Q2</t>
        </is>
      </c>
      <c r="F2270" s="2" t="n">
        <v>175670</v>
      </c>
      <c r="G2270" t="n">
        <v>15.26</v>
      </c>
      <c r="H2270" t="n">
        <v>-2.51</v>
      </c>
      <c r="I2270" s="2" t="n">
        <v>16377</v>
      </c>
      <c r="J2270" t="n">
        <v>421.73</v>
      </c>
      <c r="K2270" t="n">
        <v>15.27</v>
      </c>
      <c r="L2270" s="2" t="n">
        <v>39280</v>
      </c>
      <c r="M2270" t="n">
        <v>265.33</v>
      </c>
      <c r="N2270" t="inlineStr">
        <is>
          <t>20250812800513</t>
        </is>
      </c>
      <c r="O2270">
        <f>HYPERLINK("https://dart.fss.or.kr/dsaf001/main.do?rcpNo=20250812800513", "공시열람")</f>
        <v/>
      </c>
    </row>
    <row r="2271">
      <c r="A2271" t="inlineStr">
        <is>
          <t>2025-08-12</t>
        </is>
      </c>
      <c r="B2271" t="inlineStr">
        <is>
          <t>경동나비엔</t>
        </is>
      </c>
      <c r="C2271" t="inlineStr">
        <is>
          <t>009450</t>
        </is>
      </c>
      <c r="D2271" t="inlineStr">
        <is>
          <t>연결</t>
        </is>
      </c>
      <c r="E2271" t="inlineStr">
        <is>
          <t>2025Q2</t>
        </is>
      </c>
      <c r="F2271" s="2" t="n">
        <v>392277</v>
      </c>
      <c r="G2271" t="n">
        <v>7.4</v>
      </c>
      <c r="H2271" t="n">
        <v>27.5</v>
      </c>
      <c r="I2271" s="2" t="n">
        <v>51190</v>
      </c>
      <c r="J2271" t="n">
        <v>29.8</v>
      </c>
      <c r="K2271" t="n">
        <v>73.7</v>
      </c>
      <c r="L2271" s="2" t="n">
        <v>19335</v>
      </c>
      <c r="M2271" t="n">
        <v>-32.1</v>
      </c>
      <c r="N2271" t="inlineStr">
        <is>
          <t>20250812800510</t>
        </is>
      </c>
      <c r="O2271">
        <f>HYPERLINK("https://dart.fss.or.kr/dsaf001/main.do?rcpNo=20250812800510", "공시열람")</f>
        <v/>
      </c>
    </row>
    <row r="2272">
      <c r="A2272" t="inlineStr">
        <is>
          <t>2025-08-12</t>
        </is>
      </c>
      <c r="B2272" t="inlineStr">
        <is>
          <t>아이크래프트</t>
        </is>
      </c>
      <c r="C2272" t="inlineStr">
        <is>
          <t>052460</t>
        </is>
      </c>
      <c r="D2272" t="inlineStr">
        <is>
          <t>별도</t>
        </is>
      </c>
      <c r="E2272" t="inlineStr">
        <is>
          <t>2025Q2</t>
        </is>
      </c>
      <c r="F2272" s="2" t="n">
        <v>24112</v>
      </c>
      <c r="G2272" t="inlineStr"/>
      <c r="H2272" t="inlineStr"/>
      <c r="I2272" s="2" t="n">
        <v>-862</v>
      </c>
      <c r="J2272" t="inlineStr"/>
      <c r="K2272" t="inlineStr"/>
      <c r="L2272" s="2" t="n">
        <v>1626</v>
      </c>
      <c r="M2272" t="inlineStr"/>
      <c r="N2272" t="inlineStr">
        <is>
          <t>20250812900491</t>
        </is>
      </c>
      <c r="O2272">
        <f>HYPERLINK("https://dart.fss.or.kr/dsaf001/main.do?rcpNo=20250812900491", "공시열람")</f>
        <v/>
      </c>
    </row>
    <row r="2273">
      <c r="A2273" t="inlineStr">
        <is>
          <t>2025-08-12</t>
        </is>
      </c>
      <c r="B2273" t="inlineStr">
        <is>
          <t>아이크래프트</t>
        </is>
      </c>
      <c r="C2273" t="inlineStr">
        <is>
          <t>052460</t>
        </is>
      </c>
      <c r="D2273" t="inlineStr">
        <is>
          <t>연결</t>
        </is>
      </c>
      <c r="E2273" t="inlineStr">
        <is>
          <t>2025Q2</t>
        </is>
      </c>
      <c r="F2273" s="2" t="n">
        <v>29380</v>
      </c>
      <c r="G2273" t="inlineStr"/>
      <c r="H2273" t="inlineStr"/>
      <c r="I2273" s="2" t="n">
        <v>-722</v>
      </c>
      <c r="J2273" t="inlineStr"/>
      <c r="K2273" t="inlineStr"/>
      <c r="L2273" s="2" t="n">
        <v>2101</v>
      </c>
      <c r="M2273" t="inlineStr"/>
      <c r="N2273" t="inlineStr">
        <is>
          <t>20250812900500</t>
        </is>
      </c>
      <c r="O2273">
        <f>HYPERLINK("https://dart.fss.or.kr/dsaf001/main.do?rcpNo=20250812900500", "공시열람")</f>
        <v/>
      </c>
    </row>
    <row r="2274">
      <c r="A2274" t="inlineStr">
        <is>
          <t>2025-08-12</t>
        </is>
      </c>
      <c r="B2274" t="inlineStr">
        <is>
          <t>KT지니뮤직</t>
        </is>
      </c>
      <c r="C2274" t="inlineStr">
        <is>
          <t>043610</t>
        </is>
      </c>
      <c r="D2274" t="inlineStr">
        <is>
          <t>연결</t>
        </is>
      </c>
      <c r="E2274" t="inlineStr">
        <is>
          <t>2025Q2</t>
        </is>
      </c>
      <c r="F2274" s="2" t="n">
        <v>73467</v>
      </c>
      <c r="G2274" t="inlineStr"/>
      <c r="H2274" t="inlineStr"/>
      <c r="I2274" s="2" t="n">
        <v>5023</v>
      </c>
      <c r="J2274" t="inlineStr"/>
      <c r="K2274" t="inlineStr"/>
      <c r="L2274" s="2" t="n">
        <v>4337</v>
      </c>
      <c r="M2274" t="inlineStr"/>
      <c r="N2274" t="inlineStr">
        <is>
          <t>20250812900490</t>
        </is>
      </c>
      <c r="O2274">
        <f>HYPERLINK("https://dart.fss.or.kr/dsaf001/main.do?rcpNo=20250812900490", "공시열람")</f>
        <v/>
      </c>
    </row>
    <row r="2275">
      <c r="A2275" t="inlineStr">
        <is>
          <t>2025-08-12</t>
        </is>
      </c>
      <c r="B2275" t="inlineStr">
        <is>
          <t>콜마홀딩스</t>
        </is>
      </c>
      <c r="C2275" t="inlineStr">
        <is>
          <t>024720</t>
        </is>
      </c>
      <c r="D2275" t="inlineStr">
        <is>
          <t>별도</t>
        </is>
      </c>
      <c r="E2275" t="inlineStr">
        <is>
          <t>2025Q2</t>
        </is>
      </c>
      <c r="F2275" s="2" t="n">
        <v>8877</v>
      </c>
      <c r="G2275" t="n">
        <v>-46.85</v>
      </c>
      <c r="H2275" t="n">
        <v>13.01</v>
      </c>
      <c r="I2275" s="2" t="n">
        <v>-2085</v>
      </c>
      <c r="J2275" t="inlineStr"/>
      <c r="K2275" t="n">
        <v>34.34</v>
      </c>
      <c r="L2275" s="2" t="n">
        <v>25224</v>
      </c>
      <c r="M2275" t="n">
        <v>2122.38</v>
      </c>
      <c r="N2275" t="inlineStr">
        <is>
          <t>20250812800473</t>
        </is>
      </c>
      <c r="O2275">
        <f>HYPERLINK("https://dart.fss.or.kr/dsaf001/main.do?rcpNo=20250812800473", "공시열람")</f>
        <v/>
      </c>
    </row>
    <row r="2276">
      <c r="A2276" t="inlineStr">
        <is>
          <t>2025-08-12</t>
        </is>
      </c>
      <c r="B2276" t="inlineStr">
        <is>
          <t>케이티알파</t>
        </is>
      </c>
      <c r="C2276" t="inlineStr">
        <is>
          <t>036030</t>
        </is>
      </c>
      <c r="D2276" t="inlineStr">
        <is>
          <t>별도</t>
        </is>
      </c>
      <c r="E2276" t="inlineStr">
        <is>
          <t>2025Q2</t>
        </is>
      </c>
      <c r="F2276" s="2" t="n">
        <v>100066</v>
      </c>
      <c r="G2276" t="inlineStr"/>
      <c r="H2276" t="inlineStr"/>
      <c r="I2276" s="2" t="n">
        <v>13916</v>
      </c>
      <c r="J2276" t="inlineStr"/>
      <c r="K2276" t="inlineStr"/>
      <c r="L2276" s="2" t="n">
        <v>13267</v>
      </c>
      <c r="M2276" t="inlineStr"/>
      <c r="N2276" t="inlineStr">
        <is>
          <t>20250812900435</t>
        </is>
      </c>
      <c r="O2276">
        <f>HYPERLINK("https://dart.fss.or.kr/dsaf001/main.do?rcpNo=20250812900435", "공시열람")</f>
        <v/>
      </c>
    </row>
    <row r="2277">
      <c r="A2277" t="inlineStr">
        <is>
          <t>2025-08-12</t>
        </is>
      </c>
      <c r="B2277" t="inlineStr">
        <is>
          <t>동국제약</t>
        </is>
      </c>
      <c r="C2277" t="inlineStr">
        <is>
          <t>086450</t>
        </is>
      </c>
      <c r="D2277" t="inlineStr">
        <is>
          <t>연결</t>
        </is>
      </c>
      <c r="E2277" t="inlineStr">
        <is>
          <t>2025Q2</t>
        </is>
      </c>
      <c r="F2277" s="2" t="n">
        <v>233461</v>
      </c>
      <c r="G2277" t="inlineStr"/>
      <c r="H2277" t="inlineStr"/>
      <c r="I2277" s="2" t="n">
        <v>22141</v>
      </c>
      <c r="J2277" t="inlineStr"/>
      <c r="K2277" t="inlineStr"/>
      <c r="L2277" s="2" t="n">
        <v>18058</v>
      </c>
      <c r="M2277" t="inlineStr"/>
      <c r="N2277" t="inlineStr">
        <is>
          <t>20250812900068</t>
        </is>
      </c>
      <c r="O2277">
        <f>HYPERLINK("https://dart.fss.or.kr/dsaf001/main.do?rcpNo=20250812900068", "공시열람")</f>
        <v/>
      </c>
    </row>
    <row r="2278">
      <c r="A2278" t="inlineStr">
        <is>
          <t>2025-08-12</t>
        </is>
      </c>
      <c r="B2278" t="inlineStr">
        <is>
          <t>쏘카</t>
        </is>
      </c>
      <c r="C2278" t="inlineStr">
        <is>
          <t>403550</t>
        </is>
      </c>
      <c r="D2278" t="inlineStr">
        <is>
          <t>연결</t>
        </is>
      </c>
      <c r="E2278" t="inlineStr">
        <is>
          <t>2025Q2</t>
        </is>
      </c>
      <c r="F2278" s="2" t="n">
        <v>98660</v>
      </c>
      <c r="G2278" t="n">
        <v>-25</v>
      </c>
      <c r="H2278" t="n">
        <v>-3</v>
      </c>
      <c r="I2278" s="2" t="n">
        <v>1835</v>
      </c>
      <c r="J2278" t="n">
        <v>29.7</v>
      </c>
      <c r="K2278" t="inlineStr"/>
      <c r="L2278" s="2" t="n">
        <v>-1781</v>
      </c>
      <c r="M2278" t="n">
        <v>84.59999999999999</v>
      </c>
      <c r="N2278" t="inlineStr">
        <is>
          <t>20250812800347</t>
        </is>
      </c>
      <c r="O2278">
        <f>HYPERLINK("https://dart.fss.or.kr/dsaf001/main.do?rcpNo=20250812800347", "공시열람")</f>
        <v/>
      </c>
    </row>
    <row r="2279">
      <c r="A2279" t="inlineStr">
        <is>
          <t>2025-08-12</t>
        </is>
      </c>
      <c r="B2279" t="inlineStr">
        <is>
          <t>더즌</t>
        </is>
      </c>
      <c r="C2279" t="inlineStr">
        <is>
          <t>462860</t>
        </is>
      </c>
      <c r="D2279" t="inlineStr">
        <is>
          <t>별도</t>
        </is>
      </c>
      <c r="E2279" t="inlineStr">
        <is>
          <t>2025Q2</t>
        </is>
      </c>
      <c r="F2279" s="2" t="n">
        <v>14611</v>
      </c>
      <c r="G2279" t="inlineStr"/>
      <c r="H2279" t="inlineStr"/>
      <c r="I2279" s="2" t="n">
        <v>3287</v>
      </c>
      <c r="J2279" t="inlineStr"/>
      <c r="K2279" t="inlineStr"/>
      <c r="L2279" s="2" t="n">
        <v>2990</v>
      </c>
      <c r="M2279" t="inlineStr"/>
      <c r="N2279" t="inlineStr">
        <is>
          <t>20250812900351</t>
        </is>
      </c>
      <c r="O2279">
        <f>HYPERLINK("https://dart.fss.or.kr/dsaf001/main.do?rcpNo=20250812900351", "공시열람")</f>
        <v/>
      </c>
    </row>
    <row r="2280">
      <c r="A2280" t="inlineStr">
        <is>
          <t>2025-08-12</t>
        </is>
      </c>
      <c r="B2280" t="inlineStr">
        <is>
          <t>NHN</t>
        </is>
      </c>
      <c r="C2280" t="inlineStr">
        <is>
          <t>181710</t>
        </is>
      </c>
      <c r="D2280" t="inlineStr">
        <is>
          <t>별도</t>
        </is>
      </c>
      <c r="E2280" t="inlineStr">
        <is>
          <t>2025Q2</t>
        </is>
      </c>
      <c r="F2280" s="2" t="n">
        <v>92928</v>
      </c>
      <c r="G2280" t="inlineStr"/>
      <c r="H2280" t="inlineStr"/>
      <c r="I2280" s="2" t="n">
        <v>20055</v>
      </c>
      <c r="J2280" t="inlineStr"/>
      <c r="K2280" t="inlineStr"/>
      <c r="L2280" s="2" t="n">
        <v>14727</v>
      </c>
      <c r="M2280" t="inlineStr"/>
      <c r="N2280" t="inlineStr">
        <is>
          <t>20250812800012</t>
        </is>
      </c>
      <c r="O2280">
        <f>HYPERLINK("https://dart.fss.or.kr/dsaf001/main.do?rcpNo=20250812800012", "공시열람")</f>
        <v/>
      </c>
    </row>
    <row r="2281">
      <c r="A2281" t="inlineStr">
        <is>
          <t>2025-08-12</t>
        </is>
      </c>
      <c r="B2281" t="inlineStr">
        <is>
          <t>컴투스</t>
        </is>
      </c>
      <c r="C2281" t="inlineStr">
        <is>
          <t>078340</t>
        </is>
      </c>
      <c r="D2281" t="inlineStr">
        <is>
          <t>별도</t>
        </is>
      </c>
      <c r="E2281" t="inlineStr">
        <is>
          <t>2025Q2</t>
        </is>
      </c>
      <c r="F2281" s="2" t="n">
        <v>139548</v>
      </c>
      <c r="G2281" t="inlineStr"/>
      <c r="H2281" t="inlineStr"/>
      <c r="I2281" s="2" t="n">
        <v>4946</v>
      </c>
      <c r="J2281" t="inlineStr"/>
      <c r="K2281" t="inlineStr"/>
      <c r="L2281" s="2" t="n">
        <v>12600</v>
      </c>
      <c r="M2281" t="inlineStr"/>
      <c r="N2281" t="inlineStr">
        <is>
          <t>20250812900051</t>
        </is>
      </c>
      <c r="O2281">
        <f>HYPERLINK("https://dart.fss.or.kr/dsaf001/main.do?rcpNo=20250812900051", "공시열람")</f>
        <v/>
      </c>
    </row>
    <row r="2282">
      <c r="A2282" t="inlineStr">
        <is>
          <t>2025-08-12</t>
        </is>
      </c>
      <c r="B2282" t="inlineStr">
        <is>
          <t>NC</t>
        </is>
      </c>
      <c r="C2282" t="inlineStr">
        <is>
          <t>036570</t>
        </is>
      </c>
      <c r="D2282" t="inlineStr">
        <is>
          <t>연결</t>
        </is>
      </c>
      <c r="E2282" t="inlineStr">
        <is>
          <t>2025Q2</t>
        </is>
      </c>
      <c r="F2282" s="2" t="n">
        <v>382393</v>
      </c>
      <c r="G2282" t="inlineStr"/>
      <c r="H2282" t="inlineStr"/>
      <c r="I2282" s="2" t="n">
        <v>15079</v>
      </c>
      <c r="J2282" t="inlineStr"/>
      <c r="K2282" t="inlineStr"/>
      <c r="L2282" s="2" t="n">
        <v>-35953</v>
      </c>
      <c r="M2282" t="inlineStr"/>
      <c r="N2282" t="inlineStr">
        <is>
          <t>20250812800027</t>
        </is>
      </c>
      <c r="O2282">
        <f>HYPERLINK("https://dart.fss.or.kr/dsaf001/main.do?rcpNo=20250812800027", "공시열람")</f>
        <v/>
      </c>
    </row>
    <row r="2283">
      <c r="A2283" t="inlineStr">
        <is>
          <t>2025-08-12</t>
        </is>
      </c>
      <c r="B2283" t="inlineStr">
        <is>
          <t>이마트</t>
        </is>
      </c>
      <c r="C2283" t="inlineStr">
        <is>
          <t>139480</t>
        </is>
      </c>
      <c r="D2283" t="inlineStr">
        <is>
          <t>연결</t>
        </is>
      </c>
      <c r="E2283" t="inlineStr">
        <is>
          <t>2025Q2</t>
        </is>
      </c>
      <c r="F2283" s="2" t="n">
        <v>7039000</v>
      </c>
      <c r="G2283" t="n">
        <v>-2.5</v>
      </c>
      <c r="H2283" t="n">
        <v>-0.2</v>
      </c>
      <c r="I2283" s="2" t="n">
        <v>21600</v>
      </c>
      <c r="J2283" t="n">
        <v>-86.40000000000001</v>
      </c>
      <c r="K2283" t="inlineStr"/>
      <c r="L2283" s="2" t="n">
        <v>-31400</v>
      </c>
      <c r="M2283" t="n">
        <v>72</v>
      </c>
      <c r="N2283" t="inlineStr">
        <is>
          <t>20250812800166</t>
        </is>
      </c>
      <c r="O2283">
        <f>HYPERLINK("https://dart.fss.or.kr/dsaf001/main.do?rcpNo=20250812800166", "공시열람")</f>
        <v/>
      </c>
    </row>
    <row r="2284">
      <c r="A2284" t="inlineStr">
        <is>
          <t>2025-08-12</t>
        </is>
      </c>
      <c r="B2284" t="inlineStr">
        <is>
          <t>CJ씨푸드</t>
        </is>
      </c>
      <c r="C2284" t="inlineStr">
        <is>
          <t>011150</t>
        </is>
      </c>
      <c r="D2284" t="inlineStr">
        <is>
          <t>연결</t>
        </is>
      </c>
      <c r="E2284" t="inlineStr">
        <is>
          <t>2025Q2</t>
        </is>
      </c>
      <c r="F2284" s="2" t="n">
        <v>42474</v>
      </c>
      <c r="G2284" t="n">
        <v>-19.1</v>
      </c>
      <c r="H2284" t="n">
        <v>-10.6</v>
      </c>
      <c r="I2284" s="2" t="n">
        <v>-1488</v>
      </c>
      <c r="J2284" t="n">
        <v>-48.8</v>
      </c>
      <c r="K2284" t="n">
        <v>-770.7</v>
      </c>
      <c r="L2284" s="2" t="n">
        <v>333</v>
      </c>
      <c r="M2284" t="n">
        <v>349.8</v>
      </c>
      <c r="N2284" t="inlineStr">
        <is>
          <t>20250812800079</t>
        </is>
      </c>
      <c r="O2284">
        <f>HYPERLINK("https://dart.fss.or.kr/dsaf001/main.do?rcpNo=20250812800079", "공시열람")</f>
        <v/>
      </c>
    </row>
    <row r="2285">
      <c r="A2285" t="inlineStr">
        <is>
          <t>2025-08-12</t>
        </is>
      </c>
      <c r="B2285" t="inlineStr">
        <is>
          <t>케어젠</t>
        </is>
      </c>
      <c r="C2285" t="inlineStr">
        <is>
          <t>214370</t>
        </is>
      </c>
      <c r="D2285" t="inlineStr">
        <is>
          <t>연결</t>
        </is>
      </c>
      <c r="E2285" t="inlineStr">
        <is>
          <t>2025Q2</t>
        </is>
      </c>
      <c r="F2285" s="2" t="n">
        <v>18118</v>
      </c>
      <c r="G2285" t="inlineStr"/>
      <c r="H2285" t="inlineStr"/>
      <c r="I2285" s="2" t="n">
        <v>7442</v>
      </c>
      <c r="J2285" t="inlineStr"/>
      <c r="K2285" t="inlineStr"/>
      <c r="L2285" s="2" t="n">
        <v>4795</v>
      </c>
      <c r="M2285" t="inlineStr"/>
      <c r="N2285" t="inlineStr">
        <is>
          <t>20250812900084</t>
        </is>
      </c>
      <c r="O2285">
        <f>HYPERLINK("https://dart.fss.or.kr/dsaf001/main.do?rcpNo=20250812900084", "공시열람")</f>
        <v/>
      </c>
    </row>
    <row r="2286">
      <c r="A2286" t="inlineStr">
        <is>
          <t>2025-08-12</t>
        </is>
      </c>
      <c r="B2286" t="inlineStr">
        <is>
          <t>비엠티</t>
        </is>
      </c>
      <c r="C2286" t="inlineStr">
        <is>
          <t>086670</t>
        </is>
      </c>
      <c r="D2286" t="inlineStr">
        <is>
          <t>별도</t>
        </is>
      </c>
      <c r="E2286" t="inlineStr">
        <is>
          <t>2025Q2</t>
        </is>
      </c>
      <c r="F2286" s="2" t="n">
        <v>39024</v>
      </c>
      <c r="G2286" t="inlineStr"/>
      <c r="H2286" t="inlineStr"/>
      <c r="I2286" s="2" t="n">
        <v>4099</v>
      </c>
      <c r="J2286" t="inlineStr"/>
      <c r="K2286" t="inlineStr"/>
      <c r="L2286" s="2" t="n">
        <v>1577</v>
      </c>
      <c r="M2286" t="inlineStr"/>
      <c r="N2286" t="inlineStr">
        <is>
          <t>20250812900095</t>
        </is>
      </c>
      <c r="O2286">
        <f>HYPERLINK("https://dart.fss.or.kr/dsaf001/main.do?rcpNo=20250812900095", "공시열람")</f>
        <v/>
      </c>
    </row>
    <row r="2287">
      <c r="A2287" t="inlineStr">
        <is>
          <t>2025-08-12</t>
        </is>
      </c>
      <c r="B2287" t="inlineStr">
        <is>
          <t>비엠티</t>
        </is>
      </c>
      <c r="C2287" t="inlineStr">
        <is>
          <t>086670</t>
        </is>
      </c>
      <c r="D2287" t="inlineStr">
        <is>
          <t>연결</t>
        </is>
      </c>
      <c r="E2287" t="inlineStr">
        <is>
          <t>2025Q2</t>
        </is>
      </c>
      <c r="F2287" s="2" t="n">
        <v>39269</v>
      </c>
      <c r="G2287" t="inlineStr"/>
      <c r="H2287" t="inlineStr"/>
      <c r="I2287" s="2" t="n">
        <v>3417</v>
      </c>
      <c r="J2287" t="inlineStr"/>
      <c r="K2287" t="inlineStr"/>
      <c r="L2287" s="2" t="n">
        <v>1095</v>
      </c>
      <c r="M2287" t="inlineStr"/>
      <c r="N2287" t="inlineStr">
        <is>
          <t>20250812900096</t>
        </is>
      </c>
      <c r="O2287">
        <f>HYPERLINK("https://dart.fss.or.kr/dsaf001/main.do?rcpNo=20250812900096", "공시열람")</f>
        <v/>
      </c>
    </row>
    <row r="2288">
      <c r="A2288" t="inlineStr">
        <is>
          <t>2025-08-12</t>
        </is>
      </c>
      <c r="B2288" t="inlineStr">
        <is>
          <t>GS글로벌</t>
        </is>
      </c>
      <c r="C2288" t="inlineStr">
        <is>
          <t>001250</t>
        </is>
      </c>
      <c r="D2288" t="inlineStr">
        <is>
          <t>연결</t>
        </is>
      </c>
      <c r="E2288" t="inlineStr">
        <is>
          <t>2025Q2</t>
        </is>
      </c>
      <c r="F2288" s="2" t="n">
        <v>1073997</v>
      </c>
      <c r="G2288" t="n">
        <v>5.1</v>
      </c>
      <c r="H2288" t="n">
        <v>12.2</v>
      </c>
      <c r="I2288" s="2" t="n">
        <v>19794</v>
      </c>
      <c r="J2288" t="n">
        <v>24</v>
      </c>
      <c r="K2288" t="n">
        <v>-6.8</v>
      </c>
      <c r="L2288" s="2" t="n">
        <v>12532</v>
      </c>
      <c r="M2288" t="n">
        <v>-33.5</v>
      </c>
      <c r="N2288" t="inlineStr">
        <is>
          <t>20250812800129</t>
        </is>
      </c>
      <c r="O2288">
        <f>HYPERLINK("https://dart.fss.or.kr/dsaf001/main.do?rcpNo=20250812800129", "공시열람")</f>
        <v/>
      </c>
    </row>
    <row r="2289">
      <c r="A2289" t="inlineStr">
        <is>
          <t>2025-08-12</t>
        </is>
      </c>
      <c r="B2289" t="inlineStr">
        <is>
          <t>에스피지</t>
        </is>
      </c>
      <c r="C2289" t="inlineStr">
        <is>
          <t>058610</t>
        </is>
      </c>
      <c r="D2289" t="inlineStr">
        <is>
          <t>연결</t>
        </is>
      </c>
      <c r="E2289" t="inlineStr">
        <is>
          <t>2025Q2</t>
        </is>
      </c>
      <c r="F2289" s="2" t="n">
        <v>80467</v>
      </c>
      <c r="G2289" t="inlineStr"/>
      <c r="H2289" t="inlineStr"/>
      <c r="I2289" s="2" t="n">
        <v>3920</v>
      </c>
      <c r="J2289" t="inlineStr"/>
      <c r="K2289" t="inlineStr"/>
      <c r="L2289" s="2" t="n">
        <v>2408</v>
      </c>
      <c r="M2289" t="inlineStr"/>
      <c r="N2289" t="inlineStr">
        <is>
          <t>20250812900143</t>
        </is>
      </c>
      <c r="O2289">
        <f>HYPERLINK("https://dart.fss.or.kr/dsaf001/main.do?rcpNo=20250812900143", "공시열람")</f>
        <v/>
      </c>
    </row>
    <row r="2290">
      <c r="A2290" t="inlineStr">
        <is>
          <t>2025-08-12</t>
        </is>
      </c>
      <c r="B2290" t="inlineStr">
        <is>
          <t>CJ제일제당</t>
        </is>
      </c>
      <c r="C2290" t="inlineStr">
        <is>
          <t>097950</t>
        </is>
      </c>
      <c r="D2290" t="inlineStr">
        <is>
          <t>연결</t>
        </is>
      </c>
      <c r="E2290" t="inlineStr">
        <is>
          <t>2025Q2</t>
        </is>
      </c>
      <c r="F2290" s="2" t="n">
        <v>7237176</v>
      </c>
      <c r="G2290" t="n">
        <v>0.4</v>
      </c>
      <c r="H2290" t="n">
        <v>0</v>
      </c>
      <c r="I2290" s="2" t="n">
        <v>353130</v>
      </c>
      <c r="J2290" t="n">
        <v>6</v>
      </c>
      <c r="K2290" t="n">
        <v>-7.9</v>
      </c>
      <c r="L2290" s="2" t="n">
        <v>209115</v>
      </c>
      <c r="M2290" t="n">
        <v>41.5</v>
      </c>
      <c r="N2290" t="inlineStr">
        <is>
          <t>20250812800044</t>
        </is>
      </c>
      <c r="O2290">
        <f>HYPERLINK("https://dart.fss.or.kr/dsaf001/main.do?rcpNo=20250812800044", "공시열람")</f>
        <v/>
      </c>
    </row>
    <row r="2291">
      <c r="A2291" t="inlineStr">
        <is>
          <t>2025-08-12</t>
        </is>
      </c>
      <c r="B2291" t="inlineStr">
        <is>
          <t>금호건설</t>
        </is>
      </c>
      <c r="C2291" t="inlineStr">
        <is>
          <t>002990</t>
        </is>
      </c>
      <c r="D2291" t="inlineStr">
        <is>
          <t>연결</t>
        </is>
      </c>
      <c r="E2291" t="inlineStr">
        <is>
          <t>2025Q2</t>
        </is>
      </c>
      <c r="F2291" s="2" t="n">
        <v>531192</v>
      </c>
      <c r="G2291" t="n">
        <v>13.5</v>
      </c>
      <c r="H2291" t="n">
        <v>3.9</v>
      </c>
      <c r="I2291" s="2" t="n">
        <v>16183</v>
      </c>
      <c r="J2291" t="n">
        <v>182</v>
      </c>
      <c r="K2291" t="inlineStr"/>
      <c r="L2291" s="2" t="n">
        <v>10447</v>
      </c>
      <c r="M2291" t="inlineStr"/>
      <c r="N2291" t="inlineStr">
        <is>
          <t>20250812800146</t>
        </is>
      </c>
      <c r="O2291">
        <f>HYPERLINK("https://dart.fss.or.kr/dsaf001/main.do?rcpNo=20250812800146", "공시열람")</f>
        <v/>
      </c>
    </row>
    <row r="2292">
      <c r="A2292" t="inlineStr">
        <is>
          <t>2025-08-12</t>
        </is>
      </c>
      <c r="B2292" t="inlineStr">
        <is>
          <t>원익QnC</t>
        </is>
      </c>
      <c r="C2292" t="inlineStr">
        <is>
          <t>074600</t>
        </is>
      </c>
      <c r="D2292" t="inlineStr">
        <is>
          <t>연결</t>
        </is>
      </c>
      <c r="E2292" t="inlineStr">
        <is>
          <t>2025Q2</t>
        </is>
      </c>
      <c r="F2292" s="2" t="n">
        <v>232915</v>
      </c>
      <c r="G2292" t="inlineStr"/>
      <c r="H2292" t="inlineStr"/>
      <c r="I2292" s="2" t="n">
        <v>14091</v>
      </c>
      <c r="J2292" t="inlineStr"/>
      <c r="K2292" t="inlineStr"/>
      <c r="L2292" s="2" t="n">
        <v>-11594</v>
      </c>
      <c r="M2292" t="inlineStr"/>
      <c r="N2292" t="inlineStr">
        <is>
          <t>20250812900448</t>
        </is>
      </c>
      <c r="O2292">
        <f>HYPERLINK("https://dart.fss.or.kr/dsaf001/main.do?rcpNo=20250812900448", "공시열람")</f>
        <v/>
      </c>
    </row>
    <row r="2293">
      <c r="A2293" t="inlineStr">
        <is>
          <t>2025-08-12</t>
        </is>
      </c>
      <c r="B2293" t="inlineStr">
        <is>
          <t>컴투스홀딩스</t>
        </is>
      </c>
      <c r="C2293" t="inlineStr">
        <is>
          <t>063080</t>
        </is>
      </c>
      <c r="D2293" t="inlineStr">
        <is>
          <t>연결</t>
        </is>
      </c>
      <c r="E2293" t="inlineStr">
        <is>
          <t>2025Q2</t>
        </is>
      </c>
      <c r="F2293" s="2" t="n">
        <v>27332</v>
      </c>
      <c r="G2293" t="inlineStr"/>
      <c r="H2293" t="inlineStr"/>
      <c r="I2293" s="2" t="n">
        <v>-2199</v>
      </c>
      <c r="J2293" t="inlineStr"/>
      <c r="K2293" t="inlineStr"/>
      <c r="L2293" s="2" t="n">
        <v>-6122</v>
      </c>
      <c r="M2293" t="inlineStr"/>
      <c r="N2293" t="inlineStr">
        <is>
          <t>20250812900050</t>
        </is>
      </c>
      <c r="O2293">
        <f>HYPERLINK("https://dart.fss.or.kr/dsaf001/main.do?rcpNo=20250812900050", "공시열람")</f>
        <v/>
      </c>
    </row>
    <row r="2294">
      <c r="A2294" t="inlineStr">
        <is>
          <t>2025-08-12</t>
        </is>
      </c>
      <c r="B2294" t="inlineStr">
        <is>
          <t>컴투스</t>
        </is>
      </c>
      <c r="C2294" t="inlineStr">
        <is>
          <t>078340</t>
        </is>
      </c>
      <c r="D2294" t="inlineStr">
        <is>
          <t>연결</t>
        </is>
      </c>
      <c r="E2294" t="inlineStr">
        <is>
          <t>2025Q2</t>
        </is>
      </c>
      <c r="F2294" s="2" t="n">
        <v>184819</v>
      </c>
      <c r="G2294" t="inlineStr"/>
      <c r="H2294" t="inlineStr"/>
      <c r="I2294" s="2" t="n">
        <v>1375</v>
      </c>
      <c r="J2294" t="inlineStr"/>
      <c r="K2294" t="inlineStr"/>
      <c r="L2294" s="2" t="n">
        <v>1691</v>
      </c>
      <c r="M2294" t="inlineStr"/>
      <c r="N2294" t="inlineStr">
        <is>
          <t>20250812900049</t>
        </is>
      </c>
      <c r="O2294">
        <f>HYPERLINK("https://dart.fss.or.kr/dsaf001/main.do?rcpNo=20250812900049", "공시열람")</f>
        <v/>
      </c>
    </row>
    <row r="2295">
      <c r="A2295" t="inlineStr">
        <is>
          <t>2025-08-11</t>
        </is>
      </c>
      <c r="B2295" t="inlineStr">
        <is>
          <t>심텍홀딩스</t>
        </is>
      </c>
      <c r="C2295" t="inlineStr">
        <is>
          <t>036710</t>
        </is>
      </c>
      <c r="D2295" t="inlineStr">
        <is>
          <t>연결</t>
        </is>
      </c>
      <c r="E2295" t="inlineStr">
        <is>
          <t>2025Q2</t>
        </is>
      </c>
      <c r="F2295" s="2" t="n">
        <v>368115</v>
      </c>
      <c r="G2295" t="inlineStr"/>
      <c r="H2295" t="inlineStr"/>
      <c r="I2295" s="2" t="n">
        <v>-3709</v>
      </c>
      <c r="J2295" t="inlineStr"/>
      <c r="K2295" t="inlineStr"/>
      <c r="L2295" s="2" t="n">
        <v>-9364</v>
      </c>
      <c r="M2295" t="inlineStr"/>
      <c r="N2295" t="inlineStr">
        <is>
          <t>20250811900560</t>
        </is>
      </c>
      <c r="O2295">
        <f>HYPERLINK("https://dart.fss.or.kr/dsaf001/main.do?rcpNo=20250811900560", "공시열람")</f>
        <v/>
      </c>
    </row>
    <row r="2296">
      <c r="A2296" t="inlineStr">
        <is>
          <t>2025-08-11</t>
        </is>
      </c>
      <c r="B2296" t="inlineStr">
        <is>
          <t>이스트소프트</t>
        </is>
      </c>
      <c r="C2296" t="inlineStr">
        <is>
          <t>047560</t>
        </is>
      </c>
      <c r="D2296" t="inlineStr">
        <is>
          <t>연결</t>
        </is>
      </c>
      <c r="E2296" t="inlineStr">
        <is>
          <t>2025Q2</t>
        </is>
      </c>
      <c r="F2296" s="2" t="n">
        <v>31211</v>
      </c>
      <c r="G2296" t="inlineStr"/>
      <c r="H2296" t="inlineStr"/>
      <c r="I2296" s="2" t="n">
        <v>81</v>
      </c>
      <c r="J2296" t="inlineStr"/>
      <c r="K2296" t="inlineStr"/>
      <c r="L2296" s="2" t="n">
        <v>-1706</v>
      </c>
      <c r="M2296" t="inlineStr"/>
      <c r="N2296" t="inlineStr">
        <is>
          <t>20250811900354</t>
        </is>
      </c>
      <c r="O2296">
        <f>HYPERLINK("https://dart.fss.or.kr/dsaf001/main.do?rcpNo=20250811900354", "공시열람")</f>
        <v/>
      </c>
    </row>
    <row r="2297">
      <c r="A2297" t="inlineStr">
        <is>
          <t>2025-08-11</t>
        </is>
      </c>
      <c r="B2297" t="inlineStr">
        <is>
          <t>코스메카코리아</t>
        </is>
      </c>
      <c r="C2297" t="inlineStr">
        <is>
          <t>241710</t>
        </is>
      </c>
      <c r="D2297" t="inlineStr">
        <is>
          <t>연결</t>
        </is>
      </c>
      <c r="E2297" t="inlineStr">
        <is>
          <t>2025Q2</t>
        </is>
      </c>
      <c r="F2297" s="2" t="n">
        <v>161734</v>
      </c>
      <c r="G2297" t="inlineStr"/>
      <c r="H2297" t="inlineStr"/>
      <c r="I2297" s="2" t="n">
        <v>23017</v>
      </c>
      <c r="J2297" t="inlineStr"/>
      <c r="K2297" t="inlineStr"/>
      <c r="L2297" s="2" t="n">
        <v>10796</v>
      </c>
      <c r="M2297" t="inlineStr"/>
      <c r="N2297" t="inlineStr">
        <is>
          <t>20250811900566</t>
        </is>
      </c>
      <c r="O2297">
        <f>HYPERLINK("https://dart.fss.or.kr/dsaf001/main.do?rcpNo=20250811900566", "공시열람")</f>
        <v/>
      </c>
    </row>
    <row r="2298">
      <c r="A2298" t="inlineStr">
        <is>
          <t>2025-08-11</t>
        </is>
      </c>
      <c r="B2298" t="inlineStr">
        <is>
          <t>케이티</t>
        </is>
      </c>
      <c r="C2298" t="inlineStr">
        <is>
          <t>030200</t>
        </is>
      </c>
      <c r="D2298" t="inlineStr">
        <is>
          <t>별도</t>
        </is>
      </c>
      <c r="E2298" t="inlineStr">
        <is>
          <t>2025Q2</t>
        </is>
      </c>
      <c r="F2298" s="2" t="n">
        <v>4772800</v>
      </c>
      <c r="G2298" t="n">
        <v>1.9</v>
      </c>
      <c r="H2298" t="n">
        <v>4.9</v>
      </c>
      <c r="I2298" s="2" t="n">
        <v>468700</v>
      </c>
      <c r="J2298" t="n">
        <v>17.2</v>
      </c>
      <c r="K2298" t="n">
        <v>30.6</v>
      </c>
      <c r="L2298" s="2" t="n">
        <v>358000</v>
      </c>
      <c r="M2298" t="n">
        <v>13.8</v>
      </c>
      <c r="N2298" t="inlineStr">
        <is>
          <t>20250811800119</t>
        </is>
      </c>
      <c r="O2298">
        <f>HYPERLINK("https://dart.fss.or.kr/dsaf001/main.do?rcpNo=20250811800119", "공시열람")</f>
        <v/>
      </c>
    </row>
    <row r="2299">
      <c r="A2299" t="inlineStr">
        <is>
          <t>2025-08-11</t>
        </is>
      </c>
      <c r="B2299" t="inlineStr">
        <is>
          <t>케이티</t>
        </is>
      </c>
      <c r="C2299" t="inlineStr">
        <is>
          <t>030200</t>
        </is>
      </c>
      <c r="D2299" t="inlineStr">
        <is>
          <t>연결</t>
        </is>
      </c>
      <c r="E2299" t="inlineStr">
        <is>
          <t>2025Q2</t>
        </is>
      </c>
      <c r="F2299" s="2" t="n">
        <v>7427400</v>
      </c>
      <c r="G2299" t="n">
        <v>8.5</v>
      </c>
      <c r="H2299" t="n">
        <v>13.5</v>
      </c>
      <c r="I2299" s="2" t="n">
        <v>1014800</v>
      </c>
      <c r="J2299" t="n">
        <v>47.3</v>
      </c>
      <c r="K2299" t="n">
        <v>105.4</v>
      </c>
      <c r="L2299" s="2" t="n">
        <v>733300</v>
      </c>
      <c r="M2299" t="n">
        <v>78.59999999999999</v>
      </c>
      <c r="N2299" t="inlineStr">
        <is>
          <t>20250811800122</t>
        </is>
      </c>
      <c r="O2299">
        <f>HYPERLINK("https://dart.fss.or.kr/dsaf001/main.do?rcpNo=20250811800122", "공시열람")</f>
        <v/>
      </c>
    </row>
    <row r="2300">
      <c r="A2300" t="inlineStr">
        <is>
          <t>2025-08-11</t>
        </is>
      </c>
      <c r="B2300" t="inlineStr">
        <is>
          <t>메디톡스</t>
        </is>
      </c>
      <c r="C2300" t="inlineStr">
        <is>
          <t>086900</t>
        </is>
      </c>
      <c r="D2300" t="inlineStr">
        <is>
          <t>연결</t>
        </is>
      </c>
      <c r="E2300" t="inlineStr">
        <is>
          <t>2025Q2</t>
        </is>
      </c>
      <c r="F2300" s="2" t="n">
        <v>61647</v>
      </c>
      <c r="G2300" t="inlineStr"/>
      <c r="H2300" t="inlineStr"/>
      <c r="I2300" s="2" t="n">
        <v>6318</v>
      </c>
      <c r="J2300" t="inlineStr"/>
      <c r="K2300" t="inlineStr"/>
      <c r="L2300" s="2" t="n">
        <v>8174</v>
      </c>
      <c r="M2300" t="inlineStr"/>
      <c r="N2300" t="inlineStr">
        <is>
          <t>20250811900244</t>
        </is>
      </c>
      <c r="O2300">
        <f>HYPERLINK("https://dart.fss.or.kr/dsaf001/main.do?rcpNo=20250811900244", "공시열람")</f>
        <v/>
      </c>
    </row>
    <row r="2301">
      <c r="A2301" t="inlineStr">
        <is>
          <t>2025-08-11</t>
        </is>
      </c>
      <c r="B2301" t="inlineStr">
        <is>
          <t>클래시스</t>
        </is>
      </c>
      <c r="C2301" t="inlineStr">
        <is>
          <t>214150</t>
        </is>
      </c>
      <c r="D2301" t="inlineStr">
        <is>
          <t>연결</t>
        </is>
      </c>
      <c r="E2301" t="inlineStr">
        <is>
          <t>2025Q2</t>
        </is>
      </c>
      <c r="F2301" s="2" t="n">
        <v>83284</v>
      </c>
      <c r="G2301" t="inlineStr"/>
      <c r="H2301" t="inlineStr"/>
      <c r="I2301" s="2" t="n">
        <v>43011</v>
      </c>
      <c r="J2301" t="inlineStr"/>
      <c r="K2301" t="inlineStr"/>
      <c r="L2301" s="2" t="n">
        <v>26473</v>
      </c>
      <c r="M2301" t="inlineStr"/>
      <c r="N2301" t="inlineStr">
        <is>
          <t>20250811900276</t>
        </is>
      </c>
      <c r="O2301">
        <f>HYPERLINK("https://dart.fss.or.kr/dsaf001/main.do?rcpNo=20250811900276", "공시열람")</f>
        <v/>
      </c>
    </row>
    <row r="2302">
      <c r="A2302" t="inlineStr">
        <is>
          <t>2025-08-11</t>
        </is>
      </c>
      <c r="B2302" t="inlineStr">
        <is>
          <t>키다리스튜디오</t>
        </is>
      </c>
      <c r="C2302" t="inlineStr">
        <is>
          <t>020120</t>
        </is>
      </c>
      <c r="D2302" t="inlineStr">
        <is>
          <t>연결</t>
        </is>
      </c>
      <c r="E2302" t="inlineStr">
        <is>
          <t>2025Q2</t>
        </is>
      </c>
      <c r="F2302" s="2" t="n">
        <v>51767</v>
      </c>
      <c r="G2302" t="n">
        <v>7.3</v>
      </c>
      <c r="H2302" t="n">
        <v>4.01</v>
      </c>
      <c r="I2302" s="2" t="n">
        <v>1881</v>
      </c>
      <c r="J2302" t="n">
        <v>269.21</v>
      </c>
      <c r="K2302" t="n">
        <v>156.64</v>
      </c>
      <c r="L2302" s="2" t="n">
        <v>523</v>
      </c>
      <c r="M2302" t="inlineStr"/>
      <c r="N2302" t="inlineStr">
        <is>
          <t>20250811800285</t>
        </is>
      </c>
      <c r="O2302">
        <f>HYPERLINK("https://dart.fss.or.kr/dsaf001/main.do?rcpNo=20250811800285", "공시열람")</f>
        <v/>
      </c>
    </row>
    <row r="2303">
      <c r="A2303" t="inlineStr">
        <is>
          <t>2025-08-11</t>
        </is>
      </c>
      <c r="B2303" t="inlineStr">
        <is>
          <t>그린리소스</t>
        </is>
      </c>
      <c r="C2303" t="inlineStr">
        <is>
          <t>402490</t>
        </is>
      </c>
      <c r="D2303" t="inlineStr">
        <is>
          <t>별도</t>
        </is>
      </c>
      <c r="E2303" t="inlineStr">
        <is>
          <t>2025Q2</t>
        </is>
      </c>
      <c r="F2303" s="2" t="n">
        <v>45746</v>
      </c>
      <c r="G2303" t="inlineStr"/>
      <c r="H2303" t="inlineStr"/>
      <c r="I2303" s="2" t="n">
        <v>1887</v>
      </c>
      <c r="J2303" t="inlineStr"/>
      <c r="K2303" t="inlineStr"/>
      <c r="L2303" s="2" t="n">
        <v>4345</v>
      </c>
      <c r="M2303" t="inlineStr"/>
      <c r="N2303" t="inlineStr">
        <is>
          <t>20250811900329</t>
        </is>
      </c>
      <c r="O2303">
        <f>HYPERLINK("https://dart.fss.or.kr/dsaf001/main.do?rcpNo=20250811900329", "공시열람")</f>
        <v/>
      </c>
    </row>
    <row r="2304">
      <c r="A2304" t="inlineStr">
        <is>
          <t>2025-08-11</t>
        </is>
      </c>
      <c r="B2304" t="inlineStr">
        <is>
          <t>하이록코리아</t>
        </is>
      </c>
      <c r="C2304" t="inlineStr">
        <is>
          <t>013030</t>
        </is>
      </c>
      <c r="D2304" t="inlineStr">
        <is>
          <t>연결</t>
        </is>
      </c>
      <c r="E2304" t="inlineStr">
        <is>
          <t>2025Q2</t>
        </is>
      </c>
      <c r="F2304" s="2" t="n">
        <v>54333</v>
      </c>
      <c r="G2304" t="inlineStr"/>
      <c r="H2304" t="inlineStr"/>
      <c r="I2304" s="2" t="n">
        <v>16429</v>
      </c>
      <c r="J2304" t="inlineStr"/>
      <c r="K2304" t="inlineStr"/>
      <c r="L2304" s="2" t="n">
        <v>11153</v>
      </c>
      <c r="M2304" t="inlineStr"/>
      <c r="N2304" t="inlineStr">
        <is>
          <t>20250811900457</t>
        </is>
      </c>
      <c r="O2304">
        <f>HYPERLINK("https://dart.fss.or.kr/dsaf001/main.do?rcpNo=20250811900457", "공시열람")</f>
        <v/>
      </c>
    </row>
    <row r="2305">
      <c r="A2305" t="inlineStr">
        <is>
          <t>2025-08-11</t>
        </is>
      </c>
      <c r="B2305" t="inlineStr">
        <is>
          <t>실리콘투</t>
        </is>
      </c>
      <c r="C2305" t="inlineStr">
        <is>
          <t>257720</t>
        </is>
      </c>
      <c r="D2305" t="inlineStr">
        <is>
          <t>연결</t>
        </is>
      </c>
      <c r="E2305" t="inlineStr">
        <is>
          <t>2025Q2</t>
        </is>
      </c>
      <c r="F2305" s="2" t="n">
        <v>265286</v>
      </c>
      <c r="G2305" t="inlineStr"/>
      <c r="H2305" t="inlineStr"/>
      <c r="I2305" s="2" t="n">
        <v>52182</v>
      </c>
      <c r="J2305" t="inlineStr"/>
      <c r="K2305" t="inlineStr"/>
      <c r="L2305" s="2" t="n">
        <v>35599</v>
      </c>
      <c r="M2305" t="inlineStr"/>
      <c r="N2305" t="inlineStr">
        <is>
          <t>20250811900376</t>
        </is>
      </c>
      <c r="O2305">
        <f>HYPERLINK("https://dart.fss.or.kr/dsaf001/main.do?rcpNo=20250811900376", "공시열람")</f>
        <v/>
      </c>
    </row>
    <row r="2306">
      <c r="A2306" t="inlineStr">
        <is>
          <t>2025-08-11</t>
        </is>
      </c>
      <c r="B2306" t="inlineStr">
        <is>
          <t>잉글우드랩</t>
        </is>
      </c>
      <c r="C2306" t="inlineStr">
        <is>
          <t>950140</t>
        </is>
      </c>
      <c r="D2306" t="inlineStr">
        <is>
          <t>연결</t>
        </is>
      </c>
      <c r="E2306" t="inlineStr">
        <is>
          <t>2025Q2</t>
        </is>
      </c>
      <c r="F2306" s="2" t="n">
        <v>57488</v>
      </c>
      <c r="G2306" t="inlineStr"/>
      <c r="H2306" t="inlineStr"/>
      <c r="I2306" s="2" t="n">
        <v>10065</v>
      </c>
      <c r="J2306" t="inlineStr"/>
      <c r="K2306" t="inlineStr"/>
      <c r="L2306" s="2" t="n">
        <v>2919</v>
      </c>
      <c r="M2306" t="inlineStr"/>
      <c r="N2306" t="inlineStr">
        <is>
          <t>20250811900571</t>
        </is>
      </c>
      <c r="O2306">
        <f>HYPERLINK("https://dart.fss.or.kr/dsaf001/main.do?rcpNo=20250811900571", "공시열람")</f>
        <v/>
      </c>
    </row>
    <row r="2307">
      <c r="A2307" t="inlineStr">
        <is>
          <t>2025-08-11</t>
        </is>
      </c>
      <c r="B2307" t="inlineStr">
        <is>
          <t>코스맥스</t>
        </is>
      </c>
      <c r="C2307" t="inlineStr">
        <is>
          <t>192820</t>
        </is>
      </c>
      <c r="D2307" t="inlineStr">
        <is>
          <t>연결</t>
        </is>
      </c>
      <c r="E2307" t="inlineStr">
        <is>
          <t>2025Q2</t>
        </is>
      </c>
      <c r="F2307" s="2" t="n">
        <v>623561</v>
      </c>
      <c r="G2307" t="n">
        <v>5.94</v>
      </c>
      <c r="H2307" t="n">
        <v>13.08</v>
      </c>
      <c r="I2307" s="2" t="n">
        <v>60813</v>
      </c>
      <c r="J2307" t="n">
        <v>18.44</v>
      </c>
      <c r="K2307" t="n">
        <v>30.19</v>
      </c>
      <c r="L2307" s="2" t="n">
        <v>21838</v>
      </c>
      <c r="M2307" t="n">
        <v>-38.13</v>
      </c>
      <c r="N2307" t="inlineStr">
        <is>
          <t>20250811800469</t>
        </is>
      </c>
      <c r="O2307">
        <f>HYPERLINK("https://dart.fss.or.kr/dsaf001/main.do?rcpNo=20250811800469", "공시열람")</f>
        <v/>
      </c>
    </row>
    <row r="2308">
      <c r="A2308" t="inlineStr">
        <is>
          <t>2025-08-11</t>
        </is>
      </c>
      <c r="B2308" t="inlineStr">
        <is>
          <t>한샘</t>
        </is>
      </c>
      <c r="C2308" t="inlineStr">
        <is>
          <t>009240</t>
        </is>
      </c>
      <c r="D2308" t="inlineStr">
        <is>
          <t>연결</t>
        </is>
      </c>
      <c r="E2308" t="inlineStr">
        <is>
          <t>2025Q2</t>
        </is>
      </c>
      <c r="F2308" s="2" t="n">
        <v>459436</v>
      </c>
      <c r="G2308" t="n">
        <v>3.6</v>
      </c>
      <c r="H2308" t="n">
        <v>-3.9</v>
      </c>
      <c r="I2308" s="2" t="n">
        <v>2256</v>
      </c>
      <c r="J2308" t="n">
        <v>-65</v>
      </c>
      <c r="K2308" t="n">
        <v>-68.2</v>
      </c>
      <c r="L2308" s="2" t="n">
        <v>32153</v>
      </c>
      <c r="M2308" t="n">
        <v>137.5</v>
      </c>
      <c r="N2308" t="inlineStr">
        <is>
          <t>20250811800484</t>
        </is>
      </c>
      <c r="O2308">
        <f>HYPERLINK("https://dart.fss.or.kr/dsaf001/main.do?rcpNo=20250811800484", "공시열람")</f>
        <v/>
      </c>
    </row>
    <row r="2309">
      <c r="A2309" t="inlineStr">
        <is>
          <t>2025-08-11</t>
        </is>
      </c>
      <c r="B2309" t="inlineStr">
        <is>
          <t>시프트업</t>
        </is>
      </c>
      <c r="C2309" t="inlineStr">
        <is>
          <t>462870</t>
        </is>
      </c>
      <c r="D2309" t="inlineStr">
        <is>
          <t>별도</t>
        </is>
      </c>
      <c r="E2309" t="inlineStr">
        <is>
          <t>2025Q2</t>
        </is>
      </c>
      <c r="F2309" s="2" t="n">
        <v>112382</v>
      </c>
      <c r="G2309" t="n">
        <v>166.1</v>
      </c>
      <c r="H2309" t="n">
        <v>72.40000000000001</v>
      </c>
      <c r="I2309" s="2" t="n">
        <v>68215</v>
      </c>
      <c r="J2309" t="n">
        <v>159.9</v>
      </c>
      <c r="K2309" t="n">
        <v>51.6</v>
      </c>
      <c r="L2309" s="2" t="n">
        <v>51306</v>
      </c>
      <c r="M2309" t="n">
        <v>27.4</v>
      </c>
      <c r="N2309" t="inlineStr">
        <is>
          <t>20250811800490</t>
        </is>
      </c>
      <c r="O2309">
        <f>HYPERLINK("https://dart.fss.or.kr/dsaf001/main.do?rcpNo=20250811800490", "공시열람")</f>
        <v/>
      </c>
    </row>
    <row r="2310">
      <c r="A2310" t="inlineStr">
        <is>
          <t>2025-08-11</t>
        </is>
      </c>
      <c r="B2310" t="inlineStr">
        <is>
          <t>태광</t>
        </is>
      </c>
      <c r="C2310" t="inlineStr">
        <is>
          <t>023160</t>
        </is>
      </c>
      <c r="D2310" t="inlineStr">
        <is>
          <t>연결</t>
        </is>
      </c>
      <c r="E2310" t="inlineStr">
        <is>
          <t>2025Q2</t>
        </is>
      </c>
      <c r="F2310" s="2" t="n">
        <v>72316</v>
      </c>
      <c r="G2310" t="inlineStr"/>
      <c r="H2310" t="inlineStr"/>
      <c r="I2310" s="2" t="n">
        <v>7657</v>
      </c>
      <c r="J2310" t="inlineStr"/>
      <c r="K2310" t="inlineStr"/>
      <c r="L2310" s="2" t="n">
        <v>13382</v>
      </c>
      <c r="M2310" t="inlineStr"/>
      <c r="N2310" t="inlineStr">
        <is>
          <t>20250811900520</t>
        </is>
      </c>
      <c r="O2310">
        <f>HYPERLINK("https://dart.fss.or.kr/dsaf001/main.do?rcpNo=20250811900520", "공시열람")</f>
        <v/>
      </c>
    </row>
    <row r="2311">
      <c r="A2311" t="inlineStr">
        <is>
          <t>2025-08-11</t>
        </is>
      </c>
      <c r="B2311" t="inlineStr">
        <is>
          <t>서울바이오시스</t>
        </is>
      </c>
      <c r="C2311" t="inlineStr">
        <is>
          <t>092190</t>
        </is>
      </c>
      <c r="D2311" t="inlineStr">
        <is>
          <t>연결</t>
        </is>
      </c>
      <c r="E2311" t="inlineStr">
        <is>
          <t>2025Q2</t>
        </is>
      </c>
      <c r="F2311" s="2" t="n">
        <v>188143</v>
      </c>
      <c r="G2311" t="inlineStr"/>
      <c r="H2311" t="inlineStr"/>
      <c r="I2311" s="2" t="n">
        <v>-917</v>
      </c>
      <c r="J2311" t="inlineStr"/>
      <c r="K2311" t="inlineStr"/>
      <c r="L2311" s="2" t="n">
        <v>-3696</v>
      </c>
      <c r="M2311" t="inlineStr"/>
      <c r="N2311" t="inlineStr">
        <is>
          <t>20250811900505</t>
        </is>
      </c>
      <c r="O2311">
        <f>HYPERLINK("https://dart.fss.or.kr/dsaf001/main.do?rcpNo=20250811900505", "공시열람")</f>
        <v/>
      </c>
    </row>
    <row r="2312">
      <c r="A2312" t="inlineStr">
        <is>
          <t>2025-08-11</t>
        </is>
      </c>
      <c r="B2312" t="inlineStr">
        <is>
          <t>레이언스</t>
        </is>
      </c>
      <c r="C2312" t="inlineStr">
        <is>
          <t>228850</t>
        </is>
      </c>
      <c r="D2312" t="inlineStr">
        <is>
          <t>연결</t>
        </is>
      </c>
      <c r="E2312" t="inlineStr">
        <is>
          <t>2025Q2</t>
        </is>
      </c>
      <c r="F2312" s="2" t="n">
        <v>28993</v>
      </c>
      <c r="G2312" t="inlineStr"/>
      <c r="H2312" t="inlineStr"/>
      <c r="I2312" s="2" t="n">
        <v>-310</v>
      </c>
      <c r="J2312" t="inlineStr"/>
      <c r="K2312" t="inlineStr"/>
      <c r="L2312" s="2" t="n">
        <v>-1259</v>
      </c>
      <c r="M2312" t="inlineStr"/>
      <c r="N2312" t="inlineStr">
        <is>
          <t>20250811900538</t>
        </is>
      </c>
      <c r="O2312">
        <f>HYPERLINK("https://dart.fss.or.kr/dsaf001/main.do?rcpNo=20250811900538", "공시열람")</f>
        <v/>
      </c>
    </row>
    <row r="2313">
      <c r="A2313" t="inlineStr">
        <is>
          <t>2025-08-11</t>
        </is>
      </c>
      <c r="B2313" t="inlineStr">
        <is>
          <t>LX홀딩스</t>
        </is>
      </c>
      <c r="C2313" t="inlineStr">
        <is>
          <t>383800</t>
        </is>
      </c>
      <c r="D2313" t="inlineStr">
        <is>
          <t>연결</t>
        </is>
      </c>
      <c r="E2313" t="inlineStr">
        <is>
          <t>2025Q2</t>
        </is>
      </c>
      <c r="F2313" s="2" t="n">
        <v>10136</v>
      </c>
      <c r="G2313" t="n">
        <v>0.7</v>
      </c>
      <c r="H2313" t="n">
        <v>-4.8</v>
      </c>
      <c r="I2313" s="2" t="n">
        <v>42462</v>
      </c>
      <c r="J2313" t="n">
        <v>-40.5</v>
      </c>
      <c r="K2313" t="n">
        <v>-27.6</v>
      </c>
      <c r="L2313" s="2" t="n">
        <v>43628</v>
      </c>
      <c r="M2313" t="n">
        <v>-27</v>
      </c>
      <c r="N2313" t="inlineStr">
        <is>
          <t>20250811800780</t>
        </is>
      </c>
      <c r="O2313">
        <f>HYPERLINK("https://dart.fss.or.kr/dsaf001/main.do?rcpNo=20250811800780", "공시열람")</f>
        <v/>
      </c>
    </row>
    <row r="2314">
      <c r="A2314" t="inlineStr">
        <is>
          <t>2025-08-11</t>
        </is>
      </c>
      <c r="B2314" t="inlineStr">
        <is>
          <t>바텍</t>
        </is>
      </c>
      <c r="C2314" t="inlineStr">
        <is>
          <t>043150</t>
        </is>
      </c>
      <c r="D2314" t="inlineStr">
        <is>
          <t>연결</t>
        </is>
      </c>
      <c r="E2314" t="inlineStr">
        <is>
          <t>2025Q2</t>
        </is>
      </c>
      <c r="F2314" s="2" t="n">
        <v>110618</v>
      </c>
      <c r="G2314" t="inlineStr"/>
      <c r="H2314" t="inlineStr"/>
      <c r="I2314" s="2" t="n">
        <v>16877</v>
      </c>
      <c r="J2314" t="inlineStr"/>
      <c r="K2314" t="inlineStr"/>
      <c r="L2314" s="2" t="n">
        <v>7381</v>
      </c>
      <c r="M2314" t="inlineStr"/>
      <c r="N2314" t="inlineStr">
        <is>
          <t>20250811900531</t>
        </is>
      </c>
      <c r="O2314">
        <f>HYPERLINK("https://dart.fss.or.kr/dsaf001/main.do?rcpNo=20250811900531", "공시열람")</f>
        <v/>
      </c>
    </row>
    <row r="2315">
      <c r="A2315" t="inlineStr">
        <is>
          <t>2025-08-08</t>
        </is>
      </c>
      <c r="B2315" t="inlineStr">
        <is>
          <t>젝시믹스</t>
        </is>
      </c>
      <c r="C2315" t="inlineStr">
        <is>
          <t>337930</t>
        </is>
      </c>
      <c r="D2315" t="inlineStr">
        <is>
          <t>연결</t>
        </is>
      </c>
      <c r="E2315" t="inlineStr">
        <is>
          <t>2025Q2</t>
        </is>
      </c>
      <c r="F2315" s="2" t="n">
        <v>74574</v>
      </c>
      <c r="G2315" t="inlineStr"/>
      <c r="H2315" t="inlineStr"/>
      <c r="I2315" s="2" t="n">
        <v>7552</v>
      </c>
      <c r="J2315" t="inlineStr"/>
      <c r="K2315" t="inlineStr"/>
      <c r="L2315" s="2" t="n">
        <v>5459</v>
      </c>
      <c r="M2315" t="inlineStr"/>
      <c r="N2315" t="inlineStr">
        <is>
          <t>20250808900546</t>
        </is>
      </c>
      <c r="O2315">
        <f>HYPERLINK("https://dart.fss.or.kr/dsaf001/main.do?rcpNo=20250808900546", "공시열람")</f>
        <v/>
      </c>
    </row>
    <row r="2316">
      <c r="A2316" t="inlineStr">
        <is>
          <t>2025-08-08</t>
        </is>
      </c>
      <c r="B2316" t="inlineStr">
        <is>
          <t>코웨이</t>
        </is>
      </c>
      <c r="C2316" t="inlineStr">
        <is>
          <t>021240</t>
        </is>
      </c>
      <c r="D2316" t="inlineStr">
        <is>
          <t>연결</t>
        </is>
      </c>
      <c r="E2316" t="inlineStr">
        <is>
          <t>2025Q2</t>
        </is>
      </c>
      <c r="F2316" s="2" t="n">
        <v>1258875</v>
      </c>
      <c r="G2316" t="inlineStr"/>
      <c r="H2316" t="inlineStr"/>
      <c r="I2316" s="2" t="n">
        <v>242721</v>
      </c>
      <c r="J2316" t="inlineStr"/>
      <c r="K2316" t="inlineStr"/>
      <c r="L2316" s="2" t="n">
        <v>155507</v>
      </c>
      <c r="M2316" t="inlineStr"/>
      <c r="N2316" t="inlineStr">
        <is>
          <t>20250808800099</t>
        </is>
      </c>
      <c r="O2316">
        <f>HYPERLINK("https://dart.fss.or.kr/dsaf001/main.do?rcpNo=20250808800099", "공시열람")</f>
        <v/>
      </c>
    </row>
    <row r="2317">
      <c r="A2317" t="inlineStr">
        <is>
          <t>2025-08-08</t>
        </is>
      </c>
      <c r="B2317" t="inlineStr">
        <is>
          <t>YG PLUS</t>
        </is>
      </c>
      <c r="C2317" t="inlineStr">
        <is>
          <t>037270</t>
        </is>
      </c>
      <c r="D2317" t="inlineStr">
        <is>
          <t>연결</t>
        </is>
      </c>
      <c r="E2317" t="inlineStr">
        <is>
          <t>2025Q2</t>
        </is>
      </c>
      <c r="F2317" s="2" t="n">
        <v>48323</v>
      </c>
      <c r="G2317" t="n">
        <v>-18.11</v>
      </c>
      <c r="H2317" t="n">
        <v>0.48</v>
      </c>
      <c r="I2317" s="2" t="n">
        <v>4191</v>
      </c>
      <c r="J2317" t="n">
        <v>-51.93</v>
      </c>
      <c r="K2317" t="n">
        <v>1030.08</v>
      </c>
      <c r="L2317" s="2" t="n">
        <v>4539</v>
      </c>
      <c r="M2317" t="n">
        <v>108.25</v>
      </c>
      <c r="N2317" t="inlineStr">
        <is>
          <t>20250808800137</t>
        </is>
      </c>
      <c r="O2317">
        <f>HYPERLINK("https://dart.fss.or.kr/dsaf001/main.do?rcpNo=20250808800137", "공시열람")</f>
        <v/>
      </c>
    </row>
    <row r="2318">
      <c r="A2318" t="inlineStr">
        <is>
          <t>2025-08-08</t>
        </is>
      </c>
      <c r="B2318" t="inlineStr">
        <is>
          <t>티비에이치글로벌</t>
        </is>
      </c>
      <c r="C2318" t="inlineStr">
        <is>
          <t>084870</t>
        </is>
      </c>
      <c r="D2318" t="inlineStr">
        <is>
          <t>연결</t>
        </is>
      </c>
      <c r="E2318" t="inlineStr">
        <is>
          <t>2025Q2</t>
        </is>
      </c>
      <c r="F2318" s="2" t="n">
        <v>47849</v>
      </c>
      <c r="G2318" t="n">
        <v>18.3</v>
      </c>
      <c r="H2318" t="n">
        <v>-4.1</v>
      </c>
      <c r="I2318" s="2" t="n">
        <v>3754</v>
      </c>
      <c r="J2318" t="inlineStr"/>
      <c r="K2318" t="n">
        <v>24.1</v>
      </c>
      <c r="L2318" s="2" t="n">
        <v>3925</v>
      </c>
      <c r="M2318" t="n">
        <v>88.7</v>
      </c>
      <c r="N2318" t="inlineStr">
        <is>
          <t>20250808800161</t>
        </is>
      </c>
      <c r="O2318">
        <f>HYPERLINK("https://dart.fss.or.kr/dsaf001/main.do?rcpNo=20250808800161", "공시열람")</f>
        <v/>
      </c>
    </row>
    <row r="2319">
      <c r="A2319" t="inlineStr">
        <is>
          <t>2025-08-08</t>
        </is>
      </c>
      <c r="B2319" t="inlineStr">
        <is>
          <t>롯데케미칼</t>
        </is>
      </c>
      <c r="C2319" t="inlineStr">
        <is>
          <t>011170</t>
        </is>
      </c>
      <c r="D2319" t="inlineStr">
        <is>
          <t>연결</t>
        </is>
      </c>
      <c r="E2319" t="inlineStr">
        <is>
          <t>2025Q2</t>
        </is>
      </c>
      <c r="F2319" s="2" t="n">
        <v>4197070</v>
      </c>
      <c r="G2319" t="n">
        <v>-12.4</v>
      </c>
      <c r="H2319" t="n">
        <v>-17.5</v>
      </c>
      <c r="I2319" s="2" t="n">
        <v>-244880</v>
      </c>
      <c r="J2319" t="n">
        <v>-85.2</v>
      </c>
      <c r="K2319" t="n">
        <v>-101.9</v>
      </c>
      <c r="L2319" s="2" t="n">
        <v>-471256</v>
      </c>
      <c r="M2319" t="n">
        <v>-339.9</v>
      </c>
      <c r="N2319" t="inlineStr">
        <is>
          <t>20250808800369</t>
        </is>
      </c>
      <c r="O2319">
        <f>HYPERLINK("https://dart.fss.or.kr/dsaf001/main.do?rcpNo=20250808800369", "공시열람")</f>
        <v/>
      </c>
    </row>
    <row r="2320">
      <c r="A2320" t="inlineStr">
        <is>
          <t>2025-08-08</t>
        </is>
      </c>
      <c r="B2320" t="inlineStr">
        <is>
          <t>젝시믹스</t>
        </is>
      </c>
      <c r="C2320" t="inlineStr">
        <is>
          <t>337930</t>
        </is>
      </c>
      <c r="D2320" t="inlineStr">
        <is>
          <t>별도</t>
        </is>
      </c>
      <c r="E2320" t="inlineStr">
        <is>
          <t>2025Q2</t>
        </is>
      </c>
      <c r="F2320" s="2" t="n">
        <v>70654</v>
      </c>
      <c r="G2320" t="inlineStr"/>
      <c r="H2320" t="inlineStr"/>
      <c r="I2320" s="2" t="n">
        <v>8664</v>
      </c>
      <c r="J2320" t="inlineStr"/>
      <c r="K2320" t="inlineStr"/>
      <c r="L2320" s="2" t="n">
        <v>6280</v>
      </c>
      <c r="M2320" t="inlineStr"/>
      <c r="N2320" t="inlineStr">
        <is>
          <t>20250808900598</t>
        </is>
      </c>
      <c r="O2320">
        <f>HYPERLINK("https://dart.fss.or.kr/dsaf001/main.do?rcpNo=20250808900598", "공시열람")</f>
        <v/>
      </c>
    </row>
    <row r="2321">
      <c r="A2321" t="inlineStr">
        <is>
          <t>2025-08-08</t>
        </is>
      </c>
      <c r="B2321" t="inlineStr">
        <is>
          <t>NAVER</t>
        </is>
      </c>
      <c r="C2321" t="inlineStr">
        <is>
          <t>035420</t>
        </is>
      </c>
      <c r="D2321" t="inlineStr">
        <is>
          <t>연결</t>
        </is>
      </c>
      <c r="E2321" t="inlineStr">
        <is>
          <t>2025Q2</t>
        </is>
      </c>
      <c r="F2321" s="2" t="n">
        <v>2915100</v>
      </c>
      <c r="G2321" t="n">
        <v>4.6</v>
      </c>
      <c r="H2321" t="n">
        <v>11.7</v>
      </c>
      <c r="I2321" s="2" t="n">
        <v>521600</v>
      </c>
      <c r="J2321" t="n">
        <v>3.2</v>
      </c>
      <c r="K2321" t="n">
        <v>10.3</v>
      </c>
      <c r="L2321" s="2" t="n">
        <v>497400</v>
      </c>
      <c r="M2321" t="n">
        <v>49.8</v>
      </c>
      <c r="N2321" t="inlineStr">
        <is>
          <t>20250808800015</t>
        </is>
      </c>
      <c r="O2321">
        <f>HYPERLINK("https://dart.fss.or.kr/dsaf001/main.do?rcpNo=20250808800015", "공시열람")</f>
        <v/>
      </c>
    </row>
    <row r="2322">
      <c r="A2322" t="inlineStr">
        <is>
          <t>2025-08-08</t>
        </is>
      </c>
      <c r="B2322" t="inlineStr">
        <is>
          <t>NAVER</t>
        </is>
      </c>
      <c r="C2322" t="inlineStr">
        <is>
          <t>035420</t>
        </is>
      </c>
      <c r="D2322" t="inlineStr">
        <is>
          <t>별도</t>
        </is>
      </c>
      <c r="E2322" t="inlineStr">
        <is>
          <t>2025Q2</t>
        </is>
      </c>
      <c r="F2322" s="2" t="n">
        <v>1705400</v>
      </c>
      <c r="G2322" t="n">
        <v>5.4</v>
      </c>
      <c r="H2322" t="n">
        <v>12.4</v>
      </c>
      <c r="I2322" s="2" t="n">
        <v>490300</v>
      </c>
      <c r="J2322" t="n">
        <v>1.5</v>
      </c>
      <c r="K2322" t="n">
        <v>-1.4</v>
      </c>
      <c r="L2322" s="2" t="n">
        <v>453900</v>
      </c>
      <c r="M2322" t="n">
        <v>52.1</v>
      </c>
      <c r="N2322" t="inlineStr">
        <is>
          <t>20250808800018</t>
        </is>
      </c>
      <c r="O2322">
        <f>HYPERLINK("https://dart.fss.or.kr/dsaf001/main.do?rcpNo=20250808800018", "공시열람")</f>
        <v/>
      </c>
    </row>
    <row r="2323">
      <c r="A2323" t="inlineStr">
        <is>
          <t>2025-08-08</t>
        </is>
      </c>
      <c r="B2323" t="inlineStr">
        <is>
          <t>케이티스카이라이프</t>
        </is>
      </c>
      <c r="C2323" t="inlineStr">
        <is>
          <t>053210</t>
        </is>
      </c>
      <c r="D2323" t="inlineStr">
        <is>
          <t>별도</t>
        </is>
      </c>
      <c r="E2323" t="inlineStr">
        <is>
          <t>2025Q2</t>
        </is>
      </c>
      <c r="F2323" s="2" t="n">
        <v>170422</v>
      </c>
      <c r="G2323" t="n">
        <v>0.5</v>
      </c>
      <c r="H2323" t="n">
        <v>-3.3</v>
      </c>
      <c r="I2323" s="2" t="n">
        <v>14468</v>
      </c>
      <c r="J2323" t="n">
        <v>10</v>
      </c>
      <c r="K2323" t="n">
        <v>13.7</v>
      </c>
      <c r="L2323" s="2" t="n">
        <v>10622</v>
      </c>
      <c r="M2323" t="n">
        <v>14.4</v>
      </c>
      <c r="N2323" t="inlineStr">
        <is>
          <t>20250808800025</t>
        </is>
      </c>
      <c r="O2323">
        <f>HYPERLINK("https://dart.fss.or.kr/dsaf001/main.do?rcpNo=20250808800025", "공시열람")</f>
        <v/>
      </c>
    </row>
    <row r="2324">
      <c r="A2324" t="inlineStr">
        <is>
          <t>2025-08-08</t>
        </is>
      </c>
      <c r="B2324" t="inlineStr">
        <is>
          <t>케이티스카이라이프</t>
        </is>
      </c>
      <c r="C2324" t="inlineStr">
        <is>
          <t>053210</t>
        </is>
      </c>
      <c r="D2324" t="inlineStr">
        <is>
          <t>연결</t>
        </is>
      </c>
      <c r="E2324" t="inlineStr">
        <is>
          <t>2025Q2</t>
        </is>
      </c>
      <c r="F2324" s="2" t="n">
        <v>247210</v>
      </c>
      <c r="G2324" t="n">
        <v>1.8</v>
      </c>
      <c r="H2324" t="n">
        <v>-2.9</v>
      </c>
      <c r="I2324" s="2" t="n">
        <v>12958</v>
      </c>
      <c r="J2324" t="n">
        <v>153.8</v>
      </c>
      <c r="K2324" t="inlineStr"/>
      <c r="L2324" s="2" t="n">
        <v>10936</v>
      </c>
      <c r="M2324" t="inlineStr"/>
      <c r="N2324" t="inlineStr">
        <is>
          <t>20250808800028</t>
        </is>
      </c>
      <c r="O2324">
        <f>HYPERLINK("https://dart.fss.or.kr/dsaf001/main.do?rcpNo=20250808800028", "공시열람")</f>
        <v/>
      </c>
    </row>
    <row r="2325">
      <c r="A2325" t="inlineStr">
        <is>
          <t>2025-08-08</t>
        </is>
      </c>
      <c r="B2325" t="inlineStr">
        <is>
          <t>네오위즈</t>
        </is>
      </c>
      <c r="C2325" t="inlineStr">
        <is>
          <t>095660</t>
        </is>
      </c>
      <c r="D2325" t="inlineStr">
        <is>
          <t>연결</t>
        </is>
      </c>
      <c r="E2325" t="inlineStr">
        <is>
          <t>2025Q2</t>
        </is>
      </c>
      <c r="F2325" s="2" t="n">
        <v>110010</v>
      </c>
      <c r="G2325" t="inlineStr"/>
      <c r="H2325" t="inlineStr"/>
      <c r="I2325" s="2" t="n">
        <v>18586</v>
      </c>
      <c r="J2325" t="inlineStr"/>
      <c r="K2325" t="inlineStr"/>
      <c r="L2325" s="2" t="n">
        <v>12771</v>
      </c>
      <c r="M2325" t="inlineStr"/>
      <c r="N2325" t="inlineStr">
        <is>
          <t>20250808900034</t>
        </is>
      </c>
      <c r="O2325">
        <f>HYPERLINK("https://dart.fss.or.kr/dsaf001/main.do?rcpNo=20250808900034", "공시열람")</f>
        <v/>
      </c>
    </row>
    <row r="2326">
      <c r="A2326" t="inlineStr">
        <is>
          <t>2025-08-08</t>
        </is>
      </c>
      <c r="B2326" t="inlineStr">
        <is>
          <t>CJ대한통운</t>
        </is>
      </c>
      <c r="C2326" t="inlineStr">
        <is>
          <t>000120</t>
        </is>
      </c>
      <c r="D2326" t="inlineStr">
        <is>
          <t>연결</t>
        </is>
      </c>
      <c r="E2326" t="inlineStr">
        <is>
          <t>2025Q2</t>
        </is>
      </c>
      <c r="F2326" s="2" t="n">
        <v>3048408</v>
      </c>
      <c r="G2326" t="n">
        <v>1.9</v>
      </c>
      <c r="H2326" t="n">
        <v>-0.4</v>
      </c>
      <c r="I2326" s="2" t="n">
        <v>115243</v>
      </c>
      <c r="J2326" t="n">
        <v>35</v>
      </c>
      <c r="K2326" t="n">
        <v>-8.1</v>
      </c>
      <c r="L2326" s="2" t="n">
        <v>58185</v>
      </c>
      <c r="M2326" t="n">
        <v>-5.1</v>
      </c>
      <c r="N2326" t="inlineStr">
        <is>
          <t>20250808800035</t>
        </is>
      </c>
      <c r="O2326">
        <f>HYPERLINK("https://dart.fss.or.kr/dsaf001/main.do?rcpNo=20250808800035", "공시열람")</f>
        <v/>
      </c>
    </row>
    <row r="2327">
      <c r="A2327" t="inlineStr">
        <is>
          <t>2025-08-08</t>
        </is>
      </c>
      <c r="B2327" t="inlineStr">
        <is>
          <t>롯데쇼핑</t>
        </is>
      </c>
      <c r="C2327" t="inlineStr">
        <is>
          <t>023530</t>
        </is>
      </c>
      <c r="D2327" t="inlineStr">
        <is>
          <t>연결</t>
        </is>
      </c>
      <c r="E2327" t="inlineStr">
        <is>
          <t>2025Q2</t>
        </is>
      </c>
      <c r="F2327" s="2" t="n">
        <v>3349696</v>
      </c>
      <c r="G2327" t="n">
        <v>-3.1</v>
      </c>
      <c r="H2327" t="n">
        <v>-2.3</v>
      </c>
      <c r="I2327" s="2" t="n">
        <v>40639</v>
      </c>
      <c r="J2327" t="n">
        <v>-72.59999999999999</v>
      </c>
      <c r="K2327" t="n">
        <v>-27.5</v>
      </c>
      <c r="L2327" s="2" t="n">
        <v>-10322</v>
      </c>
      <c r="M2327" t="n">
        <v>87</v>
      </c>
      <c r="N2327" t="inlineStr">
        <is>
          <t>20250808800037</t>
        </is>
      </c>
      <c r="O2327">
        <f>HYPERLINK("https://dart.fss.or.kr/dsaf001/main.do?rcpNo=20250808800037", "공시열람")</f>
        <v/>
      </c>
    </row>
    <row r="2328">
      <c r="A2328" t="inlineStr">
        <is>
          <t>2025-08-08</t>
        </is>
      </c>
      <c r="B2328" t="inlineStr">
        <is>
          <t>한국콜마</t>
        </is>
      </c>
      <c r="C2328" t="inlineStr">
        <is>
          <t>161890</t>
        </is>
      </c>
      <c r="D2328" t="inlineStr">
        <is>
          <t>별도</t>
        </is>
      </c>
      <c r="E2328" t="inlineStr">
        <is>
          <t>2025Q2</t>
        </is>
      </c>
      <c r="F2328" s="2" t="n">
        <v>328145</v>
      </c>
      <c r="G2328" t="n">
        <v>19.62</v>
      </c>
      <c r="H2328" t="n">
        <v>10.49</v>
      </c>
      <c r="I2328" s="2" t="n">
        <v>49032</v>
      </c>
      <c r="J2328" t="n">
        <v>44.69</v>
      </c>
      <c r="K2328" t="n">
        <v>10.88</v>
      </c>
      <c r="L2328" s="2" t="n">
        <v>31009</v>
      </c>
      <c r="M2328" t="n">
        <v>-41.64</v>
      </c>
      <c r="N2328" t="inlineStr">
        <is>
          <t>20250808800054</t>
        </is>
      </c>
      <c r="O2328">
        <f>HYPERLINK("https://dart.fss.or.kr/dsaf001/main.do?rcpNo=20250808800054", "공시열람")</f>
        <v/>
      </c>
    </row>
    <row r="2329">
      <c r="A2329" t="inlineStr">
        <is>
          <t>2025-08-08</t>
        </is>
      </c>
      <c r="B2329" t="inlineStr">
        <is>
          <t>한국콜마</t>
        </is>
      </c>
      <c r="C2329" t="inlineStr">
        <is>
          <t>161890</t>
        </is>
      </c>
      <c r="D2329" t="inlineStr">
        <is>
          <t>연결</t>
        </is>
      </c>
      <c r="E2329" t="inlineStr">
        <is>
          <t>2025Q2</t>
        </is>
      </c>
      <c r="F2329" s="2" t="n">
        <v>730849</v>
      </c>
      <c r="G2329" t="n">
        <v>11.91</v>
      </c>
      <c r="H2329" t="n">
        <v>10.69</v>
      </c>
      <c r="I2329" s="2" t="n">
        <v>73477</v>
      </c>
      <c r="J2329" t="n">
        <v>22.58</v>
      </c>
      <c r="K2329" t="n">
        <v>2.42</v>
      </c>
      <c r="L2329" s="2" t="n">
        <v>41803</v>
      </c>
      <c r="M2329" t="n">
        <v>-7.44</v>
      </c>
      <c r="N2329" t="inlineStr">
        <is>
          <t>20250808800057</t>
        </is>
      </c>
      <c r="O2329">
        <f>HYPERLINK("https://dart.fss.or.kr/dsaf001/main.do?rcpNo=20250808800057", "공시열람")</f>
        <v/>
      </c>
    </row>
    <row r="2330">
      <c r="A2330" t="inlineStr">
        <is>
          <t>2025-08-08</t>
        </is>
      </c>
      <c r="B2330" t="inlineStr">
        <is>
          <t>아진전자부품</t>
        </is>
      </c>
      <c r="C2330" t="inlineStr">
        <is>
          <t>009320</t>
        </is>
      </c>
      <c r="D2330" t="inlineStr">
        <is>
          <t>별도</t>
        </is>
      </c>
      <c r="E2330" t="inlineStr">
        <is>
          <t>2025Q2</t>
        </is>
      </c>
      <c r="F2330" s="2" t="n">
        <v>40653</v>
      </c>
      <c r="G2330" t="n">
        <v>19.7</v>
      </c>
      <c r="H2330" t="n">
        <v>24.3</v>
      </c>
      <c r="I2330" s="2" t="n">
        <v>2959</v>
      </c>
      <c r="J2330" t="n">
        <v>250.6</v>
      </c>
      <c r="K2330" t="n">
        <v>113</v>
      </c>
      <c r="L2330" s="2" t="n">
        <v>2918</v>
      </c>
      <c r="M2330" t="n">
        <v>468.8</v>
      </c>
      <c r="N2330" t="inlineStr">
        <is>
          <t>20250808800060</t>
        </is>
      </c>
      <c r="O2330">
        <f>HYPERLINK("https://dart.fss.or.kr/dsaf001/main.do?rcpNo=20250808800060", "공시열람")</f>
        <v/>
      </c>
    </row>
    <row r="2331">
      <c r="A2331" t="inlineStr">
        <is>
          <t>2025-08-08</t>
        </is>
      </c>
      <c r="B2331" t="inlineStr">
        <is>
          <t>LG헬로비전</t>
        </is>
      </c>
      <c r="C2331" t="inlineStr">
        <is>
          <t>037560</t>
        </is>
      </c>
      <c r="D2331" t="inlineStr">
        <is>
          <t>연결</t>
        </is>
      </c>
      <c r="E2331" t="inlineStr">
        <is>
          <t>2025Q2</t>
        </is>
      </c>
      <c r="F2331" s="2" t="n">
        <v>354115</v>
      </c>
      <c r="G2331" t="n">
        <v>12.9</v>
      </c>
      <c r="H2331" t="n">
        <v>24.9</v>
      </c>
      <c r="I2331" s="2" t="n">
        <v>10493</v>
      </c>
      <c r="J2331" t="n">
        <v>47.5</v>
      </c>
      <c r="K2331" t="n">
        <v>41.7</v>
      </c>
      <c r="L2331" s="2" t="n">
        <v>7207</v>
      </c>
      <c r="M2331" t="n">
        <v>40.4</v>
      </c>
      <c r="N2331" t="inlineStr">
        <is>
          <t>20250808800068</t>
        </is>
      </c>
      <c r="O2331">
        <f>HYPERLINK("https://dart.fss.or.kr/dsaf001/main.do?rcpNo=20250808800068", "공시열람")</f>
        <v/>
      </c>
    </row>
    <row r="2332">
      <c r="A2332" t="inlineStr">
        <is>
          <t>2025-08-08</t>
        </is>
      </c>
      <c r="B2332" t="inlineStr">
        <is>
          <t>GS리테일</t>
        </is>
      </c>
      <c r="C2332" t="inlineStr">
        <is>
          <t>007070</t>
        </is>
      </c>
      <c r="D2332" t="inlineStr">
        <is>
          <t>연결</t>
        </is>
      </c>
      <c r="E2332" t="inlineStr">
        <is>
          <t>2025Q2</t>
        </is>
      </c>
      <c r="F2332" s="2" t="n">
        <v>2980562</v>
      </c>
      <c r="G2332" t="inlineStr"/>
      <c r="H2332" t="inlineStr"/>
      <c r="I2332" s="2" t="n">
        <v>84499</v>
      </c>
      <c r="J2332" t="inlineStr"/>
      <c r="K2332" t="inlineStr"/>
      <c r="L2332" s="2" t="n">
        <v>14223</v>
      </c>
      <c r="M2332" t="inlineStr"/>
      <c r="N2332" t="inlineStr">
        <is>
          <t>20250808800070</t>
        </is>
      </c>
      <c r="O2332">
        <f>HYPERLINK("https://dart.fss.or.kr/dsaf001/main.do?rcpNo=20250808800070", "공시열람")</f>
        <v/>
      </c>
    </row>
    <row r="2333">
      <c r="A2333" t="inlineStr">
        <is>
          <t>2025-08-08</t>
        </is>
      </c>
      <c r="B2333" t="inlineStr">
        <is>
          <t>파마리서치</t>
        </is>
      </c>
      <c r="C2333" t="inlineStr">
        <is>
          <t>214450</t>
        </is>
      </c>
      <c r="D2333" t="inlineStr">
        <is>
          <t>연결</t>
        </is>
      </c>
      <c r="E2333" t="inlineStr">
        <is>
          <t>2025Q2</t>
        </is>
      </c>
      <c r="F2333" s="2" t="n">
        <v>140607</v>
      </c>
      <c r="G2333" t="inlineStr"/>
      <c r="H2333" t="inlineStr"/>
      <c r="I2333" s="2" t="n">
        <v>55878</v>
      </c>
      <c r="J2333" t="inlineStr"/>
      <c r="K2333" t="inlineStr"/>
      <c r="L2333" s="2" t="n">
        <v>42045</v>
      </c>
      <c r="M2333" t="inlineStr"/>
      <c r="N2333" t="inlineStr">
        <is>
          <t>20250808900097</t>
        </is>
      </c>
      <c r="O2333">
        <f>HYPERLINK("https://dart.fss.or.kr/dsaf001/main.do?rcpNo=20250808900097", "공시열람")</f>
        <v/>
      </c>
    </row>
    <row r="2334">
      <c r="A2334" t="inlineStr">
        <is>
          <t>2025-08-08</t>
        </is>
      </c>
      <c r="B2334" t="inlineStr">
        <is>
          <t>광주신세계</t>
        </is>
      </c>
      <c r="C2334" t="inlineStr">
        <is>
          <t>037710</t>
        </is>
      </c>
      <c r="D2334" t="inlineStr">
        <is>
          <t>별도</t>
        </is>
      </c>
      <c r="E2334" t="inlineStr">
        <is>
          <t>2025Q2</t>
        </is>
      </c>
      <c r="F2334" s="2" t="n">
        <v>44527</v>
      </c>
      <c r="G2334" t="n">
        <v>-2.1</v>
      </c>
      <c r="H2334" t="n">
        <v>3</v>
      </c>
      <c r="I2334" s="2" t="n">
        <v>11776</v>
      </c>
      <c r="J2334" t="n">
        <v>-8.699999999999999</v>
      </c>
      <c r="K2334" t="n">
        <v>-2.8</v>
      </c>
      <c r="L2334" s="2" t="n">
        <v>9507</v>
      </c>
      <c r="M2334" t="n">
        <v>-20.9</v>
      </c>
      <c r="N2334" t="inlineStr">
        <is>
          <t>20250808800421</t>
        </is>
      </c>
      <c r="O2334">
        <f>HYPERLINK("https://dart.fss.or.kr/dsaf001/main.do?rcpNo=20250808800421", "공시열람")</f>
        <v/>
      </c>
    </row>
    <row r="2335">
      <c r="A2335" t="inlineStr">
        <is>
          <t>2025-08-08</t>
        </is>
      </c>
      <c r="B2335" t="inlineStr">
        <is>
          <t>NH농우바이오</t>
        </is>
      </c>
      <c r="C2335" t="inlineStr">
        <is>
          <t>054050</t>
        </is>
      </c>
      <c r="D2335" t="inlineStr">
        <is>
          <t>연결</t>
        </is>
      </c>
      <c r="E2335" t="inlineStr">
        <is>
          <t>2025Q2</t>
        </is>
      </c>
      <c r="F2335" s="2" t="n">
        <v>43347</v>
      </c>
      <c r="G2335" t="inlineStr"/>
      <c r="H2335" t="inlineStr"/>
      <c r="I2335" s="2" t="n">
        <v>3204</v>
      </c>
      <c r="J2335" t="inlineStr"/>
      <c r="K2335" t="inlineStr"/>
      <c r="L2335" s="2" t="n">
        <v>2587</v>
      </c>
      <c r="M2335" t="inlineStr"/>
      <c r="N2335" t="inlineStr">
        <is>
          <t>20250808900075</t>
        </is>
      </c>
      <c r="O2335">
        <f>HYPERLINK("https://dart.fss.or.kr/dsaf001/main.do?rcpNo=20250808900075", "공시열람")</f>
        <v/>
      </c>
    </row>
    <row r="2336">
      <c r="A2336" t="inlineStr">
        <is>
          <t>2025-08-08</t>
        </is>
      </c>
      <c r="B2336" t="inlineStr">
        <is>
          <t>바디텍메드</t>
        </is>
      </c>
      <c r="C2336" t="inlineStr">
        <is>
          <t>206640</t>
        </is>
      </c>
      <c r="D2336" t="inlineStr">
        <is>
          <t>연결</t>
        </is>
      </c>
      <c r="E2336" t="inlineStr">
        <is>
          <t>2025Q2</t>
        </is>
      </c>
      <c r="F2336" s="2" t="n">
        <v>41509</v>
      </c>
      <c r="G2336" t="inlineStr"/>
      <c r="H2336" t="inlineStr"/>
      <c r="I2336" s="2" t="n">
        <v>9201</v>
      </c>
      <c r="J2336" t="inlineStr"/>
      <c r="K2336" t="inlineStr"/>
      <c r="L2336" s="2" t="n">
        <v>7457</v>
      </c>
      <c r="M2336" t="inlineStr"/>
      <c r="N2336" t="inlineStr">
        <is>
          <t>20250808900083</t>
        </is>
      </c>
      <c r="O2336">
        <f>HYPERLINK("https://dart.fss.or.kr/dsaf001/main.do?rcpNo=20250808900083", "공시열람")</f>
        <v/>
      </c>
    </row>
    <row r="2337">
      <c r="A2337" t="inlineStr">
        <is>
          <t>2025-08-08</t>
        </is>
      </c>
      <c r="B2337" t="inlineStr">
        <is>
          <t>LG유플러스</t>
        </is>
      </c>
      <c r="C2337" t="inlineStr">
        <is>
          <t>032640</t>
        </is>
      </c>
      <c r="D2337" t="inlineStr">
        <is>
          <t>별도</t>
        </is>
      </c>
      <c r="E2337" t="inlineStr">
        <is>
          <t>2025Q2</t>
        </is>
      </c>
      <c r="F2337" s="2" t="n">
        <v>3496400</v>
      </c>
      <c r="G2337" t="n">
        <v>1.6</v>
      </c>
      <c r="H2337" t="n">
        <v>8.300000000000001</v>
      </c>
      <c r="I2337" s="2" t="n">
        <v>310700</v>
      </c>
      <c r="J2337" t="n">
        <v>19.2</v>
      </c>
      <c r="K2337" t="n">
        <v>23.1</v>
      </c>
      <c r="L2337" s="2" t="n">
        <v>223100</v>
      </c>
      <c r="M2337" t="n">
        <v>36.7</v>
      </c>
      <c r="N2337" t="inlineStr">
        <is>
          <t>20250808800088</t>
        </is>
      </c>
      <c r="O2337">
        <f>HYPERLINK("https://dart.fss.or.kr/dsaf001/main.do?rcpNo=20250808800088", "공시열람")</f>
        <v/>
      </c>
    </row>
    <row r="2338">
      <c r="A2338" t="inlineStr">
        <is>
          <t>2025-08-08</t>
        </is>
      </c>
      <c r="B2338" t="inlineStr">
        <is>
          <t>한국가스공사</t>
        </is>
      </c>
      <c r="C2338" t="inlineStr">
        <is>
          <t>036460</t>
        </is>
      </c>
      <c r="D2338" t="inlineStr">
        <is>
          <t>연결</t>
        </is>
      </c>
      <c r="E2338" t="inlineStr">
        <is>
          <t>2025Q2</t>
        </is>
      </c>
      <c r="F2338" s="2" t="n">
        <v>7630102</v>
      </c>
      <c r="G2338" t="n">
        <v>-40.1</v>
      </c>
      <c r="H2338" t="n">
        <v>1.9</v>
      </c>
      <c r="I2338" s="2" t="n">
        <v>404629</v>
      </c>
      <c r="J2338" t="n">
        <v>-51.5</v>
      </c>
      <c r="K2338" t="n">
        <v>-13.1</v>
      </c>
      <c r="L2338" s="2" t="n">
        <v>85108</v>
      </c>
      <c r="M2338" t="n">
        <v>-66.40000000000001</v>
      </c>
      <c r="N2338" t="inlineStr">
        <is>
          <t>20250808800332</t>
        </is>
      </c>
      <c r="O2338">
        <f>HYPERLINK("https://dart.fss.or.kr/dsaf001/main.do?rcpNo=20250808800332", "공시열람")</f>
        <v/>
      </c>
    </row>
    <row r="2339">
      <c r="A2339" t="inlineStr">
        <is>
          <t>2025-08-08</t>
        </is>
      </c>
      <c r="B2339" t="inlineStr">
        <is>
          <t>신세계푸드</t>
        </is>
      </c>
      <c r="C2339" t="inlineStr">
        <is>
          <t>031440</t>
        </is>
      </c>
      <c r="D2339" t="inlineStr">
        <is>
          <t>연결</t>
        </is>
      </c>
      <c r="E2339" t="inlineStr">
        <is>
          <t>2025Q2</t>
        </is>
      </c>
      <c r="F2339" s="2" t="n">
        <v>371488</v>
      </c>
      <c r="G2339" t="n">
        <v>3.6</v>
      </c>
      <c r="H2339" t="n">
        <v>-5.7</v>
      </c>
      <c r="I2339" s="2" t="n">
        <v>13482</v>
      </c>
      <c r="J2339" t="n">
        <v>71.09999999999999</v>
      </c>
      <c r="K2339" t="n">
        <v>39.5</v>
      </c>
      <c r="L2339" s="2" t="n">
        <v>14233</v>
      </c>
      <c r="M2339" t="n">
        <v>179.6</v>
      </c>
      <c r="N2339" t="inlineStr">
        <is>
          <t>20250808800420</t>
        </is>
      </c>
      <c r="O2339">
        <f>HYPERLINK("https://dart.fss.or.kr/dsaf001/main.do?rcpNo=20250808800420", "공시열람")</f>
        <v/>
      </c>
    </row>
    <row r="2340">
      <c r="A2340" t="inlineStr">
        <is>
          <t>2025-08-08</t>
        </is>
      </c>
      <c r="B2340" t="inlineStr">
        <is>
          <t>달바글로벌</t>
        </is>
      </c>
      <c r="C2340" t="inlineStr">
        <is>
          <t>483650</t>
        </is>
      </c>
      <c r="D2340" t="inlineStr">
        <is>
          <t>연결</t>
        </is>
      </c>
      <c r="E2340" t="inlineStr">
        <is>
          <t>2025Q2</t>
        </is>
      </c>
      <c r="F2340" s="2" t="n">
        <v>128373</v>
      </c>
      <c r="G2340" t="n">
        <v>12.8</v>
      </c>
      <c r="H2340" t="n">
        <v>73.8</v>
      </c>
      <c r="I2340" s="2" t="n">
        <v>29230</v>
      </c>
      <c r="J2340" t="n">
        <v>-2.7</v>
      </c>
      <c r="K2340" t="n">
        <v>66</v>
      </c>
      <c r="L2340" s="2" t="n">
        <v>19803</v>
      </c>
      <c r="M2340" t="n">
        <v>44.1</v>
      </c>
      <c r="N2340" t="inlineStr">
        <is>
          <t>20250808800414</t>
        </is>
      </c>
      <c r="O2340">
        <f>HYPERLINK("https://dart.fss.or.kr/dsaf001/main.do?rcpNo=20250808800414", "공시열람")</f>
        <v/>
      </c>
    </row>
    <row r="2341">
      <c r="A2341" t="inlineStr">
        <is>
          <t>2025-08-08</t>
        </is>
      </c>
      <c r="B2341" t="inlineStr">
        <is>
          <t>HL D&amp;I</t>
        </is>
      </c>
      <c r="C2341" t="inlineStr">
        <is>
          <t>014790</t>
        </is>
      </c>
      <c r="D2341" t="inlineStr">
        <is>
          <t>연결</t>
        </is>
      </c>
      <c r="E2341" t="inlineStr">
        <is>
          <t>2025Q2</t>
        </is>
      </c>
      <c r="F2341" s="2" t="n">
        <v>406858</v>
      </c>
      <c r="G2341" t="n">
        <v>25.2</v>
      </c>
      <c r="H2341" t="n">
        <v>3.4</v>
      </c>
      <c r="I2341" s="2" t="n">
        <v>19770</v>
      </c>
      <c r="J2341" t="n">
        <v>39.5</v>
      </c>
      <c r="K2341" t="n">
        <v>77</v>
      </c>
      <c r="L2341" s="2" t="n">
        <v>8800</v>
      </c>
      <c r="M2341" t="n">
        <v>59.2</v>
      </c>
      <c r="N2341" t="inlineStr">
        <is>
          <t>20250808800273</t>
        </is>
      </c>
      <c r="O2341">
        <f>HYPERLINK("https://dart.fss.or.kr/dsaf001/main.do?rcpNo=20250808800273", "공시열람")</f>
        <v/>
      </c>
    </row>
    <row r="2342">
      <c r="A2342" t="inlineStr">
        <is>
          <t>2025-08-08</t>
        </is>
      </c>
      <c r="B2342" t="inlineStr">
        <is>
          <t>현대지에프홀딩스</t>
        </is>
      </c>
      <c r="C2342" t="inlineStr">
        <is>
          <t>005440</t>
        </is>
      </c>
      <c r="D2342" t="inlineStr">
        <is>
          <t>연결</t>
        </is>
      </c>
      <c r="E2342" t="inlineStr">
        <is>
          <t>2025Q2</t>
        </is>
      </c>
      <c r="F2342" s="2" t="n">
        <v>1998800</v>
      </c>
      <c r="G2342" t="n">
        <v>-3.5</v>
      </c>
      <c r="H2342" t="n">
        <v>-4</v>
      </c>
      <c r="I2342" s="2" t="n">
        <v>74500</v>
      </c>
      <c r="J2342" t="n">
        <v>-22.1</v>
      </c>
      <c r="K2342" t="n">
        <v>0.2</v>
      </c>
      <c r="L2342" s="2" t="n">
        <v>103300</v>
      </c>
      <c r="M2342" t="n">
        <v>-79</v>
      </c>
      <c r="N2342" t="inlineStr">
        <is>
          <t>20250808800166</t>
        </is>
      </c>
      <c r="O2342">
        <f>HYPERLINK("https://dart.fss.or.kr/dsaf001/main.do?rcpNo=20250808800166", "공시열람")</f>
        <v/>
      </c>
    </row>
    <row r="2343">
      <c r="A2343" t="inlineStr">
        <is>
          <t>2025-08-08</t>
        </is>
      </c>
      <c r="B2343" t="inlineStr">
        <is>
          <t>진에어</t>
        </is>
      </c>
      <c r="C2343" t="inlineStr">
        <is>
          <t>272450</t>
        </is>
      </c>
      <c r="D2343" t="inlineStr">
        <is>
          <t>별도</t>
        </is>
      </c>
      <c r="E2343" t="inlineStr">
        <is>
          <t>2025Q2</t>
        </is>
      </c>
      <c r="F2343" s="2" t="n">
        <v>306073</v>
      </c>
      <c r="G2343" t="n">
        <v>-26.7</v>
      </c>
      <c r="H2343" t="n">
        <v>-0.7</v>
      </c>
      <c r="I2343" s="2" t="n">
        <v>-42286</v>
      </c>
      <c r="J2343" t="inlineStr"/>
      <c r="K2343" t="inlineStr"/>
      <c r="L2343" s="2" t="n">
        <v>-15718</v>
      </c>
      <c r="M2343" t="n">
        <v>-168</v>
      </c>
      <c r="N2343" t="inlineStr">
        <is>
          <t>20250808800333</t>
        </is>
      </c>
      <c r="O2343">
        <f>HYPERLINK("https://dart.fss.or.kr/dsaf001/main.do?rcpNo=20250808800333", "공시열람")</f>
        <v/>
      </c>
    </row>
    <row r="2344">
      <c r="A2344" t="inlineStr">
        <is>
          <t>2025-08-08</t>
        </is>
      </c>
      <c r="B2344" t="inlineStr">
        <is>
          <t>씨젠</t>
        </is>
      </c>
      <c r="C2344" t="inlineStr">
        <is>
          <t>096530</t>
        </is>
      </c>
      <c r="D2344" t="inlineStr">
        <is>
          <t>연결</t>
        </is>
      </c>
      <c r="E2344" t="inlineStr">
        <is>
          <t>2025Q2</t>
        </is>
      </c>
      <c r="F2344" s="2" t="n">
        <v>114060</v>
      </c>
      <c r="G2344" t="inlineStr"/>
      <c r="H2344" t="inlineStr"/>
      <c r="I2344" s="2" t="n">
        <v>3145</v>
      </c>
      <c r="J2344" t="inlineStr"/>
      <c r="K2344" t="inlineStr"/>
      <c r="L2344" s="2" t="n">
        <v>-71</v>
      </c>
      <c r="M2344" t="inlineStr"/>
      <c r="N2344" t="inlineStr">
        <is>
          <t>20250808900321</t>
        </is>
      </c>
      <c r="O2344">
        <f>HYPERLINK("https://dart.fss.or.kr/dsaf001/main.do?rcpNo=20250808900321", "공시열람")</f>
        <v/>
      </c>
    </row>
    <row r="2345">
      <c r="A2345" t="inlineStr">
        <is>
          <t>2025-08-08</t>
        </is>
      </c>
      <c r="B2345" t="inlineStr">
        <is>
          <t>성광벤드</t>
        </is>
      </c>
      <c r="C2345" t="inlineStr">
        <is>
          <t>014620</t>
        </is>
      </c>
      <c r="D2345" t="inlineStr">
        <is>
          <t>연결</t>
        </is>
      </c>
      <c r="E2345" t="inlineStr">
        <is>
          <t>2025Q2</t>
        </is>
      </c>
      <c r="F2345" s="2" t="n">
        <v>58109</v>
      </c>
      <c r="G2345" t="inlineStr"/>
      <c r="H2345" t="inlineStr"/>
      <c r="I2345" s="2" t="n">
        <v>10770</v>
      </c>
      <c r="J2345" t="inlineStr"/>
      <c r="K2345" t="inlineStr"/>
      <c r="L2345" s="2" t="n">
        <v>6456</v>
      </c>
      <c r="M2345" t="inlineStr"/>
      <c r="N2345" t="inlineStr">
        <is>
          <t>20250808900105</t>
        </is>
      </c>
      <c r="O2345">
        <f>HYPERLINK("https://dart.fss.or.kr/dsaf001/main.do?rcpNo=20250808900105", "공시열람")</f>
        <v/>
      </c>
    </row>
    <row r="2346">
      <c r="A2346" t="inlineStr">
        <is>
          <t>2025-08-08</t>
        </is>
      </c>
      <c r="B2346" t="inlineStr">
        <is>
          <t>위메이드맥스</t>
        </is>
      </c>
      <c r="C2346" t="inlineStr">
        <is>
          <t>101730</t>
        </is>
      </c>
      <c r="D2346" t="inlineStr">
        <is>
          <t>연결</t>
        </is>
      </c>
      <c r="E2346" t="inlineStr">
        <is>
          <t>2025Q2</t>
        </is>
      </c>
      <c r="F2346" s="2" t="n">
        <v>33025</v>
      </c>
      <c r="G2346" t="inlineStr"/>
      <c r="H2346" t="inlineStr"/>
      <c r="I2346" s="2" t="n">
        <v>-16690</v>
      </c>
      <c r="J2346" t="inlineStr"/>
      <c r="K2346" t="inlineStr"/>
      <c r="L2346" s="2" t="n">
        <v>-15185</v>
      </c>
      <c r="M2346" t="inlineStr"/>
      <c r="N2346" t="inlineStr">
        <is>
          <t>20250808900318</t>
        </is>
      </c>
      <c r="O2346">
        <f>HYPERLINK("https://dart.fss.or.kr/dsaf001/main.do?rcpNo=20250808900318", "공시열람")</f>
        <v/>
      </c>
    </row>
    <row r="2347">
      <c r="A2347" t="inlineStr">
        <is>
          <t>2025-08-08</t>
        </is>
      </c>
      <c r="B2347" t="inlineStr">
        <is>
          <t>와이지엔터테인먼트</t>
        </is>
      </c>
      <c r="C2347" t="inlineStr">
        <is>
          <t>122870</t>
        </is>
      </c>
      <c r="D2347" t="inlineStr">
        <is>
          <t>연결</t>
        </is>
      </c>
      <c r="E2347" t="inlineStr">
        <is>
          <t>2025Q2</t>
        </is>
      </c>
      <c r="F2347" s="2" t="n">
        <v>100411</v>
      </c>
      <c r="G2347" t="inlineStr"/>
      <c r="H2347" t="inlineStr"/>
      <c r="I2347" s="2" t="n">
        <v>8360</v>
      </c>
      <c r="J2347" t="inlineStr"/>
      <c r="K2347" t="inlineStr"/>
      <c r="L2347" s="2" t="n">
        <v>11220</v>
      </c>
      <c r="M2347" t="inlineStr"/>
      <c r="N2347" t="inlineStr">
        <is>
          <t>20250808900129</t>
        </is>
      </c>
      <c r="O2347">
        <f>HYPERLINK("https://dart.fss.or.kr/dsaf001/main.do?rcpNo=20250808900129", "공시열람")</f>
        <v/>
      </c>
    </row>
    <row r="2348">
      <c r="A2348" t="inlineStr">
        <is>
          <t>2025-08-08</t>
        </is>
      </c>
      <c r="B2348" t="inlineStr">
        <is>
          <t>이수앱지스</t>
        </is>
      </c>
      <c r="C2348" t="inlineStr">
        <is>
          <t>086890</t>
        </is>
      </c>
      <c r="D2348" t="inlineStr">
        <is>
          <t>별도</t>
        </is>
      </c>
      <c r="E2348" t="inlineStr">
        <is>
          <t>2025Q2</t>
        </is>
      </c>
      <c r="F2348" s="2" t="n">
        <v>22829</v>
      </c>
      <c r="G2348" t="inlineStr"/>
      <c r="H2348" t="inlineStr"/>
      <c r="I2348" s="2" t="n">
        <v>9382</v>
      </c>
      <c r="J2348" t="inlineStr"/>
      <c r="K2348" t="inlineStr"/>
      <c r="L2348" s="2" t="n">
        <v>9232</v>
      </c>
      <c r="M2348" t="inlineStr"/>
      <c r="N2348" t="inlineStr">
        <is>
          <t>20250808900133</t>
        </is>
      </c>
      <c r="O2348">
        <f>HYPERLINK("https://dart.fss.or.kr/dsaf001/main.do?rcpNo=20250808900133", "공시열람")</f>
        <v/>
      </c>
    </row>
    <row r="2349">
      <c r="A2349" t="inlineStr">
        <is>
          <t>2025-08-08</t>
        </is>
      </c>
      <c r="B2349" t="inlineStr">
        <is>
          <t>화천기계</t>
        </is>
      </c>
      <c r="C2349" t="inlineStr">
        <is>
          <t>010660</t>
        </is>
      </c>
      <c r="D2349" t="inlineStr">
        <is>
          <t>별도</t>
        </is>
      </c>
      <c r="E2349" t="inlineStr">
        <is>
          <t>2025Q2</t>
        </is>
      </c>
      <c r="F2349" s="2" t="n">
        <v>67016</v>
      </c>
      <c r="G2349" t="n">
        <v>46.3</v>
      </c>
      <c r="H2349" t="n">
        <v>5</v>
      </c>
      <c r="I2349" s="2" t="n">
        <v>2084</v>
      </c>
      <c r="J2349" t="inlineStr"/>
      <c r="K2349" t="n">
        <v>11.2</v>
      </c>
      <c r="L2349" s="2" t="n">
        <v>1533</v>
      </c>
      <c r="M2349" t="n">
        <v>-28</v>
      </c>
      <c r="N2349" t="inlineStr">
        <is>
          <t>20250808800294</t>
        </is>
      </c>
      <c r="O2349">
        <f>HYPERLINK("https://dart.fss.or.kr/dsaf001/main.do?rcpNo=20250808800294", "공시열람")</f>
        <v/>
      </c>
    </row>
    <row r="2350">
      <c r="A2350" t="inlineStr">
        <is>
          <t>2025-08-08</t>
        </is>
      </c>
      <c r="B2350" t="inlineStr">
        <is>
          <t>동원산업</t>
        </is>
      </c>
      <c r="C2350" t="inlineStr">
        <is>
          <t>006040</t>
        </is>
      </c>
      <c r="D2350" t="inlineStr">
        <is>
          <t>연결</t>
        </is>
      </c>
      <c r="E2350" t="inlineStr">
        <is>
          <t>2025Q2</t>
        </is>
      </c>
      <c r="F2350" s="2" t="n">
        <v>2358613</v>
      </c>
      <c r="G2350" t="inlineStr"/>
      <c r="H2350" t="inlineStr"/>
      <c r="I2350" s="2" t="n">
        <v>133642</v>
      </c>
      <c r="J2350" t="inlineStr"/>
      <c r="K2350" t="inlineStr"/>
      <c r="L2350" s="2" t="n">
        <v>88031</v>
      </c>
      <c r="M2350" t="inlineStr"/>
      <c r="N2350" t="inlineStr">
        <is>
          <t>20250808800250</t>
        </is>
      </c>
      <c r="O2350">
        <f>HYPERLINK("https://dart.fss.or.kr/dsaf001/main.do?rcpNo=20250808800250", "공시열람")</f>
        <v/>
      </c>
    </row>
    <row r="2351">
      <c r="A2351" t="inlineStr">
        <is>
          <t>2025-08-08</t>
        </is>
      </c>
      <c r="B2351" t="inlineStr">
        <is>
          <t>씨에스윈드</t>
        </is>
      </c>
      <c r="C2351" t="inlineStr">
        <is>
          <t>112610</t>
        </is>
      </c>
      <c r="D2351" t="inlineStr">
        <is>
          <t>연결</t>
        </is>
      </c>
      <c r="E2351" t="inlineStr">
        <is>
          <t>2025Q2</t>
        </is>
      </c>
      <c r="F2351" s="2" t="n">
        <v>650003</v>
      </c>
      <c r="G2351" t="n">
        <v>-27.9</v>
      </c>
      <c r="H2351" t="n">
        <v>-24.2</v>
      </c>
      <c r="I2351" s="2" t="n">
        <v>59265</v>
      </c>
      <c r="J2351" t="n">
        <v>-52.7</v>
      </c>
      <c r="K2351" t="n">
        <v>-54</v>
      </c>
      <c r="L2351" s="2" t="n">
        <v>38919</v>
      </c>
      <c r="M2351" t="n">
        <v>-64</v>
      </c>
      <c r="N2351" t="inlineStr">
        <is>
          <t>20250808800356</t>
        </is>
      </c>
      <c r="O2351">
        <f>HYPERLINK("https://dart.fss.or.kr/dsaf001/main.do?rcpNo=20250808800356", "공시열람")</f>
        <v/>
      </c>
    </row>
    <row r="2352">
      <c r="A2352" t="inlineStr">
        <is>
          <t>2025-08-08</t>
        </is>
      </c>
      <c r="B2352" t="inlineStr">
        <is>
          <t>동원산업</t>
        </is>
      </c>
      <c r="C2352" t="inlineStr">
        <is>
          <t>006040</t>
        </is>
      </c>
      <c r="D2352" t="inlineStr">
        <is>
          <t>별도</t>
        </is>
      </c>
      <c r="E2352" t="inlineStr">
        <is>
          <t>2025Q2</t>
        </is>
      </c>
      <c r="F2352" s="2" t="n">
        <v>258655</v>
      </c>
      <c r="G2352" t="inlineStr"/>
      <c r="H2352" t="inlineStr"/>
      <c r="I2352" s="2" t="n">
        <v>15760</v>
      </c>
      <c r="J2352" t="inlineStr"/>
      <c r="K2352" t="inlineStr"/>
      <c r="L2352" s="2" t="n">
        <v>9054</v>
      </c>
      <c r="M2352" t="inlineStr"/>
      <c r="N2352" t="inlineStr">
        <is>
          <t>20250808800249</t>
        </is>
      </c>
      <c r="O2352">
        <f>HYPERLINK("https://dart.fss.or.kr/dsaf001/main.do?rcpNo=20250808800249", "공시열람")</f>
        <v/>
      </c>
    </row>
    <row r="2353">
      <c r="A2353" t="inlineStr">
        <is>
          <t>2025-08-08</t>
        </is>
      </c>
      <c r="B2353" t="inlineStr">
        <is>
          <t>씨앤씨인터내셔널</t>
        </is>
      </c>
      <c r="C2353" t="inlineStr">
        <is>
          <t>352480</t>
        </is>
      </c>
      <c r="D2353" t="inlineStr">
        <is>
          <t>연결</t>
        </is>
      </c>
      <c r="E2353" t="inlineStr">
        <is>
          <t>2025Q2</t>
        </is>
      </c>
      <c r="F2353" s="2" t="n">
        <v>73897</v>
      </c>
      <c r="G2353" t="inlineStr"/>
      <c r="H2353" t="inlineStr"/>
      <c r="I2353" s="2" t="n">
        <v>8681</v>
      </c>
      <c r="J2353" t="inlineStr"/>
      <c r="K2353" t="inlineStr"/>
      <c r="L2353" s="2" t="n">
        <v>1215</v>
      </c>
      <c r="M2353" t="inlineStr"/>
      <c r="N2353" t="inlineStr">
        <is>
          <t>20250808900211</t>
        </is>
      </c>
      <c r="O2353">
        <f>HYPERLINK("https://dart.fss.or.kr/dsaf001/main.do?rcpNo=20250808900211", "공시열람")</f>
        <v/>
      </c>
    </row>
    <row r="2354">
      <c r="A2354" t="inlineStr">
        <is>
          <t>2025-08-08</t>
        </is>
      </c>
      <c r="B2354" t="inlineStr">
        <is>
          <t>코디</t>
        </is>
      </c>
      <c r="C2354" t="inlineStr">
        <is>
          <t>080530</t>
        </is>
      </c>
      <c r="D2354" t="inlineStr">
        <is>
          <t>연결</t>
        </is>
      </c>
      <c r="E2354" t="inlineStr">
        <is>
          <t>2025Q2</t>
        </is>
      </c>
      <c r="F2354" s="2" t="n">
        <v>22023</v>
      </c>
      <c r="G2354" t="inlineStr"/>
      <c r="H2354" t="inlineStr"/>
      <c r="I2354" s="2" t="n">
        <v>2021</v>
      </c>
      <c r="J2354" t="inlineStr"/>
      <c r="K2354" t="inlineStr"/>
      <c r="L2354" s="2" t="n">
        <v>1416</v>
      </c>
      <c r="M2354" t="inlineStr"/>
      <c r="N2354" t="inlineStr">
        <is>
          <t>20250808900213</t>
        </is>
      </c>
      <c r="O2354">
        <f>HYPERLINK("https://dart.fss.or.kr/dsaf001/main.do?rcpNo=20250808900213", "공시열람")</f>
        <v/>
      </c>
    </row>
    <row r="2355">
      <c r="A2355" t="inlineStr">
        <is>
          <t>2025-08-08</t>
        </is>
      </c>
      <c r="B2355" t="inlineStr">
        <is>
          <t>신세계인터내셔날</t>
        </is>
      </c>
      <c r="C2355" t="inlineStr">
        <is>
          <t>031430</t>
        </is>
      </c>
      <c r="D2355" t="inlineStr">
        <is>
          <t>연결</t>
        </is>
      </c>
      <c r="E2355" t="inlineStr">
        <is>
          <t>2025Q2</t>
        </is>
      </c>
      <c r="F2355" s="2" t="n">
        <v>308601</v>
      </c>
      <c r="G2355" t="n">
        <v>1.4</v>
      </c>
      <c r="H2355" t="n">
        <v>-3.8</v>
      </c>
      <c r="I2355" s="2" t="n">
        <v>-2303</v>
      </c>
      <c r="J2355" t="inlineStr"/>
      <c r="K2355" t="inlineStr"/>
      <c r="L2355" s="2" t="n">
        <v>53</v>
      </c>
      <c r="M2355" t="n">
        <v>-99.7</v>
      </c>
      <c r="N2355" t="inlineStr">
        <is>
          <t>20250808800192</t>
        </is>
      </c>
      <c r="O2355">
        <f>HYPERLINK("https://dart.fss.or.kr/dsaf001/main.do?rcpNo=20250808800192", "공시열람")</f>
        <v/>
      </c>
    </row>
    <row r="2356">
      <c r="A2356" t="inlineStr">
        <is>
          <t>2025-08-08</t>
        </is>
      </c>
      <c r="B2356" t="inlineStr">
        <is>
          <t>흥국에프엔비</t>
        </is>
      </c>
      <c r="C2356" t="inlineStr">
        <is>
          <t>189980</t>
        </is>
      </c>
      <c r="D2356" t="inlineStr">
        <is>
          <t>연결</t>
        </is>
      </c>
      <c r="E2356" t="inlineStr">
        <is>
          <t>2025Q2</t>
        </is>
      </c>
      <c r="F2356" s="2" t="n">
        <v>25360</v>
      </c>
      <c r="G2356" t="inlineStr"/>
      <c r="H2356" t="inlineStr"/>
      <c r="I2356" s="2" t="n">
        <v>2812</v>
      </c>
      <c r="J2356" t="inlineStr"/>
      <c r="K2356" t="inlineStr"/>
      <c r="L2356" s="2" t="n">
        <v>2652</v>
      </c>
      <c r="M2356" t="inlineStr"/>
      <c r="N2356" t="inlineStr">
        <is>
          <t>20250808900186</t>
        </is>
      </c>
      <c r="O2356">
        <f>HYPERLINK("https://dart.fss.or.kr/dsaf001/main.do?rcpNo=20250808900186", "공시열람")</f>
        <v/>
      </c>
    </row>
    <row r="2357">
      <c r="A2357" t="inlineStr">
        <is>
          <t>2025-08-08</t>
        </is>
      </c>
      <c r="B2357" t="inlineStr">
        <is>
          <t>신세계</t>
        </is>
      </c>
      <c r="C2357" t="inlineStr">
        <is>
          <t>004170</t>
        </is>
      </c>
      <c r="D2357" t="inlineStr">
        <is>
          <t>별도</t>
        </is>
      </c>
      <c r="E2357" t="inlineStr">
        <is>
          <t>2025Q2</t>
        </is>
      </c>
      <c r="F2357" s="2" t="n">
        <v>143191</v>
      </c>
      <c r="G2357" t="n">
        <v>-5.53</v>
      </c>
      <c r="H2357" t="n">
        <v>-1.7</v>
      </c>
      <c r="I2357" s="2" t="inlineStr"/>
      <c r="J2357" t="inlineStr"/>
      <c r="K2357" t="inlineStr"/>
      <c r="L2357" s="2" t="inlineStr"/>
      <c r="M2357" t="inlineStr"/>
      <c r="N2357" t="inlineStr">
        <is>
          <t>20250808800174</t>
        </is>
      </c>
      <c r="O2357">
        <f>HYPERLINK("https://dart.fss.or.kr/dsaf001/main.do?rcpNo=20250808800174", "공시열람")</f>
        <v/>
      </c>
    </row>
    <row r="2358">
      <c r="A2358" t="inlineStr">
        <is>
          <t>2025-08-08</t>
        </is>
      </c>
      <c r="B2358" t="inlineStr">
        <is>
          <t>대신증권</t>
        </is>
      </c>
      <c r="C2358" t="inlineStr">
        <is>
          <t>003540</t>
        </is>
      </c>
      <c r="D2358" t="inlineStr">
        <is>
          <t>연결</t>
        </is>
      </c>
      <c r="E2358" t="inlineStr">
        <is>
          <t>2025Q2</t>
        </is>
      </c>
      <c r="F2358" s="2" t="n">
        <v>1322102</v>
      </c>
      <c r="G2358" t="inlineStr"/>
      <c r="H2358" t="inlineStr"/>
      <c r="I2358" s="2" t="n">
        <v>135735</v>
      </c>
      <c r="J2358" t="inlineStr"/>
      <c r="K2358" t="inlineStr"/>
      <c r="L2358" s="2" t="n">
        <v>75216</v>
      </c>
      <c r="M2358" t="inlineStr"/>
      <c r="N2358" t="inlineStr">
        <is>
          <t>20250808800440</t>
        </is>
      </c>
      <c r="O2358">
        <f>HYPERLINK("https://dart.fss.or.kr/dsaf001/main.do?rcpNo=20250808800440", "공시열람")</f>
        <v/>
      </c>
    </row>
    <row r="2359">
      <c r="A2359" t="inlineStr">
        <is>
          <t>2025-08-08</t>
        </is>
      </c>
      <c r="B2359" t="inlineStr">
        <is>
          <t>광주신세계</t>
        </is>
      </c>
      <c r="C2359" t="inlineStr">
        <is>
          <t>037710</t>
        </is>
      </c>
      <c r="D2359" t="inlineStr">
        <is>
          <t>별도</t>
        </is>
      </c>
      <c r="E2359" t="inlineStr">
        <is>
          <t>2025Q2</t>
        </is>
      </c>
      <c r="F2359" s="2" t="n">
        <v>12556</v>
      </c>
      <c r="G2359" t="n">
        <v>-9.800000000000001</v>
      </c>
      <c r="H2359" t="n">
        <v>-4.2</v>
      </c>
      <c r="I2359" s="2" t="inlineStr"/>
      <c r="J2359" t="inlineStr"/>
      <c r="K2359" t="inlineStr"/>
      <c r="L2359" s="2" t="inlineStr"/>
      <c r="M2359" t="inlineStr"/>
      <c r="N2359" t="inlineStr">
        <is>
          <t>20250808800426</t>
        </is>
      </c>
      <c r="O2359">
        <f>HYPERLINK("https://dart.fss.or.kr/dsaf001/main.do?rcpNo=20250808800426", "공시열람")</f>
        <v/>
      </c>
    </row>
    <row r="2360">
      <c r="A2360" t="inlineStr">
        <is>
          <t>2025-08-08</t>
        </is>
      </c>
      <c r="B2360" t="inlineStr">
        <is>
          <t>위메이드</t>
        </is>
      </c>
      <c r="C2360" t="inlineStr">
        <is>
          <t>112040</t>
        </is>
      </c>
      <c r="D2360" t="inlineStr">
        <is>
          <t>연결</t>
        </is>
      </c>
      <c r="E2360" t="inlineStr">
        <is>
          <t>2025Q2</t>
        </is>
      </c>
      <c r="F2360" s="2" t="n">
        <v>116820</v>
      </c>
      <c r="G2360" t="inlineStr"/>
      <c r="H2360" t="inlineStr"/>
      <c r="I2360" s="2" t="n">
        <v>-28548</v>
      </c>
      <c r="J2360" t="inlineStr"/>
      <c r="K2360" t="inlineStr"/>
      <c r="L2360" s="2" t="n">
        <v>-28314</v>
      </c>
      <c r="M2360" t="inlineStr"/>
      <c r="N2360" t="inlineStr">
        <is>
          <t>20250808900348</t>
        </is>
      </c>
      <c r="O2360">
        <f>HYPERLINK("https://dart.fss.or.kr/dsaf001/main.do?rcpNo=20250808900348", "공시열람")</f>
        <v/>
      </c>
    </row>
    <row r="2361">
      <c r="A2361" t="inlineStr">
        <is>
          <t>2025-08-08</t>
        </is>
      </c>
      <c r="B2361" t="inlineStr">
        <is>
          <t>신세계</t>
        </is>
      </c>
      <c r="C2361" t="inlineStr">
        <is>
          <t>004170</t>
        </is>
      </c>
      <c r="D2361" t="inlineStr">
        <is>
          <t>연결</t>
        </is>
      </c>
      <c r="E2361" t="inlineStr">
        <is>
          <t>2025Q2</t>
        </is>
      </c>
      <c r="F2361" s="2" t="n">
        <v>1693824</v>
      </c>
      <c r="G2361" t="n">
        <v>1.68</v>
      </c>
      <c r="H2361" t="n">
        <v>5.57</v>
      </c>
      <c r="I2361" s="2" t="n">
        <v>75340</v>
      </c>
      <c r="J2361" t="n">
        <v>-43.07</v>
      </c>
      <c r="K2361" t="n">
        <v>-35.86</v>
      </c>
      <c r="L2361" s="2" t="n">
        <v>8315</v>
      </c>
      <c r="M2361" t="n">
        <v>-85.68000000000001</v>
      </c>
      <c r="N2361" t="inlineStr">
        <is>
          <t>20250808800173</t>
        </is>
      </c>
      <c r="O2361">
        <f>HYPERLINK("https://dart.fss.or.kr/dsaf001/main.do?rcpNo=20250808800173", "공시열람")</f>
        <v/>
      </c>
    </row>
    <row r="2362">
      <c r="A2362" t="inlineStr">
        <is>
          <t>2025-08-08</t>
        </is>
      </c>
      <c r="B2362" t="inlineStr">
        <is>
          <t>LG유플러스</t>
        </is>
      </c>
      <c r="C2362" t="inlineStr">
        <is>
          <t>032640</t>
        </is>
      </c>
      <c r="D2362" t="inlineStr">
        <is>
          <t>연결</t>
        </is>
      </c>
      <c r="E2362" t="inlineStr">
        <is>
          <t>2025Q2</t>
        </is>
      </c>
      <c r="F2362" s="2" t="n">
        <v>3844400</v>
      </c>
      <c r="G2362" t="n">
        <v>2.6</v>
      </c>
      <c r="H2362" t="n">
        <v>10</v>
      </c>
      <c r="I2362" s="2" t="n">
        <v>304500</v>
      </c>
      <c r="J2362" t="n">
        <v>19.2</v>
      </c>
      <c r="K2362" t="n">
        <v>19.9</v>
      </c>
      <c r="L2362" s="2" t="n">
        <v>217100</v>
      </c>
      <c r="M2362" t="n">
        <v>31.9</v>
      </c>
      <c r="N2362" t="inlineStr">
        <is>
          <t>20250808800091</t>
        </is>
      </c>
      <c r="O2362">
        <f>HYPERLINK("https://dart.fss.or.kr/dsaf001/main.do?rcpNo=20250808800091", "공시열람")</f>
        <v/>
      </c>
    </row>
    <row r="2363">
      <c r="A2363" t="inlineStr">
        <is>
          <t>2025-08-08</t>
        </is>
      </c>
      <c r="B2363" t="inlineStr">
        <is>
          <t>삼성증권</t>
        </is>
      </c>
      <c r="C2363" t="inlineStr">
        <is>
          <t>016360</t>
        </is>
      </c>
      <c r="D2363" t="inlineStr">
        <is>
          <t>연결</t>
        </is>
      </c>
      <c r="E2363" t="inlineStr">
        <is>
          <t>2025Q2</t>
        </is>
      </c>
      <c r="F2363" s="2" t="n">
        <v>4566703</v>
      </c>
      <c r="G2363" t="inlineStr"/>
      <c r="H2363" t="inlineStr"/>
      <c r="I2363" s="2" t="n">
        <v>308652</v>
      </c>
      <c r="J2363" t="inlineStr"/>
      <c r="K2363" t="inlineStr"/>
      <c r="L2363" s="2" t="n">
        <v>234644</v>
      </c>
      <c r="M2363" t="inlineStr"/>
      <c r="N2363" t="inlineStr">
        <is>
          <t>20250808800368</t>
        </is>
      </c>
      <c r="O2363">
        <f>HYPERLINK("https://dart.fss.or.kr/dsaf001/main.do?rcpNo=20250808800368", "공시열람")</f>
        <v/>
      </c>
    </row>
    <row r="2364">
      <c r="A2364" t="inlineStr">
        <is>
          <t>2025-08-08</t>
        </is>
      </c>
      <c r="B2364" t="inlineStr">
        <is>
          <t>엑스페릭스</t>
        </is>
      </c>
      <c r="C2364" t="inlineStr">
        <is>
          <t>317770</t>
        </is>
      </c>
      <c r="D2364" t="inlineStr">
        <is>
          <t>연결</t>
        </is>
      </c>
      <c r="E2364" t="inlineStr">
        <is>
          <t>2025Q2</t>
        </is>
      </c>
      <c r="F2364" s="2" t="n">
        <v>3495</v>
      </c>
      <c r="G2364" t="inlineStr"/>
      <c r="H2364" t="inlineStr"/>
      <c r="I2364" s="2" t="n">
        <v>-1223</v>
      </c>
      <c r="J2364" t="inlineStr"/>
      <c r="K2364" t="inlineStr"/>
      <c r="L2364" s="2" t="n">
        <v>-13570</v>
      </c>
      <c r="M2364" t="inlineStr"/>
      <c r="N2364" t="inlineStr">
        <is>
          <t>20250808900358</t>
        </is>
      </c>
      <c r="O2364">
        <f>HYPERLINK("https://dart.fss.or.kr/dsaf001/main.do?rcpNo=20250808900358", "공시열람")</f>
        <v/>
      </c>
    </row>
    <row r="2365">
      <c r="A2365" t="inlineStr">
        <is>
          <t>2025-08-08</t>
        </is>
      </c>
      <c r="B2365" t="inlineStr">
        <is>
          <t>메가스터디교육</t>
        </is>
      </c>
      <c r="C2365" t="inlineStr">
        <is>
          <t>215200</t>
        </is>
      </c>
      <c r="D2365" t="inlineStr">
        <is>
          <t>연결</t>
        </is>
      </c>
      <c r="E2365" t="inlineStr">
        <is>
          <t>2025Q2</t>
        </is>
      </c>
      <c r="F2365" s="2" t="n">
        <v>200993</v>
      </c>
      <c r="G2365" t="inlineStr"/>
      <c r="H2365" t="inlineStr"/>
      <c r="I2365" s="2" t="n">
        <v>32658</v>
      </c>
      <c r="J2365" t="inlineStr"/>
      <c r="K2365" t="inlineStr"/>
      <c r="L2365" s="2" t="n">
        <v>25731</v>
      </c>
      <c r="M2365" t="inlineStr"/>
      <c r="N2365" t="inlineStr">
        <is>
          <t>20250808900331</t>
        </is>
      </c>
      <c r="O2365">
        <f>HYPERLINK("https://dart.fss.or.kr/dsaf001/main.do?rcpNo=20250808900331", "공시열람")</f>
        <v/>
      </c>
    </row>
    <row r="2366">
      <c r="A2366" t="inlineStr">
        <is>
          <t>2025-08-08</t>
        </is>
      </c>
      <c r="B2366" t="inlineStr">
        <is>
          <t>위메이드플레이</t>
        </is>
      </c>
      <c r="C2366" t="inlineStr">
        <is>
          <t>123420</t>
        </is>
      </c>
      <c r="D2366" t="inlineStr">
        <is>
          <t>연결</t>
        </is>
      </c>
      <c r="E2366" t="inlineStr">
        <is>
          <t>2025Q2</t>
        </is>
      </c>
      <c r="F2366" s="2" t="n">
        <v>29625</v>
      </c>
      <c r="G2366" t="inlineStr"/>
      <c r="H2366" t="inlineStr"/>
      <c r="I2366" s="2" t="n">
        <v>2455</v>
      </c>
      <c r="J2366" t="inlineStr"/>
      <c r="K2366" t="inlineStr"/>
      <c r="L2366" s="2" t="n">
        <v>13568</v>
      </c>
      <c r="M2366" t="inlineStr"/>
      <c r="N2366" t="inlineStr">
        <is>
          <t>20250808900305</t>
        </is>
      </c>
      <c r="O2366">
        <f>HYPERLINK("https://dart.fss.or.kr/dsaf001/main.do?rcpNo=20250808900305", "공시열람")</f>
        <v/>
      </c>
    </row>
    <row r="2367">
      <c r="A2367" t="inlineStr">
        <is>
          <t>2025-08-08</t>
        </is>
      </c>
      <c r="B2367" t="inlineStr">
        <is>
          <t>SG세계물산</t>
        </is>
      </c>
      <c r="C2367" t="inlineStr">
        <is>
          <t>004060</t>
        </is>
      </c>
      <c r="D2367" t="inlineStr">
        <is>
          <t>연결</t>
        </is>
      </c>
      <c r="E2367" t="inlineStr">
        <is>
          <t>2025Q2</t>
        </is>
      </c>
      <c r="F2367" s="2" t="n">
        <v>28788</v>
      </c>
      <c r="G2367" t="inlineStr"/>
      <c r="H2367" t="inlineStr"/>
      <c r="I2367" s="2" t="n">
        <v>-426</v>
      </c>
      <c r="J2367" t="inlineStr"/>
      <c r="K2367" t="inlineStr"/>
      <c r="L2367" s="2" t="n">
        <v>1075</v>
      </c>
      <c r="M2367" t="inlineStr"/>
      <c r="N2367" t="inlineStr">
        <is>
          <t>20250808800327</t>
        </is>
      </c>
      <c r="O2367">
        <f>HYPERLINK("https://dart.fss.or.kr/dsaf001/main.do?rcpNo=20250808800327", "공시열람")</f>
        <v/>
      </c>
    </row>
    <row r="2368">
      <c r="A2368" t="inlineStr">
        <is>
          <t>2025-08-08</t>
        </is>
      </c>
      <c r="B2368" t="inlineStr">
        <is>
          <t>코오롱인더</t>
        </is>
      </c>
      <c r="C2368" t="inlineStr">
        <is>
          <t>120110</t>
        </is>
      </c>
      <c r="D2368" t="inlineStr">
        <is>
          <t>연결</t>
        </is>
      </c>
      <c r="E2368" t="inlineStr">
        <is>
          <t>2025Q2</t>
        </is>
      </c>
      <c r="F2368" s="2" t="n">
        <v>1258513</v>
      </c>
      <c r="G2368" t="n">
        <v>2.19</v>
      </c>
      <c r="H2368" t="n">
        <v>0.07000000000000001</v>
      </c>
      <c r="I2368" s="2" t="n">
        <v>45305</v>
      </c>
      <c r="J2368" t="n">
        <v>68.22</v>
      </c>
      <c r="K2368" t="n">
        <v>-25.71</v>
      </c>
      <c r="L2368" s="2" t="n">
        <v>29093</v>
      </c>
      <c r="M2368" t="n">
        <v>-33.76</v>
      </c>
      <c r="N2368" t="inlineStr">
        <is>
          <t>20250808800324</t>
        </is>
      </c>
      <c r="O2368">
        <f>HYPERLINK("https://dart.fss.or.kr/dsaf001/main.do?rcpNo=20250808800324", "공시열람")</f>
        <v/>
      </c>
    </row>
    <row r="2369">
      <c r="A2369" t="inlineStr">
        <is>
          <t>2025-08-07</t>
        </is>
      </c>
      <c r="B2369" t="inlineStr">
        <is>
          <t>KT나스미디어</t>
        </is>
      </c>
      <c r="C2369" t="inlineStr">
        <is>
          <t>089600</t>
        </is>
      </c>
      <c r="D2369" t="inlineStr">
        <is>
          <t>별도</t>
        </is>
      </c>
      <c r="E2369" t="inlineStr">
        <is>
          <t>2025Q2</t>
        </is>
      </c>
      <c r="F2369" s="2" t="n">
        <v>26264</v>
      </c>
      <c r="G2369" t="inlineStr"/>
      <c r="H2369" t="inlineStr"/>
      <c r="I2369" s="2" t="n">
        <v>2614</v>
      </c>
      <c r="J2369" t="inlineStr"/>
      <c r="K2369" t="inlineStr"/>
      <c r="L2369" s="2" t="n">
        <v>-473</v>
      </c>
      <c r="M2369" t="inlineStr"/>
      <c r="N2369" t="inlineStr">
        <is>
          <t>20250807900459</t>
        </is>
      </c>
      <c r="O2369">
        <f>HYPERLINK("https://dart.fss.or.kr/dsaf001/main.do?rcpNo=20250807900459", "공시열람")</f>
        <v/>
      </c>
    </row>
    <row r="2370">
      <c r="A2370" t="inlineStr">
        <is>
          <t>2025-08-07</t>
        </is>
      </c>
      <c r="B2370" t="inlineStr">
        <is>
          <t>파라다이스</t>
        </is>
      </c>
      <c r="C2370" t="inlineStr">
        <is>
          <t>034230</t>
        </is>
      </c>
      <c r="D2370" t="inlineStr">
        <is>
          <t>연결</t>
        </is>
      </c>
      <c r="E2370" t="inlineStr">
        <is>
          <t>2025Q2</t>
        </is>
      </c>
      <c r="F2370" s="2" t="n">
        <v>284500</v>
      </c>
      <c r="G2370" t="n">
        <v>0.4</v>
      </c>
      <c r="H2370" t="n">
        <v>4.1</v>
      </c>
      <c r="I2370" s="2" t="n">
        <v>42900</v>
      </c>
      <c r="J2370" t="n">
        <v>-25.2</v>
      </c>
      <c r="K2370" t="n">
        <v>33.9</v>
      </c>
      <c r="L2370" s="2" t="n">
        <v>32400</v>
      </c>
      <c r="M2370" t="n">
        <v>84.2</v>
      </c>
      <c r="N2370" t="inlineStr">
        <is>
          <t>20250807800290</t>
        </is>
      </c>
      <c r="O2370">
        <f>HYPERLINK("https://dart.fss.or.kr/dsaf001/main.do?rcpNo=20250807800290", "공시열람")</f>
        <v/>
      </c>
    </row>
    <row r="2371">
      <c r="A2371" t="inlineStr">
        <is>
          <t>2025-08-07</t>
        </is>
      </c>
      <c r="B2371" t="inlineStr">
        <is>
          <t>CJ CGV</t>
        </is>
      </c>
      <c r="C2371" t="inlineStr">
        <is>
          <t>079160</t>
        </is>
      </c>
      <c r="D2371" t="inlineStr">
        <is>
          <t>연결</t>
        </is>
      </c>
      <c r="E2371" t="inlineStr">
        <is>
          <t>2025Q2</t>
        </is>
      </c>
      <c r="F2371" s="2" t="n">
        <v>491616</v>
      </c>
      <c r="G2371" t="n">
        <v>-7.9</v>
      </c>
      <c r="H2371" t="n">
        <v>14.3</v>
      </c>
      <c r="I2371" s="2" t="n">
        <v>1717</v>
      </c>
      <c r="J2371" t="n">
        <v>-46.4</v>
      </c>
      <c r="K2371" t="n">
        <v>-92.3</v>
      </c>
      <c r="L2371" s="2" t="n">
        <v>-38213</v>
      </c>
      <c r="M2371" t="n">
        <v>-469.8</v>
      </c>
      <c r="N2371" t="inlineStr">
        <is>
          <t>20250807800291</t>
        </is>
      </c>
      <c r="O2371">
        <f>HYPERLINK("https://dart.fss.or.kr/dsaf001/main.do?rcpNo=20250807800291", "공시열람")</f>
        <v/>
      </c>
    </row>
    <row r="2372">
      <c r="A2372" t="inlineStr">
        <is>
          <t>2025-08-07</t>
        </is>
      </c>
      <c r="B2372" t="inlineStr">
        <is>
          <t>케이티앤지</t>
        </is>
      </c>
      <c r="C2372" t="inlineStr">
        <is>
          <t>033780</t>
        </is>
      </c>
      <c r="D2372" t="inlineStr">
        <is>
          <t>연결</t>
        </is>
      </c>
      <c r="E2372" t="inlineStr">
        <is>
          <t>2025Q2</t>
        </is>
      </c>
      <c r="F2372" s="2" t="n">
        <v>1547903</v>
      </c>
      <c r="G2372" t="n">
        <v>3.8</v>
      </c>
      <c r="H2372" t="n">
        <v>8.699999999999999</v>
      </c>
      <c r="I2372" s="2" t="n">
        <v>349882</v>
      </c>
      <c r="J2372" t="n">
        <v>22.5</v>
      </c>
      <c r="K2372" t="n">
        <v>8.699999999999999</v>
      </c>
      <c r="L2372" s="2" t="n">
        <v>143514</v>
      </c>
      <c r="M2372" t="n">
        <v>-54.1</v>
      </c>
      <c r="N2372" t="inlineStr">
        <is>
          <t>20250807800275</t>
        </is>
      </c>
      <c r="O2372">
        <f>HYPERLINK("https://dart.fss.or.kr/dsaf001/main.do?rcpNo=20250807800275", "공시열람")</f>
        <v/>
      </c>
    </row>
    <row r="2373">
      <c r="A2373" t="inlineStr">
        <is>
          <t>2025-08-07</t>
        </is>
      </c>
      <c r="B2373" t="inlineStr">
        <is>
          <t>SK케미칼</t>
        </is>
      </c>
      <c r="C2373" t="inlineStr">
        <is>
          <t>285130</t>
        </is>
      </c>
      <c r="D2373" t="inlineStr">
        <is>
          <t>별도</t>
        </is>
      </c>
      <c r="E2373" t="inlineStr">
        <is>
          <t>2025Q2</t>
        </is>
      </c>
      <c r="F2373" s="2" t="n">
        <v>383995</v>
      </c>
      <c r="G2373" t="n">
        <v>10.6</v>
      </c>
      <c r="H2373" t="n">
        <v>11.4</v>
      </c>
      <c r="I2373" s="2" t="n">
        <v>25139</v>
      </c>
      <c r="J2373" t="n">
        <v>-32</v>
      </c>
      <c r="K2373" t="n">
        <v>-19.6</v>
      </c>
      <c r="L2373" s="2" t="n">
        <v>15670</v>
      </c>
      <c r="M2373" t="n">
        <v>-38.9</v>
      </c>
      <c r="N2373" t="inlineStr">
        <is>
          <t>20250807800272</t>
        </is>
      </c>
      <c r="O2373">
        <f>HYPERLINK("https://dart.fss.or.kr/dsaf001/main.do?rcpNo=20250807800272", "공시열람")</f>
        <v/>
      </c>
    </row>
    <row r="2374">
      <c r="A2374" t="inlineStr">
        <is>
          <t>2025-08-07</t>
        </is>
      </c>
      <c r="B2374" t="inlineStr">
        <is>
          <t>콘텐트리중앙</t>
        </is>
      </c>
      <c r="C2374" t="inlineStr">
        <is>
          <t>036420</t>
        </is>
      </c>
      <c r="D2374" t="inlineStr">
        <is>
          <t>연결</t>
        </is>
      </c>
      <c r="E2374" t="inlineStr">
        <is>
          <t>2025Q2</t>
        </is>
      </c>
      <c r="F2374" s="2" t="n">
        <v>315521</v>
      </c>
      <c r="G2374" t="inlineStr"/>
      <c r="H2374" t="inlineStr"/>
      <c r="I2374" s="2" t="n">
        <v>1664</v>
      </c>
      <c r="J2374" t="inlineStr"/>
      <c r="K2374" t="inlineStr"/>
      <c r="L2374" s="2" t="n">
        <v>-47411</v>
      </c>
      <c r="M2374" t="inlineStr"/>
      <c r="N2374" t="inlineStr">
        <is>
          <t>20250807800292</t>
        </is>
      </c>
      <c r="O2374">
        <f>HYPERLINK("https://dart.fss.or.kr/dsaf001/main.do?rcpNo=20250807800292", "공시열람")</f>
        <v/>
      </c>
    </row>
    <row r="2375">
      <c r="A2375" t="inlineStr">
        <is>
          <t>2025-08-07</t>
        </is>
      </c>
      <c r="B2375" t="inlineStr">
        <is>
          <t>아이마켓코리아</t>
        </is>
      </c>
      <c r="C2375" t="inlineStr">
        <is>
          <t>122900</t>
        </is>
      </c>
      <c r="D2375" t="inlineStr">
        <is>
          <t>연결</t>
        </is>
      </c>
      <c r="E2375" t="inlineStr">
        <is>
          <t>2025Q2</t>
        </is>
      </c>
      <c r="F2375" s="2" t="n">
        <v>735474</v>
      </c>
      <c r="G2375" t="n">
        <v>-1.61</v>
      </c>
      <c r="H2375" t="n">
        <v>-9.91</v>
      </c>
      <c r="I2375" s="2" t="n">
        <v>6540</v>
      </c>
      <c r="J2375" t="n">
        <v>-32.77</v>
      </c>
      <c r="K2375" t="n">
        <v>-36.15</v>
      </c>
      <c r="L2375" s="2" t="n">
        <v>16480</v>
      </c>
      <c r="M2375" t="n">
        <v>90.12</v>
      </c>
      <c r="N2375" t="inlineStr">
        <is>
          <t>20250807800555</t>
        </is>
      </c>
      <c r="O2375">
        <f>HYPERLINK("https://dart.fss.or.kr/dsaf001/main.do?rcpNo=20250807800555", "공시열람")</f>
        <v/>
      </c>
    </row>
    <row r="2376">
      <c r="A2376" t="inlineStr">
        <is>
          <t>2025-08-07</t>
        </is>
      </c>
      <c r="B2376" t="inlineStr">
        <is>
          <t>한전기술</t>
        </is>
      </c>
      <c r="C2376" t="inlineStr">
        <is>
          <t>052690</t>
        </is>
      </c>
      <c r="D2376" t="inlineStr">
        <is>
          <t>연결</t>
        </is>
      </c>
      <c r="E2376" t="inlineStr">
        <is>
          <t>2025Q2</t>
        </is>
      </c>
      <c r="F2376" s="2" t="n">
        <v>102267</v>
      </c>
      <c r="G2376" t="n">
        <v>6.1</v>
      </c>
      <c r="H2376" t="n">
        <v>-19.6</v>
      </c>
      <c r="I2376" s="2" t="n">
        <v>-4428</v>
      </c>
      <c r="J2376" t="inlineStr"/>
      <c r="K2376" t="inlineStr"/>
      <c r="L2376" s="2" t="n">
        <v>326</v>
      </c>
      <c r="M2376" t="n">
        <v>-98.09999999999999</v>
      </c>
      <c r="N2376" t="inlineStr">
        <is>
          <t>20250807800474</t>
        </is>
      </c>
      <c r="O2376">
        <f>HYPERLINK("https://dart.fss.or.kr/dsaf001/main.do?rcpNo=20250807800474", "공시열람")</f>
        <v/>
      </c>
    </row>
    <row r="2377">
      <c r="A2377" t="inlineStr">
        <is>
          <t>2025-08-07</t>
        </is>
      </c>
      <c r="B2377" t="inlineStr">
        <is>
          <t>KTcs</t>
        </is>
      </c>
      <c r="C2377" t="inlineStr">
        <is>
          <t>058850</t>
        </is>
      </c>
      <c r="D2377" t="inlineStr">
        <is>
          <t>별도</t>
        </is>
      </c>
      <c r="E2377" t="inlineStr">
        <is>
          <t>2025Q2</t>
        </is>
      </c>
      <c r="F2377" s="2" t="n">
        <v>162618</v>
      </c>
      <c r="G2377" t="inlineStr"/>
      <c r="H2377" t="inlineStr"/>
      <c r="I2377" s="2" t="n">
        <v>8758</v>
      </c>
      <c r="J2377" t="inlineStr"/>
      <c r="K2377" t="inlineStr"/>
      <c r="L2377" s="2" t="n">
        <v>6671</v>
      </c>
      <c r="M2377" t="inlineStr"/>
      <c r="N2377" t="inlineStr">
        <is>
          <t>20250807800288</t>
        </is>
      </c>
      <c r="O2377">
        <f>HYPERLINK("https://dart.fss.or.kr/dsaf001/main.do?rcpNo=20250807800288", "공시열람")</f>
        <v/>
      </c>
    </row>
    <row r="2378">
      <c r="A2378" t="inlineStr">
        <is>
          <t>2025-08-07</t>
        </is>
      </c>
      <c r="B2378" t="inlineStr">
        <is>
          <t>KTcs</t>
        </is>
      </c>
      <c r="C2378" t="inlineStr">
        <is>
          <t>058850</t>
        </is>
      </c>
      <c r="D2378" t="inlineStr">
        <is>
          <t>연결</t>
        </is>
      </c>
      <c r="E2378" t="inlineStr">
        <is>
          <t>2025Q2</t>
        </is>
      </c>
      <c r="F2378" s="2" t="n">
        <v>248013</v>
      </c>
      <c r="G2378" t="inlineStr"/>
      <c r="H2378" t="inlineStr"/>
      <c r="I2378" s="2" t="n">
        <v>12819</v>
      </c>
      <c r="J2378" t="inlineStr"/>
      <c r="K2378" t="inlineStr"/>
      <c r="L2378" s="2" t="n">
        <v>10029</v>
      </c>
      <c r="M2378" t="inlineStr"/>
      <c r="N2378" t="inlineStr">
        <is>
          <t>20250807800284</t>
        </is>
      </c>
      <c r="O2378">
        <f>HYPERLINK("https://dart.fss.or.kr/dsaf001/main.do?rcpNo=20250807800284", "공시열람")</f>
        <v/>
      </c>
    </row>
    <row r="2379">
      <c r="A2379" t="inlineStr">
        <is>
          <t>2025-08-07</t>
        </is>
      </c>
      <c r="B2379" t="inlineStr">
        <is>
          <t>KZ정밀</t>
        </is>
      </c>
      <c r="C2379" t="inlineStr">
        <is>
          <t>036560</t>
        </is>
      </c>
      <c r="D2379" t="inlineStr">
        <is>
          <t>별도</t>
        </is>
      </c>
      <c r="E2379" t="inlineStr">
        <is>
          <t>2025Q2</t>
        </is>
      </c>
      <c r="F2379" s="2" t="n">
        <v>32133</v>
      </c>
      <c r="G2379" t="inlineStr"/>
      <c r="H2379" t="inlineStr"/>
      <c r="I2379" s="2" t="n">
        <v>4006</v>
      </c>
      <c r="J2379" t="inlineStr"/>
      <c r="K2379" t="inlineStr"/>
      <c r="L2379" s="2" t="n">
        <v>4073</v>
      </c>
      <c r="M2379" t="inlineStr"/>
      <c r="N2379" t="inlineStr">
        <is>
          <t>20250807900413</t>
        </is>
      </c>
      <c r="O2379">
        <f>HYPERLINK("https://dart.fss.or.kr/dsaf001/main.do?rcpNo=20250807900413", "공시열람")</f>
        <v/>
      </c>
    </row>
    <row r="2380">
      <c r="A2380" t="inlineStr">
        <is>
          <t>2025-08-07</t>
        </is>
      </c>
      <c r="B2380" t="inlineStr">
        <is>
          <t>이노션</t>
        </is>
      </c>
      <c r="C2380" t="inlineStr">
        <is>
          <t>214320</t>
        </is>
      </c>
      <c r="D2380" t="inlineStr">
        <is>
          <t>연결</t>
        </is>
      </c>
      <c r="E2380" t="inlineStr">
        <is>
          <t>2025Q2</t>
        </is>
      </c>
      <c r="F2380" s="2" t="n">
        <v>519043</v>
      </c>
      <c r="G2380" t="n">
        <v>3.1</v>
      </c>
      <c r="H2380" t="n">
        <v>-0.6</v>
      </c>
      <c r="I2380" s="2" t="n">
        <v>36415</v>
      </c>
      <c r="J2380" t="n">
        <v>22</v>
      </c>
      <c r="K2380" t="n">
        <v>-0.7</v>
      </c>
      <c r="L2380" s="2" t="n">
        <v>23824</v>
      </c>
      <c r="M2380" t="n">
        <v>-11</v>
      </c>
      <c r="N2380" t="inlineStr">
        <is>
          <t>20250807800400</t>
        </is>
      </c>
      <c r="O2380">
        <f>HYPERLINK("https://dart.fss.or.kr/dsaf001/main.do?rcpNo=20250807800400", "공시열람")</f>
        <v/>
      </c>
    </row>
    <row r="2381">
      <c r="A2381" t="inlineStr">
        <is>
          <t>2025-08-07</t>
        </is>
      </c>
      <c r="B2381" t="inlineStr">
        <is>
          <t>하림</t>
        </is>
      </c>
      <c r="C2381" t="inlineStr">
        <is>
          <t>136480</t>
        </is>
      </c>
      <c r="D2381" t="inlineStr">
        <is>
          <t>연결</t>
        </is>
      </c>
      <c r="E2381" t="inlineStr">
        <is>
          <t>2025Q2</t>
        </is>
      </c>
      <c r="F2381" s="2" t="n">
        <v>387408</v>
      </c>
      <c r="G2381" t="inlineStr"/>
      <c r="H2381" t="inlineStr"/>
      <c r="I2381" s="2" t="n">
        <v>19771</v>
      </c>
      <c r="J2381" t="inlineStr"/>
      <c r="K2381" t="inlineStr"/>
      <c r="L2381" s="2" t="n">
        <v>29963</v>
      </c>
      <c r="M2381" t="inlineStr"/>
      <c r="N2381" t="inlineStr">
        <is>
          <t>20250807900361</t>
        </is>
      </c>
      <c r="O2381">
        <f>HYPERLINK("https://dart.fss.or.kr/dsaf001/main.do?rcpNo=20250807900361", "공시열람")</f>
        <v/>
      </c>
    </row>
    <row r="2382">
      <c r="A2382" t="inlineStr">
        <is>
          <t>2025-08-07</t>
        </is>
      </c>
      <c r="B2382" t="inlineStr">
        <is>
          <t>하림</t>
        </is>
      </c>
      <c r="C2382" t="inlineStr">
        <is>
          <t>136480</t>
        </is>
      </c>
      <c r="D2382" t="inlineStr">
        <is>
          <t>별도</t>
        </is>
      </c>
      <c r="E2382" t="inlineStr">
        <is>
          <t>2025Q2</t>
        </is>
      </c>
      <c r="F2382" s="2" t="n">
        <v>376743</v>
      </c>
      <c r="G2382" t="inlineStr"/>
      <c r="H2382" t="inlineStr"/>
      <c r="I2382" s="2" t="n">
        <v>20302</v>
      </c>
      <c r="J2382" t="inlineStr"/>
      <c r="K2382" t="inlineStr"/>
      <c r="L2382" s="2" t="n">
        <v>28205</v>
      </c>
      <c r="M2382" t="inlineStr"/>
      <c r="N2382" t="inlineStr">
        <is>
          <t>20250807900358</t>
        </is>
      </c>
      <c r="O2382">
        <f>HYPERLINK("https://dart.fss.or.kr/dsaf001/main.do?rcpNo=20250807900358", "공시열람")</f>
        <v/>
      </c>
    </row>
    <row r="2383">
      <c r="A2383" t="inlineStr">
        <is>
          <t>2025-08-07</t>
        </is>
      </c>
      <c r="B2383" t="inlineStr">
        <is>
          <t>카페24</t>
        </is>
      </c>
      <c r="C2383" t="inlineStr">
        <is>
          <t>042000</t>
        </is>
      </c>
      <c r="D2383" t="inlineStr">
        <is>
          <t>연결</t>
        </is>
      </c>
      <c r="E2383" t="inlineStr">
        <is>
          <t>2025Q2</t>
        </is>
      </c>
      <c r="F2383" s="2" t="n">
        <v>79422</v>
      </c>
      <c r="G2383" t="inlineStr"/>
      <c r="H2383" t="inlineStr"/>
      <c r="I2383" s="2" t="n">
        <v>11236</v>
      </c>
      <c r="J2383" t="inlineStr"/>
      <c r="K2383" t="inlineStr"/>
      <c r="L2383" s="2" t="n">
        <v>13102</v>
      </c>
      <c r="M2383" t="inlineStr"/>
      <c r="N2383" t="inlineStr">
        <is>
          <t>20250807900350</t>
        </is>
      </c>
      <c r="O2383">
        <f>HYPERLINK("https://dart.fss.or.kr/dsaf001/main.do?rcpNo=20250807900350", "공시열람")</f>
        <v/>
      </c>
    </row>
    <row r="2384">
      <c r="A2384" t="inlineStr">
        <is>
          <t>2025-08-07</t>
        </is>
      </c>
      <c r="B2384" t="inlineStr">
        <is>
          <t>심텍</t>
        </is>
      </c>
      <c r="C2384" t="inlineStr">
        <is>
          <t>222800</t>
        </is>
      </c>
      <c r="D2384" t="inlineStr">
        <is>
          <t>연결</t>
        </is>
      </c>
      <c r="E2384" t="inlineStr">
        <is>
          <t>2025Q2</t>
        </is>
      </c>
      <c r="F2384" s="2" t="n">
        <v>340767</v>
      </c>
      <c r="G2384" t="inlineStr"/>
      <c r="H2384" t="inlineStr"/>
      <c r="I2384" s="2" t="n">
        <v>5544</v>
      </c>
      <c r="J2384" t="inlineStr"/>
      <c r="K2384" t="inlineStr"/>
      <c r="L2384" s="2" t="n">
        <v>-18719</v>
      </c>
      <c r="M2384" t="inlineStr"/>
      <c r="N2384" t="inlineStr">
        <is>
          <t>20250807900335</t>
        </is>
      </c>
      <c r="O2384">
        <f>HYPERLINK("https://dart.fss.or.kr/dsaf001/main.do?rcpNo=20250807900335", "공시열람")</f>
        <v/>
      </c>
    </row>
    <row r="2385">
      <c r="A2385" t="inlineStr">
        <is>
          <t>2025-08-07</t>
        </is>
      </c>
      <c r="B2385" t="inlineStr">
        <is>
          <t>원익머트리얼즈</t>
        </is>
      </c>
      <c r="C2385" t="inlineStr">
        <is>
          <t>104830</t>
        </is>
      </c>
      <c r="D2385" t="inlineStr">
        <is>
          <t>연결</t>
        </is>
      </c>
      <c r="E2385" t="inlineStr">
        <is>
          <t>2025Q2</t>
        </is>
      </c>
      <c r="F2385" s="2" t="n">
        <v>74996</v>
      </c>
      <c r="G2385" t="inlineStr"/>
      <c r="H2385" t="inlineStr"/>
      <c r="I2385" s="2" t="n">
        <v>11310</v>
      </c>
      <c r="J2385" t="inlineStr"/>
      <c r="K2385" t="inlineStr"/>
      <c r="L2385" s="2" t="n">
        <v>9943</v>
      </c>
      <c r="M2385" t="inlineStr"/>
      <c r="N2385" t="inlineStr">
        <is>
          <t>20250807900363</t>
        </is>
      </c>
      <c r="O2385">
        <f>HYPERLINK("https://dart.fss.or.kr/dsaf001/main.do?rcpNo=20250807900363", "공시열람")</f>
        <v/>
      </c>
    </row>
    <row r="2386">
      <c r="A2386" t="inlineStr">
        <is>
          <t>2025-08-07</t>
        </is>
      </c>
      <c r="B2386" t="inlineStr">
        <is>
          <t>LIG디펜스앤에어로스페이스</t>
        </is>
      </c>
      <c r="C2386" t="inlineStr">
        <is>
          <t>079550</t>
        </is>
      </c>
      <c r="D2386" t="inlineStr">
        <is>
          <t>연결</t>
        </is>
      </c>
      <c r="E2386" t="inlineStr">
        <is>
          <t>2025Q2</t>
        </is>
      </c>
      <c r="F2386" s="2" t="n">
        <v>945400</v>
      </c>
      <c r="G2386" t="n">
        <v>4.2</v>
      </c>
      <c r="H2386" t="n">
        <v>56.3</v>
      </c>
      <c r="I2386" s="2" t="n">
        <v>77600</v>
      </c>
      <c r="J2386" t="n">
        <v>-31.7</v>
      </c>
      <c r="K2386" t="n">
        <v>57.9</v>
      </c>
      <c r="L2386" s="2" t="n">
        <v>100600</v>
      </c>
      <c r="M2386" t="n">
        <v>120.3</v>
      </c>
      <c r="N2386" t="inlineStr">
        <is>
          <t>20250807800282</t>
        </is>
      </c>
      <c r="O2386">
        <f>HYPERLINK("https://dart.fss.or.kr/dsaf001/main.do?rcpNo=20250807800282", "공시열람")</f>
        <v/>
      </c>
    </row>
    <row r="2387">
      <c r="A2387" t="inlineStr">
        <is>
          <t>2025-08-07</t>
        </is>
      </c>
      <c r="B2387" t="inlineStr">
        <is>
          <t>CJ프레시웨이</t>
        </is>
      </c>
      <c r="C2387" t="inlineStr">
        <is>
          <t>051500</t>
        </is>
      </c>
      <c r="D2387" t="inlineStr">
        <is>
          <t>연결</t>
        </is>
      </c>
      <c r="E2387" t="inlineStr">
        <is>
          <t>2025Q2</t>
        </is>
      </c>
      <c r="F2387" s="2" t="n">
        <v>883317</v>
      </c>
      <c r="G2387" t="inlineStr"/>
      <c r="H2387" t="inlineStr"/>
      <c r="I2387" s="2" t="n">
        <v>27437</v>
      </c>
      <c r="J2387" t="inlineStr"/>
      <c r="K2387" t="inlineStr"/>
      <c r="L2387" s="2" t="n">
        <v>14985</v>
      </c>
      <c r="M2387" t="inlineStr"/>
      <c r="N2387" t="inlineStr">
        <is>
          <t>20250807900296</t>
        </is>
      </c>
      <c r="O2387">
        <f>HYPERLINK("https://dart.fss.or.kr/dsaf001/main.do?rcpNo=20250807900296", "공시열람")</f>
        <v/>
      </c>
    </row>
    <row r="2388">
      <c r="A2388" t="inlineStr">
        <is>
          <t>2025-08-07</t>
        </is>
      </c>
      <c r="B2388" t="inlineStr">
        <is>
          <t>엠씨넥스</t>
        </is>
      </c>
      <c r="C2388" t="inlineStr">
        <is>
          <t>097520</t>
        </is>
      </c>
      <c r="D2388" t="inlineStr">
        <is>
          <t>연결</t>
        </is>
      </c>
      <c r="E2388" t="inlineStr">
        <is>
          <t>2025Q2</t>
        </is>
      </c>
      <c r="F2388" s="2" t="n">
        <v>326424</v>
      </c>
      <c r="G2388" t="inlineStr"/>
      <c r="H2388" t="inlineStr"/>
      <c r="I2388" s="2" t="n">
        <v>16171</v>
      </c>
      <c r="J2388" t="inlineStr"/>
      <c r="K2388" t="inlineStr"/>
      <c r="L2388" s="2" t="n">
        <v>13050</v>
      </c>
      <c r="M2388" t="inlineStr"/>
      <c r="N2388" t="inlineStr">
        <is>
          <t>20250807800320</t>
        </is>
      </c>
      <c r="O2388">
        <f>HYPERLINK("https://dart.fss.or.kr/dsaf001/main.do?rcpNo=20250807800320", "공시열람")</f>
        <v/>
      </c>
    </row>
    <row r="2389">
      <c r="A2389" t="inlineStr">
        <is>
          <t>2025-08-07</t>
        </is>
      </c>
      <c r="B2389" t="inlineStr">
        <is>
          <t>SK케미칼</t>
        </is>
      </c>
      <c r="C2389" t="inlineStr">
        <is>
          <t>285130</t>
        </is>
      </c>
      <c r="D2389" t="inlineStr">
        <is>
          <t>연결</t>
        </is>
      </c>
      <c r="E2389" t="inlineStr">
        <is>
          <t>2025Q2</t>
        </is>
      </c>
      <c r="F2389" s="2" t="n">
        <v>596865</v>
      </c>
      <c r="G2389" t="n">
        <v>11.2</v>
      </c>
      <c r="H2389" t="n">
        <v>44.2</v>
      </c>
      <c r="I2389" s="2" t="n">
        <v>-963</v>
      </c>
      <c r="J2389" t="inlineStr"/>
      <c r="K2389" t="inlineStr"/>
      <c r="L2389" s="2" t="n">
        <v>8189</v>
      </c>
      <c r="M2389" t="n">
        <v>60</v>
      </c>
      <c r="N2389" t="inlineStr">
        <is>
          <t>20250807800274</t>
        </is>
      </c>
      <c r="O2389">
        <f>HYPERLINK("https://dart.fss.or.kr/dsaf001/main.do?rcpNo=20250807800274", "공시열람")</f>
        <v/>
      </c>
    </row>
    <row r="2390">
      <c r="A2390" t="inlineStr">
        <is>
          <t>2025-08-07</t>
        </is>
      </c>
      <c r="B2390" t="inlineStr">
        <is>
          <t>넷마블</t>
        </is>
      </c>
      <c r="C2390" t="inlineStr">
        <is>
          <t>251270</t>
        </is>
      </c>
      <c r="D2390" t="inlineStr">
        <is>
          <t>연결</t>
        </is>
      </c>
      <c r="E2390" t="inlineStr">
        <is>
          <t>2025Q2</t>
        </is>
      </c>
      <c r="F2390" s="2" t="n">
        <v>717600</v>
      </c>
      <c r="G2390" t="n">
        <v>15</v>
      </c>
      <c r="H2390" t="n">
        <v>-8.199999999999999</v>
      </c>
      <c r="I2390" s="2" t="n">
        <v>101100</v>
      </c>
      <c r="J2390" t="n">
        <v>103.4</v>
      </c>
      <c r="K2390" t="n">
        <v>-9.1</v>
      </c>
      <c r="L2390" s="2" t="n">
        <v>160200</v>
      </c>
      <c r="M2390" t="n">
        <v>-1.3</v>
      </c>
      <c r="N2390" t="inlineStr">
        <is>
          <t>20250807800297</t>
        </is>
      </c>
      <c r="O2390">
        <f>HYPERLINK("https://dart.fss.or.kr/dsaf001/main.do?rcpNo=20250807800297", "공시열람")</f>
        <v/>
      </c>
    </row>
    <row r="2391">
      <c r="A2391" t="inlineStr">
        <is>
          <t>2025-08-07</t>
        </is>
      </c>
      <c r="B2391" t="inlineStr">
        <is>
          <t>쎌바이오텍</t>
        </is>
      </c>
      <c r="C2391" t="inlineStr">
        <is>
          <t>049960</t>
        </is>
      </c>
      <c r="D2391" t="inlineStr">
        <is>
          <t>연결</t>
        </is>
      </c>
      <c r="E2391" t="inlineStr">
        <is>
          <t>2025Q2</t>
        </is>
      </c>
      <c r="F2391" s="2" t="n">
        <v>11910</v>
      </c>
      <c r="G2391" t="inlineStr"/>
      <c r="H2391" t="inlineStr"/>
      <c r="I2391" s="2" t="n">
        <v>1281</v>
      </c>
      <c r="J2391" t="inlineStr"/>
      <c r="K2391" t="inlineStr"/>
      <c r="L2391" s="2" t="n">
        <v>213</v>
      </c>
      <c r="M2391" t="inlineStr"/>
      <c r="N2391" t="inlineStr">
        <is>
          <t>20250807900443</t>
        </is>
      </c>
      <c r="O2391">
        <f>HYPERLINK("https://dart.fss.or.kr/dsaf001/main.do?rcpNo=20250807900443", "공시열람")</f>
        <v/>
      </c>
    </row>
    <row r="2392">
      <c r="A2392" t="inlineStr">
        <is>
          <t>2025-08-07</t>
        </is>
      </c>
      <c r="B2392" t="inlineStr">
        <is>
          <t>원익IPS</t>
        </is>
      </c>
      <c r="C2392" t="inlineStr">
        <is>
          <t>240810</t>
        </is>
      </c>
      <c r="D2392" t="inlineStr">
        <is>
          <t>연결</t>
        </is>
      </c>
      <c r="E2392" t="inlineStr">
        <is>
          <t>2025Q2</t>
        </is>
      </c>
      <c r="F2392" s="2" t="n">
        <v>242169</v>
      </c>
      <c r="G2392" t="inlineStr"/>
      <c r="H2392" t="inlineStr"/>
      <c r="I2392" s="2" t="n">
        <v>36451</v>
      </c>
      <c r="J2392" t="inlineStr"/>
      <c r="K2392" t="inlineStr"/>
      <c r="L2392" s="2" t="n">
        <v>27654</v>
      </c>
      <c r="M2392" t="inlineStr"/>
      <c r="N2392" t="inlineStr">
        <is>
          <t>20250807900187</t>
        </is>
      </c>
      <c r="O2392">
        <f>HYPERLINK("https://dart.fss.or.kr/dsaf001/main.do?rcpNo=20250807900187", "공시열람")</f>
        <v/>
      </c>
    </row>
    <row r="2393">
      <c r="A2393" t="inlineStr">
        <is>
          <t>2025-08-07</t>
        </is>
      </c>
      <c r="B2393" t="inlineStr">
        <is>
          <t>헥토파이낸셜</t>
        </is>
      </c>
      <c r="C2393" t="inlineStr">
        <is>
          <t>234340</t>
        </is>
      </c>
      <c r="D2393" t="inlineStr">
        <is>
          <t>별도</t>
        </is>
      </c>
      <c r="E2393" t="inlineStr">
        <is>
          <t>2025Q2</t>
        </is>
      </c>
      <c r="F2393" s="2" t="n">
        <v>39092</v>
      </c>
      <c r="G2393" t="inlineStr"/>
      <c r="H2393" t="inlineStr"/>
      <c r="I2393" s="2" t="n">
        <v>4569</v>
      </c>
      <c r="J2393" t="inlineStr"/>
      <c r="K2393" t="inlineStr"/>
      <c r="L2393" s="2" t="n">
        <v>3461</v>
      </c>
      <c r="M2393" t="inlineStr"/>
      <c r="N2393" t="inlineStr">
        <is>
          <t>20250807900047</t>
        </is>
      </c>
      <c r="O2393">
        <f>HYPERLINK("https://dart.fss.or.kr/dsaf001/main.do?rcpNo=20250807900047", "공시열람")</f>
        <v/>
      </c>
    </row>
    <row r="2394">
      <c r="A2394" t="inlineStr">
        <is>
          <t>2025-08-07</t>
        </is>
      </c>
      <c r="B2394" t="inlineStr">
        <is>
          <t>스튜디오드래곤</t>
        </is>
      </c>
      <c r="C2394" t="inlineStr">
        <is>
          <t>253450</t>
        </is>
      </c>
      <c r="D2394" t="inlineStr">
        <is>
          <t>연결</t>
        </is>
      </c>
      <c r="E2394" t="inlineStr">
        <is>
          <t>2025Q2</t>
        </is>
      </c>
      <c r="F2394" s="2" t="n">
        <v>114491</v>
      </c>
      <c r="G2394" t="inlineStr"/>
      <c r="H2394" t="inlineStr"/>
      <c r="I2394" s="2" t="n">
        <v>-2916</v>
      </c>
      <c r="J2394" t="inlineStr"/>
      <c r="K2394" t="inlineStr"/>
      <c r="L2394" s="2" t="n">
        <v>-3729</v>
      </c>
      <c r="M2394" t="inlineStr"/>
      <c r="N2394" t="inlineStr">
        <is>
          <t>20250807900127</t>
        </is>
      </c>
      <c r="O2394">
        <f>HYPERLINK("https://dart.fss.or.kr/dsaf001/main.do?rcpNo=20250807900127", "공시열람")</f>
        <v/>
      </c>
    </row>
    <row r="2395">
      <c r="A2395" t="inlineStr">
        <is>
          <t>2025-08-07</t>
        </is>
      </c>
      <c r="B2395" t="inlineStr">
        <is>
          <t>카카오</t>
        </is>
      </c>
      <c r="C2395" t="inlineStr">
        <is>
          <t>035720</t>
        </is>
      </c>
      <c r="D2395" t="inlineStr">
        <is>
          <t>연결</t>
        </is>
      </c>
      <c r="E2395" t="inlineStr">
        <is>
          <t>2025Q2</t>
        </is>
      </c>
      <c r="F2395" s="2" t="n">
        <v>2028313</v>
      </c>
      <c r="G2395" t="n">
        <v>8.800000000000001</v>
      </c>
      <c r="H2395" t="n">
        <v>1.2</v>
      </c>
      <c r="I2395" s="2" t="n">
        <v>185926</v>
      </c>
      <c r="J2395" t="n">
        <v>76.40000000000001</v>
      </c>
      <c r="K2395" t="n">
        <v>38.8</v>
      </c>
      <c r="L2395" s="2" t="n">
        <v>171815</v>
      </c>
      <c r="M2395" t="n">
        <v>97.2</v>
      </c>
      <c r="N2395" t="inlineStr">
        <is>
          <t>20250807800005</t>
        </is>
      </c>
      <c r="O2395">
        <f>HYPERLINK("https://dart.fss.or.kr/dsaf001/main.do?rcpNo=20250807800005", "공시열람")</f>
        <v/>
      </c>
    </row>
    <row r="2396">
      <c r="A2396" t="inlineStr">
        <is>
          <t>2025-08-07</t>
        </is>
      </c>
      <c r="B2396" t="inlineStr">
        <is>
          <t>케이카</t>
        </is>
      </c>
      <c r="C2396" t="inlineStr">
        <is>
          <t>381970</t>
        </is>
      </c>
      <c r="D2396" t="inlineStr">
        <is>
          <t>별도</t>
        </is>
      </c>
      <c r="E2396" t="inlineStr">
        <is>
          <t>2025Q2</t>
        </is>
      </c>
      <c r="F2396" s="2" t="n">
        <v>608869</v>
      </c>
      <c r="G2396" t="n">
        <v>0.7</v>
      </c>
      <c r="H2396" t="n">
        <v>3.4</v>
      </c>
      <c r="I2396" s="2" t="n">
        <v>18121</v>
      </c>
      <c r="J2396" t="n">
        <v>-15.6</v>
      </c>
      <c r="K2396" t="n">
        <v>0.1</v>
      </c>
      <c r="L2396" s="2" t="n">
        <v>12012</v>
      </c>
      <c r="M2396" t="n">
        <v>1.7</v>
      </c>
      <c r="N2396" t="inlineStr">
        <is>
          <t>20250807800025</t>
        </is>
      </c>
      <c r="O2396">
        <f>HYPERLINK("https://dart.fss.or.kr/dsaf001/main.do?rcpNo=20250807800025", "공시열람")</f>
        <v/>
      </c>
    </row>
    <row r="2397">
      <c r="A2397" t="inlineStr">
        <is>
          <t>2025-08-07</t>
        </is>
      </c>
      <c r="B2397" t="inlineStr">
        <is>
          <t>텔레칩스</t>
        </is>
      </c>
      <c r="C2397" t="inlineStr">
        <is>
          <t>054450</t>
        </is>
      </c>
      <c r="D2397" t="inlineStr">
        <is>
          <t>연결</t>
        </is>
      </c>
      <c r="E2397" t="inlineStr">
        <is>
          <t>2025Q2</t>
        </is>
      </c>
      <c r="F2397" s="2" t="n">
        <v>44303</v>
      </c>
      <c r="G2397" t="inlineStr"/>
      <c r="H2397" t="inlineStr"/>
      <c r="I2397" s="2" t="n">
        <v>-3554</v>
      </c>
      <c r="J2397" t="inlineStr"/>
      <c r="K2397" t="inlineStr"/>
      <c r="L2397" s="2" t="n">
        <v>-3220</v>
      </c>
      <c r="M2397" t="inlineStr"/>
      <c r="N2397" t="inlineStr">
        <is>
          <t>20250807900023</t>
        </is>
      </c>
      <c r="O2397">
        <f>HYPERLINK("https://dart.fss.or.kr/dsaf001/main.do?rcpNo=20250807900023", "공시열람")</f>
        <v/>
      </c>
    </row>
    <row r="2398">
      <c r="A2398" t="inlineStr">
        <is>
          <t>2025-08-07</t>
        </is>
      </c>
      <c r="B2398" t="inlineStr">
        <is>
          <t>헥토이노베이션</t>
        </is>
      </c>
      <c r="C2398" t="inlineStr">
        <is>
          <t>214180</t>
        </is>
      </c>
      <c r="D2398" t="inlineStr">
        <is>
          <t>연결</t>
        </is>
      </c>
      <c r="E2398" t="inlineStr">
        <is>
          <t>2025Q2</t>
        </is>
      </c>
      <c r="F2398" s="2" t="n">
        <v>91791</v>
      </c>
      <c r="G2398" t="inlineStr"/>
      <c r="H2398" t="inlineStr"/>
      <c r="I2398" s="2" t="n">
        <v>13422</v>
      </c>
      <c r="J2398" t="inlineStr"/>
      <c r="K2398" t="inlineStr"/>
      <c r="L2398" s="2" t="n">
        <v>13314</v>
      </c>
      <c r="M2398" t="inlineStr"/>
      <c r="N2398" t="inlineStr">
        <is>
          <t>20250807900043</t>
        </is>
      </c>
      <c r="O2398">
        <f>HYPERLINK("https://dart.fss.or.kr/dsaf001/main.do?rcpNo=20250807900043", "공시열람")</f>
        <v/>
      </c>
    </row>
    <row r="2399">
      <c r="A2399" t="inlineStr">
        <is>
          <t>2025-08-07</t>
        </is>
      </c>
      <c r="B2399" t="inlineStr">
        <is>
          <t>카카오</t>
        </is>
      </c>
      <c r="C2399" t="inlineStr">
        <is>
          <t>035720</t>
        </is>
      </c>
      <c r="D2399" t="inlineStr">
        <is>
          <t>별도</t>
        </is>
      </c>
      <c r="E2399" t="inlineStr">
        <is>
          <t>2025Q2</t>
        </is>
      </c>
      <c r="F2399" s="2" t="n">
        <v>654618</v>
      </c>
      <c r="G2399" t="n">
        <v>-1.1</v>
      </c>
      <c r="H2399" t="n">
        <v>1.6</v>
      </c>
      <c r="I2399" s="2" t="n">
        <v>107839</v>
      </c>
      <c r="J2399" t="n">
        <v>3.8</v>
      </c>
      <c r="K2399" t="n">
        <v>-17</v>
      </c>
      <c r="L2399" s="2" t="n">
        <v>17146</v>
      </c>
      <c r="M2399" t="n">
        <v>-23.4</v>
      </c>
      <c r="N2399" t="inlineStr">
        <is>
          <t>20250807800006</t>
        </is>
      </c>
      <c r="O2399">
        <f>HYPERLINK("https://dart.fss.or.kr/dsaf001/main.do?rcpNo=20250807800006", "공시열람")</f>
        <v/>
      </c>
    </row>
    <row r="2400">
      <c r="A2400" t="inlineStr">
        <is>
          <t>2025-08-07</t>
        </is>
      </c>
      <c r="B2400" t="inlineStr">
        <is>
          <t>미래에셋증권</t>
        </is>
      </c>
      <c r="C2400" t="inlineStr">
        <is>
          <t>006800</t>
        </is>
      </c>
      <c r="D2400" t="inlineStr">
        <is>
          <t>연결</t>
        </is>
      </c>
      <c r="E2400" t="inlineStr">
        <is>
          <t>2025Q2</t>
        </is>
      </c>
      <c r="F2400" s="2" t="n">
        <v>7694877</v>
      </c>
      <c r="G2400" t="inlineStr"/>
      <c r="H2400" t="inlineStr"/>
      <c r="I2400" s="2" t="n">
        <v>500444</v>
      </c>
      <c r="J2400" t="inlineStr"/>
      <c r="K2400" t="inlineStr"/>
      <c r="L2400" s="2" t="n">
        <v>405857</v>
      </c>
      <c r="M2400" t="inlineStr"/>
      <c r="N2400" t="inlineStr">
        <is>
          <t>20250807800040</t>
        </is>
      </c>
      <c r="O2400">
        <f>HYPERLINK("https://dart.fss.or.kr/dsaf001/main.do?rcpNo=20250807800040", "공시열람")</f>
        <v/>
      </c>
    </row>
    <row r="2401">
      <c r="A2401" t="inlineStr">
        <is>
          <t>2025-08-07</t>
        </is>
      </c>
      <c r="B2401" t="inlineStr">
        <is>
          <t>헥토파이낸셜</t>
        </is>
      </c>
      <c r="C2401" t="inlineStr">
        <is>
          <t>234340</t>
        </is>
      </c>
      <c r="D2401" t="inlineStr">
        <is>
          <t>연결</t>
        </is>
      </c>
      <c r="E2401" t="inlineStr">
        <is>
          <t>2025Q2</t>
        </is>
      </c>
      <c r="F2401" s="2" t="n">
        <v>44526</v>
      </c>
      <c r="G2401" t="inlineStr"/>
      <c r="H2401" t="inlineStr"/>
      <c r="I2401" s="2" t="n">
        <v>3836</v>
      </c>
      <c r="J2401" t="inlineStr"/>
      <c r="K2401" t="inlineStr"/>
      <c r="L2401" s="2" t="n">
        <v>2572</v>
      </c>
      <c r="M2401" t="inlineStr"/>
      <c r="N2401" t="inlineStr">
        <is>
          <t>20250807900049</t>
        </is>
      </c>
      <c r="O2401">
        <f>HYPERLINK("https://dart.fss.or.kr/dsaf001/main.do?rcpNo=20250807900049", "공시열람")</f>
        <v/>
      </c>
    </row>
    <row r="2402">
      <c r="A2402" t="inlineStr">
        <is>
          <t>2025-08-07</t>
        </is>
      </c>
      <c r="B2402" t="inlineStr">
        <is>
          <t>메쎄이상</t>
        </is>
      </c>
      <c r="C2402" t="inlineStr">
        <is>
          <t>408920</t>
        </is>
      </c>
      <c r="D2402" t="inlineStr">
        <is>
          <t>연결</t>
        </is>
      </c>
      <c r="E2402" t="inlineStr">
        <is>
          <t>2025Q2</t>
        </is>
      </c>
      <c r="F2402" s="2" t="n">
        <v>17436</v>
      </c>
      <c r="G2402" t="inlineStr"/>
      <c r="H2402" t="inlineStr"/>
      <c r="I2402" s="2" t="n">
        <v>6469</v>
      </c>
      <c r="J2402" t="inlineStr"/>
      <c r="K2402" t="inlineStr"/>
      <c r="L2402" s="2" t="n">
        <v>5307</v>
      </c>
      <c r="M2402" t="inlineStr"/>
      <c r="N2402" t="inlineStr">
        <is>
          <t>20250807900082</t>
        </is>
      </c>
      <c r="O2402">
        <f>HYPERLINK("https://dart.fss.or.kr/dsaf001/main.do?rcpNo=20250807900082", "공시열람")</f>
        <v/>
      </c>
    </row>
    <row r="2403">
      <c r="A2403" t="inlineStr">
        <is>
          <t>2025-08-07</t>
        </is>
      </c>
      <c r="B2403" t="inlineStr">
        <is>
          <t>데브시스터즈</t>
        </is>
      </c>
      <c r="C2403" t="inlineStr">
        <is>
          <t>194480</t>
        </is>
      </c>
      <c r="D2403" t="inlineStr">
        <is>
          <t>연결</t>
        </is>
      </c>
      <c r="E2403" t="inlineStr">
        <is>
          <t>2025Q2</t>
        </is>
      </c>
      <c r="F2403" s="2" t="n">
        <v>91976</v>
      </c>
      <c r="G2403" t="inlineStr"/>
      <c r="H2403" t="inlineStr"/>
      <c r="I2403" s="2" t="n">
        <v>10108</v>
      </c>
      <c r="J2403" t="inlineStr"/>
      <c r="K2403" t="inlineStr"/>
      <c r="L2403" s="2" t="n">
        <v>10329</v>
      </c>
      <c r="M2403" t="inlineStr"/>
      <c r="N2403" t="inlineStr">
        <is>
          <t>20250807900093</t>
        </is>
      </c>
      <c r="O2403">
        <f>HYPERLINK("https://dart.fss.or.kr/dsaf001/main.do?rcpNo=20250807900093", "공시열람")</f>
        <v/>
      </c>
    </row>
    <row r="2404">
      <c r="A2404" t="inlineStr">
        <is>
          <t>2025-08-07</t>
        </is>
      </c>
      <c r="B2404" t="inlineStr">
        <is>
          <t>코텍</t>
        </is>
      </c>
      <c r="C2404" t="inlineStr">
        <is>
          <t>052330</t>
        </is>
      </c>
      <c r="D2404" t="inlineStr">
        <is>
          <t>연결</t>
        </is>
      </c>
      <c r="E2404" t="inlineStr">
        <is>
          <t>2025Q2</t>
        </is>
      </c>
      <c r="F2404" s="2" t="n">
        <v>94374</v>
      </c>
      <c r="G2404" t="inlineStr"/>
      <c r="H2404" t="inlineStr"/>
      <c r="I2404" s="2" t="n">
        <v>6685</v>
      </c>
      <c r="J2404" t="inlineStr"/>
      <c r="K2404" t="inlineStr"/>
      <c r="L2404" s="2" t="n">
        <v>1690</v>
      </c>
      <c r="M2404" t="inlineStr"/>
      <c r="N2404" t="inlineStr">
        <is>
          <t>20250807900084</t>
        </is>
      </c>
      <c r="O2404">
        <f>HYPERLINK("https://dart.fss.or.kr/dsaf001/main.do?rcpNo=20250807900084", "공시열람")</f>
        <v/>
      </c>
    </row>
    <row r="2405">
      <c r="A2405" t="inlineStr">
        <is>
          <t>2025-08-07</t>
        </is>
      </c>
      <c r="B2405" t="inlineStr">
        <is>
          <t>레드캡투어</t>
        </is>
      </c>
      <c r="C2405" t="inlineStr">
        <is>
          <t>038390</t>
        </is>
      </c>
      <c r="D2405" t="inlineStr">
        <is>
          <t>연결</t>
        </is>
      </c>
      <c r="E2405" t="inlineStr">
        <is>
          <t>2025Q2</t>
        </is>
      </c>
      <c r="F2405" s="2" t="n">
        <v>94773</v>
      </c>
      <c r="G2405" t="inlineStr"/>
      <c r="H2405" t="inlineStr"/>
      <c r="I2405" s="2" t="n">
        <v>13526</v>
      </c>
      <c r="J2405" t="inlineStr"/>
      <c r="K2405" t="inlineStr"/>
      <c r="L2405" s="2" t="n">
        <v>7473</v>
      </c>
      <c r="M2405" t="inlineStr"/>
      <c r="N2405" t="inlineStr">
        <is>
          <t>20250807900121</t>
        </is>
      </c>
      <c r="O2405">
        <f>HYPERLINK("https://dart.fss.or.kr/dsaf001/main.do?rcpNo=20250807900121", "공시열람")</f>
        <v/>
      </c>
    </row>
    <row r="2406">
      <c r="A2406" t="inlineStr">
        <is>
          <t>2025-08-07</t>
        </is>
      </c>
      <c r="B2406" t="inlineStr">
        <is>
          <t>LG화학</t>
        </is>
      </c>
      <c r="C2406" t="inlineStr">
        <is>
          <t>051910</t>
        </is>
      </c>
      <c r="D2406" t="inlineStr">
        <is>
          <t>연결</t>
        </is>
      </c>
      <c r="E2406" t="inlineStr">
        <is>
          <t>2025Q2</t>
        </is>
      </c>
      <c r="F2406" s="2" t="n">
        <v>11417711</v>
      </c>
      <c r="G2406" t="n">
        <v>-5.8</v>
      </c>
      <c r="H2406" t="n">
        <v>-6.7</v>
      </c>
      <c r="I2406" s="2" t="n">
        <v>476783</v>
      </c>
      <c r="J2406" t="n">
        <v>8.9</v>
      </c>
      <c r="K2406" t="n">
        <v>21.5</v>
      </c>
      <c r="L2406" s="2" t="n">
        <v>-111885</v>
      </c>
      <c r="M2406" t="inlineStr"/>
      <c r="N2406" t="inlineStr">
        <is>
          <t>20250807800125</t>
        </is>
      </c>
      <c r="O2406">
        <f>HYPERLINK("https://dart.fss.or.kr/dsaf001/main.do?rcpNo=20250807800125", "공시열람")</f>
        <v/>
      </c>
    </row>
    <row r="2407">
      <c r="A2407" t="inlineStr">
        <is>
          <t>2025-08-07</t>
        </is>
      </c>
      <c r="B2407" t="inlineStr">
        <is>
          <t>지역난방공사</t>
        </is>
      </c>
      <c r="C2407" t="inlineStr">
        <is>
          <t>071320</t>
        </is>
      </c>
      <c r="D2407" t="inlineStr">
        <is>
          <t>연결</t>
        </is>
      </c>
      <c r="E2407" t="inlineStr">
        <is>
          <t>2025Q2</t>
        </is>
      </c>
      <c r="F2407" s="2" t="n">
        <v>623079</v>
      </c>
      <c r="G2407" t="inlineStr"/>
      <c r="H2407" t="inlineStr"/>
      <c r="I2407" s="2" t="n">
        <v>-9557</v>
      </c>
      <c r="J2407" t="inlineStr"/>
      <c r="K2407" t="inlineStr"/>
      <c r="L2407" s="2" t="n">
        <v>-21569</v>
      </c>
      <c r="M2407" t="inlineStr"/>
      <c r="N2407" t="inlineStr">
        <is>
          <t>20250807800104</t>
        </is>
      </c>
      <c r="O2407">
        <f>HYPERLINK("https://dart.fss.or.kr/dsaf001/main.do?rcpNo=20250807800104", "공시열람")</f>
        <v/>
      </c>
    </row>
    <row r="2408">
      <c r="A2408" t="inlineStr">
        <is>
          <t>2025-08-07</t>
        </is>
      </c>
      <c r="B2408" t="inlineStr">
        <is>
          <t>CJ ENM</t>
        </is>
      </c>
      <c r="C2408" t="inlineStr">
        <is>
          <t>035760</t>
        </is>
      </c>
      <c r="D2408" t="inlineStr">
        <is>
          <t>연결</t>
        </is>
      </c>
      <c r="E2408" t="inlineStr">
        <is>
          <t>2025Q2</t>
        </is>
      </c>
      <c r="F2408" s="2" t="n">
        <v>1312870</v>
      </c>
      <c r="G2408" t="inlineStr"/>
      <c r="H2408" t="inlineStr"/>
      <c r="I2408" s="2" t="n">
        <v>28610</v>
      </c>
      <c r="J2408" t="inlineStr"/>
      <c r="K2408" t="inlineStr"/>
      <c r="L2408" s="2" t="n">
        <v>114588</v>
      </c>
      <c r="M2408" t="inlineStr"/>
      <c r="N2408" t="inlineStr">
        <is>
          <t>20250807900135</t>
        </is>
      </c>
      <c r="O2408">
        <f>HYPERLINK("https://dart.fss.or.kr/dsaf001/main.do?rcpNo=20250807900135", "공시열람")</f>
        <v/>
      </c>
    </row>
    <row r="2409">
      <c r="A2409" t="inlineStr">
        <is>
          <t>2025-08-07</t>
        </is>
      </c>
      <c r="B2409" t="inlineStr">
        <is>
          <t>GKL</t>
        </is>
      </c>
      <c r="C2409" t="inlineStr">
        <is>
          <t>114090</t>
        </is>
      </c>
      <c r="D2409" t="inlineStr">
        <is>
          <t>연결</t>
        </is>
      </c>
      <c r="E2409" t="inlineStr">
        <is>
          <t>2025Q2</t>
        </is>
      </c>
      <c r="F2409" s="2" t="n">
        <v>100942</v>
      </c>
      <c r="G2409" t="inlineStr"/>
      <c r="H2409" t="inlineStr"/>
      <c r="I2409" s="2" t="n">
        <v>15961</v>
      </c>
      <c r="J2409" t="inlineStr"/>
      <c r="K2409" t="inlineStr"/>
      <c r="L2409" s="2" t="n">
        <v>16958</v>
      </c>
      <c r="M2409" t="inlineStr"/>
      <c r="N2409" t="inlineStr">
        <is>
          <t>20250807800252</t>
        </is>
      </c>
      <c r="O2409">
        <f>HYPERLINK("https://dart.fss.or.kr/dsaf001/main.do?rcpNo=20250807800252", "공시열람")</f>
        <v/>
      </c>
    </row>
    <row r="2410">
      <c r="A2410" t="inlineStr">
        <is>
          <t>2025-08-07</t>
        </is>
      </c>
      <c r="B2410" t="inlineStr">
        <is>
          <t>일신방직</t>
        </is>
      </c>
      <c r="C2410" t="inlineStr">
        <is>
          <t>003200</t>
        </is>
      </c>
      <c r="D2410" t="inlineStr">
        <is>
          <t>연결</t>
        </is>
      </c>
      <c r="E2410" t="inlineStr">
        <is>
          <t>2025Q2</t>
        </is>
      </c>
      <c r="F2410" s="2" t="n">
        <v>121879</v>
      </c>
      <c r="G2410" t="n">
        <v>-10.7</v>
      </c>
      <c r="H2410" t="n">
        <v>-1.6</v>
      </c>
      <c r="I2410" s="2" t="n">
        <v>1750</v>
      </c>
      <c r="J2410" t="n">
        <v>-37.7</v>
      </c>
      <c r="K2410" t="n">
        <v>-60.4</v>
      </c>
      <c r="L2410" s="2" t="n">
        <v>1426</v>
      </c>
      <c r="M2410" t="n">
        <v>-92.8</v>
      </c>
      <c r="N2410" t="inlineStr">
        <is>
          <t>20250807800164</t>
        </is>
      </c>
      <c r="O2410">
        <f>HYPERLINK("https://dart.fss.or.kr/dsaf001/main.do?rcpNo=20250807800164", "공시열람")</f>
        <v/>
      </c>
    </row>
    <row r="2411">
      <c r="A2411" t="inlineStr">
        <is>
          <t>2025-08-07</t>
        </is>
      </c>
      <c r="B2411" t="inlineStr">
        <is>
          <t>빅텍</t>
        </is>
      </c>
      <c r="C2411" t="inlineStr">
        <is>
          <t>065450</t>
        </is>
      </c>
      <c r="D2411" t="inlineStr">
        <is>
          <t>연결</t>
        </is>
      </c>
      <c r="E2411" t="inlineStr">
        <is>
          <t>2025Q2</t>
        </is>
      </c>
      <c r="F2411" s="2" t="n">
        <v>14661</v>
      </c>
      <c r="G2411" t="inlineStr"/>
      <c r="H2411" t="inlineStr"/>
      <c r="I2411" s="2" t="n">
        <v>861</v>
      </c>
      <c r="J2411" t="inlineStr"/>
      <c r="K2411" t="inlineStr"/>
      <c r="L2411" s="2" t="n">
        <v>1232</v>
      </c>
      <c r="M2411" t="inlineStr"/>
      <c r="N2411" t="inlineStr">
        <is>
          <t>20250807900156</t>
        </is>
      </c>
      <c r="O2411">
        <f>HYPERLINK("https://dart.fss.or.kr/dsaf001/main.do?rcpNo=20250807900156", "공시열람")</f>
        <v/>
      </c>
    </row>
    <row r="2412">
      <c r="A2412" t="inlineStr">
        <is>
          <t>2025-08-07</t>
        </is>
      </c>
      <c r="B2412" t="inlineStr">
        <is>
          <t>신성이엔지</t>
        </is>
      </c>
      <c r="C2412" t="inlineStr">
        <is>
          <t>011930</t>
        </is>
      </c>
      <c r="D2412" t="inlineStr">
        <is>
          <t>연결</t>
        </is>
      </c>
      <c r="E2412" t="inlineStr">
        <is>
          <t>2025Q2</t>
        </is>
      </c>
      <c r="F2412" s="2" t="n">
        <v>139969</v>
      </c>
      <c r="G2412" t="inlineStr"/>
      <c r="H2412" t="inlineStr"/>
      <c r="I2412" s="2" t="n">
        <v>3359</v>
      </c>
      <c r="J2412" t="inlineStr"/>
      <c r="K2412" t="inlineStr"/>
      <c r="L2412" s="2" t="n">
        <v>448</v>
      </c>
      <c r="M2412" t="inlineStr"/>
      <c r="N2412" t="inlineStr">
        <is>
          <t>20250807800146</t>
        </is>
      </c>
      <c r="O2412">
        <f>HYPERLINK("https://dart.fss.or.kr/dsaf001/main.do?rcpNo=20250807800146", "공시열람")</f>
        <v/>
      </c>
    </row>
    <row r="2413">
      <c r="A2413" t="inlineStr">
        <is>
          <t>2025-08-07</t>
        </is>
      </c>
      <c r="B2413" t="inlineStr">
        <is>
          <t>웹젠</t>
        </is>
      </c>
      <c r="C2413" t="inlineStr">
        <is>
          <t>069080</t>
        </is>
      </c>
      <c r="D2413" t="inlineStr">
        <is>
          <t>연결</t>
        </is>
      </c>
      <c r="E2413" t="inlineStr">
        <is>
          <t>2025Q2</t>
        </is>
      </c>
      <c r="F2413" s="2" t="n">
        <v>39111</v>
      </c>
      <c r="G2413" t="inlineStr"/>
      <c r="H2413" t="inlineStr"/>
      <c r="I2413" s="2" t="n">
        <v>6173</v>
      </c>
      <c r="J2413" t="inlineStr"/>
      <c r="K2413" t="inlineStr"/>
      <c r="L2413" s="2" t="n">
        <v>6739</v>
      </c>
      <c r="M2413" t="inlineStr"/>
      <c r="N2413" t="inlineStr">
        <is>
          <t>20250807900280</t>
        </is>
      </c>
      <c r="O2413">
        <f>HYPERLINK("https://dart.fss.or.kr/dsaf001/main.do?rcpNo=20250807900280", "공시열람")</f>
        <v/>
      </c>
    </row>
    <row r="2414">
      <c r="A2414" t="inlineStr">
        <is>
          <t>2025-08-07</t>
        </is>
      </c>
      <c r="B2414" t="inlineStr">
        <is>
          <t>한전KPS</t>
        </is>
      </c>
      <c r="C2414" t="inlineStr">
        <is>
          <t>051600</t>
        </is>
      </c>
      <c r="D2414" t="inlineStr">
        <is>
          <t>연결</t>
        </is>
      </c>
      <c r="E2414" t="inlineStr">
        <is>
          <t>2025Q2</t>
        </is>
      </c>
      <c r="F2414" s="2" t="n">
        <v>453979</v>
      </c>
      <c r="G2414" t="n">
        <v>57.6</v>
      </c>
      <c r="H2414" t="n">
        <v>5.9</v>
      </c>
      <c r="I2414" s="2" t="n">
        <v>65619</v>
      </c>
      <c r="J2414" t="n">
        <v>741.3</v>
      </c>
      <c r="K2414" t="n">
        <v>-11.8</v>
      </c>
      <c r="L2414" s="2" t="n">
        <v>50876</v>
      </c>
      <c r="M2414" t="n">
        <v>-14.6</v>
      </c>
      <c r="N2414" t="inlineStr">
        <is>
          <t>20250807800184</t>
        </is>
      </c>
      <c r="O2414">
        <f>HYPERLINK("https://dart.fss.or.kr/dsaf001/main.do?rcpNo=20250807800184", "공시열람")</f>
        <v/>
      </c>
    </row>
    <row r="2415">
      <c r="A2415" t="inlineStr">
        <is>
          <t>2025-08-07</t>
        </is>
      </c>
      <c r="B2415" t="inlineStr">
        <is>
          <t>펌텍코리아</t>
        </is>
      </c>
      <c r="C2415" t="inlineStr">
        <is>
          <t>251970</t>
        </is>
      </c>
      <c r="D2415" t="inlineStr">
        <is>
          <t>연결</t>
        </is>
      </c>
      <c r="E2415" t="inlineStr">
        <is>
          <t>2025Q2</t>
        </is>
      </c>
      <c r="F2415" s="2" t="n">
        <v>105421</v>
      </c>
      <c r="G2415" t="inlineStr"/>
      <c r="H2415" t="inlineStr"/>
      <c r="I2415" s="2" t="n">
        <v>19428</v>
      </c>
      <c r="J2415" t="inlineStr"/>
      <c r="K2415" t="inlineStr"/>
      <c r="L2415" s="2" t="n">
        <v>13058</v>
      </c>
      <c r="M2415" t="inlineStr"/>
      <c r="N2415" t="inlineStr">
        <is>
          <t>20250807900281</t>
        </is>
      </c>
      <c r="O2415">
        <f>HYPERLINK("https://dart.fss.or.kr/dsaf001/main.do?rcpNo=20250807900281", "공시열람")</f>
        <v/>
      </c>
    </row>
    <row r="2416">
      <c r="A2416" t="inlineStr">
        <is>
          <t>2025-08-07</t>
        </is>
      </c>
      <c r="B2416" t="inlineStr">
        <is>
          <t>BGF</t>
        </is>
      </c>
      <c r="C2416" t="inlineStr">
        <is>
          <t>027410</t>
        </is>
      </c>
      <c r="D2416" t="inlineStr">
        <is>
          <t>연결</t>
        </is>
      </c>
      <c r="E2416" t="inlineStr">
        <is>
          <t>2025Q2</t>
        </is>
      </c>
      <c r="F2416" s="2" t="n">
        <v>123100</v>
      </c>
      <c r="G2416" t="n">
        <v>16.2</v>
      </c>
      <c r="H2416" t="n">
        <v>8.5</v>
      </c>
      <c r="I2416" s="2" t="n">
        <v>17300</v>
      </c>
      <c r="J2416" t="n">
        <v>232.7</v>
      </c>
      <c r="K2416" t="n">
        <v>4.8</v>
      </c>
      <c r="L2416" s="2" t="n">
        <v>14200</v>
      </c>
      <c r="M2416" t="n">
        <v>-19.8</v>
      </c>
      <c r="N2416" t="inlineStr">
        <is>
          <t>20250807800209</t>
        </is>
      </c>
      <c r="O2416">
        <f>HYPERLINK("https://dart.fss.or.kr/dsaf001/main.do?rcpNo=20250807800209", "공시열람")</f>
        <v/>
      </c>
    </row>
    <row r="2417">
      <c r="A2417" t="inlineStr">
        <is>
          <t>2025-08-07</t>
        </is>
      </c>
      <c r="B2417" t="inlineStr">
        <is>
          <t>BGF에코머티리얼즈</t>
        </is>
      </c>
      <c r="C2417" t="inlineStr">
        <is>
          <t>126600</t>
        </is>
      </c>
      <c r="D2417" t="inlineStr">
        <is>
          <t>연결</t>
        </is>
      </c>
      <c r="E2417" t="inlineStr">
        <is>
          <t>2025Q2</t>
        </is>
      </c>
      <c r="F2417" s="2" t="n">
        <v>103746</v>
      </c>
      <c r="G2417" t="inlineStr"/>
      <c r="H2417" t="inlineStr"/>
      <c r="I2417" s="2" t="n">
        <v>6129</v>
      </c>
      <c r="J2417" t="inlineStr"/>
      <c r="K2417" t="inlineStr"/>
      <c r="L2417" s="2" t="n">
        <v>1862</v>
      </c>
      <c r="M2417" t="inlineStr"/>
      <c r="N2417" t="inlineStr">
        <is>
          <t>20250807900205</t>
        </is>
      </c>
      <c r="O2417">
        <f>HYPERLINK("https://dart.fss.or.kr/dsaf001/main.do?rcpNo=20250807900205", "공시열람")</f>
        <v/>
      </c>
    </row>
    <row r="2418">
      <c r="A2418" t="inlineStr">
        <is>
          <t>2025-08-07</t>
        </is>
      </c>
      <c r="B2418" t="inlineStr">
        <is>
          <t>BGF리테일</t>
        </is>
      </c>
      <c r="C2418" t="inlineStr">
        <is>
          <t>282330</t>
        </is>
      </c>
      <c r="D2418" t="inlineStr">
        <is>
          <t>연결</t>
        </is>
      </c>
      <c r="E2418" t="inlineStr">
        <is>
          <t>2025Q2</t>
        </is>
      </c>
      <c r="F2418" s="2" t="n">
        <v>2290100</v>
      </c>
      <c r="G2418" t="n">
        <v>13.6</v>
      </c>
      <c r="H2418" t="n">
        <v>4</v>
      </c>
      <c r="I2418" s="2" t="n">
        <v>69400</v>
      </c>
      <c r="J2418" t="n">
        <v>207.1</v>
      </c>
      <c r="K2418" t="n">
        <v>-8.9</v>
      </c>
      <c r="L2418" s="2" t="n">
        <v>52800</v>
      </c>
      <c r="M2418" t="n">
        <v>-9.699999999999999</v>
      </c>
      <c r="N2418" t="inlineStr">
        <is>
          <t>20250807800200</t>
        </is>
      </c>
      <c r="O2418">
        <f>HYPERLINK("https://dart.fss.or.kr/dsaf001/main.do?rcpNo=20250807800200", "공시열람")</f>
        <v/>
      </c>
    </row>
    <row r="2419">
      <c r="A2419" t="inlineStr">
        <is>
          <t>2025-08-07</t>
        </is>
      </c>
      <c r="B2419" t="inlineStr">
        <is>
          <t>케이엔더블유</t>
        </is>
      </c>
      <c r="C2419" t="inlineStr">
        <is>
          <t>105330</t>
        </is>
      </c>
      <c r="D2419" t="inlineStr">
        <is>
          <t>연결</t>
        </is>
      </c>
      <c r="E2419" t="inlineStr">
        <is>
          <t>2025Q2</t>
        </is>
      </c>
      <c r="F2419" s="2" t="n">
        <v>20178</v>
      </c>
      <c r="G2419" t="inlineStr"/>
      <c r="H2419" t="inlineStr"/>
      <c r="I2419" s="2" t="n">
        <v>-534</v>
      </c>
      <c r="J2419" t="inlineStr"/>
      <c r="K2419" t="inlineStr"/>
      <c r="L2419" s="2" t="n">
        <v>-2025</v>
      </c>
      <c r="M2419" t="inlineStr"/>
      <c r="N2419" t="inlineStr">
        <is>
          <t>20250807900199</t>
        </is>
      </c>
      <c r="O2419">
        <f>HYPERLINK("https://dart.fss.or.kr/dsaf001/main.do?rcpNo=20250807900199", "공시열람")</f>
        <v/>
      </c>
    </row>
    <row r="2420">
      <c r="A2420" t="inlineStr">
        <is>
          <t>2025-08-07</t>
        </is>
      </c>
      <c r="B2420" t="inlineStr">
        <is>
          <t>보락</t>
        </is>
      </c>
      <c r="C2420" t="inlineStr">
        <is>
          <t>002760</t>
        </is>
      </c>
      <c r="D2420" t="inlineStr">
        <is>
          <t>별도</t>
        </is>
      </c>
      <c r="E2420" t="inlineStr">
        <is>
          <t>2025Q2</t>
        </is>
      </c>
      <c r="F2420" s="2" t="n">
        <v>13734</v>
      </c>
      <c r="G2420" t="n">
        <v>5.26</v>
      </c>
      <c r="H2420" t="n">
        <v>16.12</v>
      </c>
      <c r="I2420" s="2" t="n">
        <v>891</v>
      </c>
      <c r="J2420" t="n">
        <v>192.13</v>
      </c>
      <c r="K2420" t="n">
        <v>170</v>
      </c>
      <c r="L2420" s="2" t="n">
        <v>1050</v>
      </c>
      <c r="M2420" t="n">
        <v>134.9</v>
      </c>
      <c r="N2420" t="inlineStr">
        <is>
          <t>20250807800159</t>
        </is>
      </c>
      <c r="O2420">
        <f>HYPERLINK("https://dart.fss.or.kr/dsaf001/main.do?rcpNo=20250807800159", "공시열람")</f>
        <v/>
      </c>
    </row>
    <row r="2421">
      <c r="A2421" t="inlineStr">
        <is>
          <t>2025-08-07</t>
        </is>
      </c>
      <c r="B2421" t="inlineStr">
        <is>
          <t>헥토이노베이션</t>
        </is>
      </c>
      <c r="C2421" t="inlineStr">
        <is>
          <t>214180</t>
        </is>
      </c>
      <c r="D2421" t="inlineStr">
        <is>
          <t>별도</t>
        </is>
      </c>
      <c r="E2421" t="inlineStr">
        <is>
          <t>2025Q2</t>
        </is>
      </c>
      <c r="F2421" s="2" t="n">
        <v>29449</v>
      </c>
      <c r="G2421" t="inlineStr"/>
      <c r="H2421" t="inlineStr"/>
      <c r="I2421" s="2" t="n">
        <v>8703</v>
      </c>
      <c r="J2421" t="inlineStr"/>
      <c r="K2421" t="inlineStr"/>
      <c r="L2421" s="2" t="n">
        <v>7797</v>
      </c>
      <c r="M2421" t="inlineStr"/>
      <c r="N2421" t="inlineStr">
        <is>
          <t>20250807900038</t>
        </is>
      </c>
      <c r="O2421">
        <f>HYPERLINK("https://dart.fss.or.kr/dsaf001/main.do?rcpNo=20250807900038", "공시열람")</f>
        <v/>
      </c>
    </row>
    <row r="2422">
      <c r="A2422" t="inlineStr">
        <is>
          <t>2025-08-06</t>
        </is>
      </c>
      <c r="B2422" t="inlineStr">
        <is>
          <t>아비코전자</t>
        </is>
      </c>
      <c r="C2422" t="inlineStr">
        <is>
          <t>036010</t>
        </is>
      </c>
      <c r="D2422" t="inlineStr">
        <is>
          <t>연결</t>
        </is>
      </c>
      <c r="E2422" t="inlineStr">
        <is>
          <t>2025Q2</t>
        </is>
      </c>
      <c r="F2422" s="2" t="n">
        <v>33578</v>
      </c>
      <c r="G2422" t="inlineStr"/>
      <c r="H2422" t="inlineStr"/>
      <c r="I2422" s="2" t="n">
        <v>2845</v>
      </c>
      <c r="J2422" t="inlineStr"/>
      <c r="K2422" t="inlineStr"/>
      <c r="L2422" s="2" t="n">
        <v>3418</v>
      </c>
      <c r="M2422" t="inlineStr"/>
      <c r="N2422" t="inlineStr">
        <is>
          <t>20250806900195</t>
        </is>
      </c>
      <c r="O2422">
        <f>HYPERLINK("https://dart.fss.or.kr/dsaf001/main.do?rcpNo=20250806900195", "공시열람")</f>
        <v/>
      </c>
    </row>
    <row r="2423">
      <c r="A2423" t="inlineStr">
        <is>
          <t>2025-08-06</t>
        </is>
      </c>
      <c r="B2423" t="inlineStr">
        <is>
          <t>현대백화점</t>
        </is>
      </c>
      <c r="C2423" t="inlineStr">
        <is>
          <t>069960</t>
        </is>
      </c>
      <c r="D2423" t="inlineStr">
        <is>
          <t>연결</t>
        </is>
      </c>
      <c r="E2423" t="inlineStr">
        <is>
          <t>2025Q2</t>
        </is>
      </c>
      <c r="F2423" s="2" t="n">
        <v>1080300</v>
      </c>
      <c r="G2423" t="n">
        <v>-1.6</v>
      </c>
      <c r="H2423" t="n">
        <v>5.5</v>
      </c>
      <c r="I2423" s="2" t="n">
        <v>86900</v>
      </c>
      <c r="J2423" t="n">
        <v>-22.8</v>
      </c>
      <c r="K2423" t="n">
        <v>102.8</v>
      </c>
      <c r="L2423" s="2" t="n">
        <v>54500</v>
      </c>
      <c r="M2423" t="inlineStr"/>
      <c r="N2423" t="inlineStr">
        <is>
          <t>20250806800157</t>
        </is>
      </c>
      <c r="O2423">
        <f>HYPERLINK("https://dart.fss.or.kr/dsaf001/main.do?rcpNo=20250806800157", "공시열람")</f>
        <v/>
      </c>
    </row>
    <row r="2424">
      <c r="A2424" t="inlineStr">
        <is>
          <t>2025-08-06</t>
        </is>
      </c>
      <c r="B2424" t="inlineStr">
        <is>
          <t>휴젤</t>
        </is>
      </c>
      <c r="C2424" t="inlineStr">
        <is>
          <t>145020</t>
        </is>
      </c>
      <c r="D2424" t="inlineStr">
        <is>
          <t>연결</t>
        </is>
      </c>
      <c r="E2424" t="inlineStr">
        <is>
          <t>2025Q2</t>
        </is>
      </c>
      <c r="F2424" s="2" t="n">
        <v>110260</v>
      </c>
      <c r="G2424" t="inlineStr"/>
      <c r="H2424" t="inlineStr"/>
      <c r="I2424" s="2" t="n">
        <v>56670</v>
      </c>
      <c r="J2424" t="inlineStr"/>
      <c r="K2424" t="inlineStr"/>
      <c r="L2424" s="2" t="n">
        <v>38214</v>
      </c>
      <c r="M2424" t="inlineStr"/>
      <c r="N2424" t="inlineStr">
        <is>
          <t>20250806900192</t>
        </is>
      </c>
      <c r="O2424">
        <f>HYPERLINK("https://dart.fss.or.kr/dsaf001/main.do?rcpNo=20250806900192", "공시열람")</f>
        <v/>
      </c>
    </row>
    <row r="2425">
      <c r="A2425" t="inlineStr">
        <is>
          <t>2025-08-06</t>
        </is>
      </c>
      <c r="B2425" t="inlineStr">
        <is>
          <t>에스엠</t>
        </is>
      </c>
      <c r="C2425" t="inlineStr">
        <is>
          <t>041510</t>
        </is>
      </c>
      <c r="D2425" t="inlineStr">
        <is>
          <t>연결</t>
        </is>
      </c>
      <c r="E2425" t="inlineStr">
        <is>
          <t>2025Q2</t>
        </is>
      </c>
      <c r="F2425" s="2" t="n">
        <v>302914</v>
      </c>
      <c r="G2425" t="inlineStr"/>
      <c r="H2425" t="inlineStr"/>
      <c r="I2425" s="2" t="n">
        <v>47611</v>
      </c>
      <c r="J2425" t="inlineStr"/>
      <c r="K2425" t="inlineStr"/>
      <c r="L2425" s="2" t="n">
        <v>30878</v>
      </c>
      <c r="M2425" t="inlineStr"/>
      <c r="N2425" t="inlineStr">
        <is>
          <t>20250806900189</t>
        </is>
      </c>
      <c r="O2425">
        <f>HYPERLINK("https://dart.fss.or.kr/dsaf001/main.do?rcpNo=20250806900189", "공시열람")</f>
        <v/>
      </c>
    </row>
    <row r="2426">
      <c r="A2426" t="inlineStr">
        <is>
          <t>2025-08-06</t>
        </is>
      </c>
      <c r="B2426" t="inlineStr">
        <is>
          <t>에스엠</t>
        </is>
      </c>
      <c r="C2426" t="inlineStr">
        <is>
          <t>041510</t>
        </is>
      </c>
      <c r="D2426" t="inlineStr">
        <is>
          <t>별도</t>
        </is>
      </c>
      <c r="E2426" t="inlineStr">
        <is>
          <t>2025Q2</t>
        </is>
      </c>
      <c r="F2426" s="2" t="n">
        <v>220321</v>
      </c>
      <c r="G2426" t="inlineStr"/>
      <c r="H2426" t="inlineStr"/>
      <c r="I2426" s="2" t="n">
        <v>45966</v>
      </c>
      <c r="J2426" t="inlineStr"/>
      <c r="K2426" t="inlineStr"/>
      <c r="L2426" s="2" t="n">
        <v>29468</v>
      </c>
      <c r="M2426" t="inlineStr"/>
      <c r="N2426" t="inlineStr">
        <is>
          <t>20250806900184</t>
        </is>
      </c>
      <c r="O2426">
        <f>HYPERLINK("https://dart.fss.or.kr/dsaf001/main.do?rcpNo=20250806900184", "공시열람")</f>
        <v/>
      </c>
    </row>
    <row r="2427">
      <c r="A2427" t="inlineStr">
        <is>
          <t>2025-08-06</t>
        </is>
      </c>
      <c r="B2427" t="inlineStr">
        <is>
          <t>아이쓰리시스템</t>
        </is>
      </c>
      <c r="C2427" t="inlineStr">
        <is>
          <t>214430</t>
        </is>
      </c>
      <c r="D2427" t="inlineStr">
        <is>
          <t>별도</t>
        </is>
      </c>
      <c r="E2427" t="inlineStr">
        <is>
          <t>2025Q2</t>
        </is>
      </c>
      <c r="F2427" s="2" t="n">
        <v>25305</v>
      </c>
      <c r="G2427" t="inlineStr"/>
      <c r="H2427" t="inlineStr"/>
      <c r="I2427" s="2" t="n">
        <v>2645</v>
      </c>
      <c r="J2427" t="inlineStr"/>
      <c r="K2427" t="inlineStr"/>
      <c r="L2427" s="2" t="n">
        <v>5261</v>
      </c>
      <c r="M2427" t="inlineStr"/>
      <c r="N2427" t="inlineStr">
        <is>
          <t>20250806900161</t>
        </is>
      </c>
      <c r="O2427">
        <f>HYPERLINK("https://dart.fss.or.kr/dsaf001/main.do?rcpNo=20250806900161", "공시열람")</f>
        <v/>
      </c>
    </row>
    <row r="2428">
      <c r="A2428" t="inlineStr">
        <is>
          <t>2025-08-06</t>
        </is>
      </c>
      <c r="B2428" t="inlineStr">
        <is>
          <t>키이스트</t>
        </is>
      </c>
      <c r="C2428" t="inlineStr">
        <is>
          <t>054780</t>
        </is>
      </c>
      <c r="D2428" t="inlineStr">
        <is>
          <t>별도</t>
        </is>
      </c>
      <c r="E2428" t="inlineStr">
        <is>
          <t>2025Q2</t>
        </is>
      </c>
      <c r="F2428" s="2" t="n">
        <v>2951</v>
      </c>
      <c r="G2428" t="inlineStr"/>
      <c r="H2428" t="inlineStr"/>
      <c r="I2428" s="2" t="n">
        <v>-1257</v>
      </c>
      <c r="J2428" t="inlineStr"/>
      <c r="K2428" t="inlineStr"/>
      <c r="L2428" s="2" t="n">
        <v>-1368</v>
      </c>
      <c r="M2428" t="inlineStr"/>
      <c r="N2428" t="inlineStr">
        <is>
          <t>20250806900158</t>
        </is>
      </c>
      <c r="O2428">
        <f>HYPERLINK("https://dart.fss.or.kr/dsaf001/main.do?rcpNo=20250806900158", "공시열람")</f>
        <v/>
      </c>
    </row>
    <row r="2429">
      <c r="A2429" t="inlineStr">
        <is>
          <t>2025-08-06</t>
        </is>
      </c>
      <c r="B2429" t="inlineStr">
        <is>
          <t>에코프로머티</t>
        </is>
      </c>
      <c r="C2429" t="inlineStr">
        <is>
          <t>450080</t>
        </is>
      </c>
      <c r="D2429" t="inlineStr">
        <is>
          <t>별도</t>
        </is>
      </c>
      <c r="E2429" t="inlineStr">
        <is>
          <t>2025Q2</t>
        </is>
      </c>
      <c r="F2429" s="2" t="n">
        <v>78069</v>
      </c>
      <c r="G2429" t="n">
        <v>-42.6</v>
      </c>
      <c r="H2429" t="n">
        <v>17.1</v>
      </c>
      <c r="I2429" s="2" t="n">
        <v>-28790</v>
      </c>
      <c r="J2429" t="n">
        <v>-94.7</v>
      </c>
      <c r="K2429" t="n">
        <v>-685.2</v>
      </c>
      <c r="L2429" s="2" t="n">
        <v>-33502</v>
      </c>
      <c r="M2429" t="n">
        <v>-3856.2</v>
      </c>
      <c r="N2429" t="inlineStr">
        <is>
          <t>20250806800047</t>
        </is>
      </c>
      <c r="O2429">
        <f>HYPERLINK("https://dart.fss.or.kr/dsaf001/main.do?rcpNo=20250806800047", "공시열람")</f>
        <v/>
      </c>
    </row>
    <row r="2430">
      <c r="A2430" t="inlineStr">
        <is>
          <t>2025-08-06</t>
        </is>
      </c>
      <c r="B2430" t="inlineStr">
        <is>
          <t>휴온스</t>
        </is>
      </c>
      <c r="C2430" t="inlineStr">
        <is>
          <t>243070</t>
        </is>
      </c>
      <c r="D2430" t="inlineStr">
        <is>
          <t>연결</t>
        </is>
      </c>
      <c r="E2430" t="inlineStr">
        <is>
          <t>2025Q2</t>
        </is>
      </c>
      <c r="F2430" s="2" t="n">
        <v>156030</v>
      </c>
      <c r="G2430" t="inlineStr"/>
      <c r="H2430" t="inlineStr"/>
      <c r="I2430" s="2" t="n">
        <v>13057</v>
      </c>
      <c r="J2430" t="inlineStr"/>
      <c r="K2430" t="inlineStr"/>
      <c r="L2430" s="2" t="n">
        <v>11848</v>
      </c>
      <c r="M2430" t="inlineStr"/>
      <c r="N2430" t="inlineStr">
        <is>
          <t>20250806900121</t>
        </is>
      </c>
      <c r="O2430">
        <f>HYPERLINK("https://dart.fss.or.kr/dsaf001/main.do?rcpNo=20250806900121", "공시열람")</f>
        <v/>
      </c>
    </row>
    <row r="2431">
      <c r="A2431" t="inlineStr">
        <is>
          <t>2025-08-06</t>
        </is>
      </c>
      <c r="B2431" t="inlineStr">
        <is>
          <t>코미코</t>
        </is>
      </c>
      <c r="C2431" t="inlineStr">
        <is>
          <t>183300</t>
        </is>
      </c>
      <c r="D2431" t="inlineStr">
        <is>
          <t>연결</t>
        </is>
      </c>
      <c r="E2431" t="inlineStr">
        <is>
          <t>2025Q2</t>
        </is>
      </c>
      <c r="F2431" s="2" t="n">
        <v>146003</v>
      </c>
      <c r="G2431" t="inlineStr"/>
      <c r="H2431" t="inlineStr"/>
      <c r="I2431" s="2" t="n">
        <v>30164</v>
      </c>
      <c r="J2431" t="inlineStr"/>
      <c r="K2431" t="inlineStr"/>
      <c r="L2431" s="2" t="n">
        <v>21464</v>
      </c>
      <c r="M2431" t="inlineStr"/>
      <c r="N2431" t="inlineStr">
        <is>
          <t>20250806900044</t>
        </is>
      </c>
      <c r="O2431">
        <f>HYPERLINK("https://dart.fss.or.kr/dsaf001/main.do?rcpNo=20250806900044", "공시열람")</f>
        <v/>
      </c>
    </row>
    <row r="2432">
      <c r="A2432" t="inlineStr">
        <is>
          <t>2025-08-06</t>
        </is>
      </c>
      <c r="B2432" t="inlineStr">
        <is>
          <t>에코프로</t>
        </is>
      </c>
      <c r="C2432" t="inlineStr">
        <is>
          <t>086520</t>
        </is>
      </c>
      <c r="D2432" t="inlineStr">
        <is>
          <t>연결</t>
        </is>
      </c>
      <c r="E2432" t="inlineStr">
        <is>
          <t>2025Q2</t>
        </is>
      </c>
      <c r="F2432" s="2" t="n">
        <v>931705</v>
      </c>
      <c r="G2432" t="inlineStr"/>
      <c r="H2432" t="inlineStr"/>
      <c r="I2432" s="2" t="n">
        <v>16228</v>
      </c>
      <c r="J2432" t="inlineStr"/>
      <c r="K2432" t="inlineStr"/>
      <c r="L2432" s="2" t="n">
        <v>-37959</v>
      </c>
      <c r="M2432" t="inlineStr"/>
      <c r="N2432" t="inlineStr">
        <is>
          <t>20250806900045</t>
        </is>
      </c>
      <c r="O2432">
        <f>HYPERLINK("https://dart.fss.or.kr/dsaf001/main.do?rcpNo=20250806900045", "공시열람")</f>
        <v/>
      </c>
    </row>
    <row r="2433">
      <c r="A2433" t="inlineStr">
        <is>
          <t>2025-08-06</t>
        </is>
      </c>
      <c r="B2433" t="inlineStr">
        <is>
          <t>에코프로에이치엔</t>
        </is>
      </c>
      <c r="C2433" t="inlineStr">
        <is>
          <t>383310</t>
        </is>
      </c>
      <c r="D2433" t="inlineStr">
        <is>
          <t>연결</t>
        </is>
      </c>
      <c r="E2433" t="inlineStr">
        <is>
          <t>2025Q2</t>
        </is>
      </c>
      <c r="F2433" s="2" t="n">
        <v>39002</v>
      </c>
      <c r="G2433" t="inlineStr"/>
      <c r="H2433" t="inlineStr"/>
      <c r="I2433" s="2" t="n">
        <v>3663</v>
      </c>
      <c r="J2433" t="inlineStr"/>
      <c r="K2433" t="inlineStr"/>
      <c r="L2433" s="2" t="n">
        <v>3394</v>
      </c>
      <c r="M2433" t="inlineStr"/>
      <c r="N2433" t="inlineStr">
        <is>
          <t>20250806900042</t>
        </is>
      </c>
      <c r="O2433">
        <f>HYPERLINK("https://dart.fss.or.kr/dsaf001/main.do?rcpNo=20250806900042", "공시열람")</f>
        <v/>
      </c>
    </row>
    <row r="2434">
      <c r="A2434" t="inlineStr">
        <is>
          <t>2025-08-06</t>
        </is>
      </c>
      <c r="B2434" t="inlineStr">
        <is>
          <t>에이피알</t>
        </is>
      </c>
      <c r="C2434" t="inlineStr">
        <is>
          <t>278470</t>
        </is>
      </c>
      <c r="D2434" t="inlineStr">
        <is>
          <t>연결</t>
        </is>
      </c>
      <c r="E2434" t="inlineStr">
        <is>
          <t>2025Q2</t>
        </is>
      </c>
      <c r="F2434" s="2" t="n">
        <v>327735</v>
      </c>
      <c r="G2434" t="n">
        <v>23.2</v>
      </c>
      <c r="H2434" t="n">
        <v>110.8</v>
      </c>
      <c r="I2434" s="2" t="n">
        <v>84552</v>
      </c>
      <c r="J2434" t="n">
        <v>54.9</v>
      </c>
      <c r="K2434" t="n">
        <v>201.9</v>
      </c>
      <c r="L2434" s="2" t="n">
        <v>66309</v>
      </c>
      <c r="M2434" t="n">
        <v>175.2</v>
      </c>
      <c r="N2434" t="inlineStr">
        <is>
          <t>20250806800043</t>
        </is>
      </c>
      <c r="O2434">
        <f>HYPERLINK("https://dart.fss.or.kr/dsaf001/main.do?rcpNo=20250806800043", "공시열람")</f>
        <v/>
      </c>
    </row>
    <row r="2435">
      <c r="A2435" t="inlineStr">
        <is>
          <t>2025-08-06</t>
        </is>
      </c>
      <c r="B2435" t="inlineStr">
        <is>
          <t>카카오뱅크</t>
        </is>
      </c>
      <c r="C2435" t="inlineStr">
        <is>
          <t>323410</t>
        </is>
      </c>
      <c r="D2435" t="inlineStr">
        <is>
          <t>별도</t>
        </is>
      </c>
      <c r="E2435" t="inlineStr">
        <is>
          <t>2025Q2</t>
        </is>
      </c>
      <c r="F2435" s="2" t="n">
        <v>778033</v>
      </c>
      <c r="G2435" t="n">
        <v>-0.83</v>
      </c>
      <c r="H2435" t="n">
        <v>5.98</v>
      </c>
      <c r="I2435" s="2" t="n">
        <v>170127</v>
      </c>
      <c r="J2435" t="n">
        <v>-7.05</v>
      </c>
      <c r="K2435" t="n">
        <v>0.21</v>
      </c>
      <c r="L2435" s="2" t="n">
        <v>126257</v>
      </c>
      <c r="M2435" t="n">
        <v>5</v>
      </c>
      <c r="N2435" t="inlineStr">
        <is>
          <t>20250806800006</t>
        </is>
      </c>
      <c r="O2435">
        <f>HYPERLINK("https://dart.fss.or.kr/dsaf001/main.do?rcpNo=20250806800006", "공시열람")</f>
        <v/>
      </c>
    </row>
    <row r="2436">
      <c r="A2436" t="inlineStr">
        <is>
          <t>2025-08-06</t>
        </is>
      </c>
      <c r="B2436" t="inlineStr">
        <is>
          <t>카카오게임즈</t>
        </is>
      </c>
      <c r="C2436" t="inlineStr">
        <is>
          <t>293490</t>
        </is>
      </c>
      <c r="D2436" t="inlineStr">
        <is>
          <t>연결</t>
        </is>
      </c>
      <c r="E2436" t="inlineStr">
        <is>
          <t>2025Q2</t>
        </is>
      </c>
      <c r="F2436" s="2" t="n">
        <v>115808</v>
      </c>
      <c r="G2436" t="inlineStr"/>
      <c r="H2436" t="inlineStr"/>
      <c r="I2436" s="2" t="n">
        <v>-8615</v>
      </c>
      <c r="J2436" t="inlineStr"/>
      <c r="K2436" t="inlineStr"/>
      <c r="L2436" s="2" t="n">
        <v>-33587</v>
      </c>
      <c r="M2436" t="inlineStr"/>
      <c r="N2436" t="inlineStr">
        <is>
          <t>20250806900026</t>
        </is>
      </c>
      <c r="O2436">
        <f>HYPERLINK("https://dart.fss.or.kr/dsaf001/main.do?rcpNo=20250806900026", "공시열람")</f>
        <v/>
      </c>
    </row>
    <row r="2437">
      <c r="A2437" t="inlineStr">
        <is>
          <t>2025-08-06</t>
        </is>
      </c>
      <c r="B2437" t="inlineStr">
        <is>
          <t>SK텔레콤</t>
        </is>
      </c>
      <c r="C2437" t="inlineStr">
        <is>
          <t>017670</t>
        </is>
      </c>
      <c r="D2437" t="inlineStr">
        <is>
          <t>별도</t>
        </is>
      </c>
      <c r="E2437" t="inlineStr">
        <is>
          <t>2025Q2</t>
        </is>
      </c>
      <c r="F2437" s="2" t="n">
        <v>3135100</v>
      </c>
      <c r="G2437" t="n">
        <v>-1.02</v>
      </c>
      <c r="H2437" t="n">
        <v>-1.77</v>
      </c>
      <c r="I2437" s="2" t="n">
        <v>250900</v>
      </c>
      <c r="J2437" t="n">
        <v>-47.99</v>
      </c>
      <c r="K2437" t="n">
        <v>-44.3</v>
      </c>
      <c r="L2437" s="2" t="n">
        <v>36900</v>
      </c>
      <c r="M2437" t="n">
        <v>-86.84</v>
      </c>
      <c r="N2437" t="inlineStr">
        <is>
          <t>20250806800031</t>
        </is>
      </c>
      <c r="O2437">
        <f>HYPERLINK("https://dart.fss.or.kr/dsaf001/main.do?rcpNo=20250806800031", "공시열람")</f>
        <v/>
      </c>
    </row>
    <row r="2438">
      <c r="A2438" t="inlineStr">
        <is>
          <t>2025-08-06</t>
        </is>
      </c>
      <c r="B2438" t="inlineStr">
        <is>
          <t>아바코</t>
        </is>
      </c>
      <c r="C2438" t="inlineStr">
        <is>
          <t>083930</t>
        </is>
      </c>
      <c r="D2438" t="inlineStr">
        <is>
          <t>별도</t>
        </is>
      </c>
      <c r="E2438" t="inlineStr">
        <is>
          <t>2025Q2</t>
        </is>
      </c>
      <c r="F2438" s="2" t="n">
        <v>159126</v>
      </c>
      <c r="G2438" t="inlineStr"/>
      <c r="H2438" t="inlineStr"/>
      <c r="I2438" s="2" t="n">
        <v>20113</v>
      </c>
      <c r="J2438" t="inlineStr"/>
      <c r="K2438" t="inlineStr"/>
      <c r="L2438" s="2" t="n">
        <v>7416</v>
      </c>
      <c r="M2438" t="inlineStr"/>
      <c r="N2438" t="inlineStr">
        <is>
          <t>20250806900263</t>
        </is>
      </c>
      <c r="O2438">
        <f>HYPERLINK("https://dart.fss.or.kr/dsaf001/main.do?rcpNo=20250806900263", "공시열람")</f>
        <v/>
      </c>
    </row>
    <row r="2439">
      <c r="A2439" t="inlineStr">
        <is>
          <t>2025-08-06</t>
        </is>
      </c>
      <c r="B2439" t="inlineStr">
        <is>
          <t>동진쎄미켐</t>
        </is>
      </c>
      <c r="C2439" t="inlineStr">
        <is>
          <t>005290</t>
        </is>
      </c>
      <c r="D2439" t="inlineStr">
        <is>
          <t>연결</t>
        </is>
      </c>
      <c r="E2439" t="inlineStr">
        <is>
          <t>2025Q2</t>
        </is>
      </c>
      <c r="F2439" s="2" t="n">
        <v>376841</v>
      </c>
      <c r="G2439" t="inlineStr"/>
      <c r="H2439" t="inlineStr"/>
      <c r="I2439" s="2" t="n">
        <v>53838</v>
      </c>
      <c r="J2439" t="inlineStr"/>
      <c r="K2439" t="inlineStr"/>
      <c r="L2439" s="2" t="n">
        <v>5481</v>
      </c>
      <c r="M2439" t="inlineStr"/>
      <c r="N2439" t="inlineStr">
        <is>
          <t>20250806900201</t>
        </is>
      </c>
      <c r="O2439">
        <f>HYPERLINK("https://dart.fss.or.kr/dsaf001/main.do?rcpNo=20250806900201", "공시열람")</f>
        <v/>
      </c>
    </row>
    <row r="2440">
      <c r="A2440" t="inlineStr">
        <is>
          <t>2025-08-06</t>
        </is>
      </c>
      <c r="B2440" t="inlineStr">
        <is>
          <t>고려아연</t>
        </is>
      </c>
      <c r="C2440" t="inlineStr">
        <is>
          <t>010130</t>
        </is>
      </c>
      <c r="D2440" t="inlineStr">
        <is>
          <t>연결</t>
        </is>
      </c>
      <c r="E2440" t="inlineStr">
        <is>
          <t>2025Q2</t>
        </is>
      </c>
      <c r="F2440" s="2" t="n">
        <v>3825380</v>
      </c>
      <c r="G2440" t="n">
        <v>-0.2</v>
      </c>
      <c r="H2440" t="n">
        <v>25.1</v>
      </c>
      <c r="I2440" s="2" t="n">
        <v>258885</v>
      </c>
      <c r="J2440" t="n">
        <v>-4.5</v>
      </c>
      <c r="K2440" t="n">
        <v>-3.7</v>
      </c>
      <c r="L2440" s="2" t="n">
        <v>329738</v>
      </c>
      <c r="M2440" t="n">
        <v>87.90000000000001</v>
      </c>
      <c r="N2440" t="inlineStr">
        <is>
          <t>20250806800425</t>
        </is>
      </c>
      <c r="O2440">
        <f>HYPERLINK("https://dart.fss.or.kr/dsaf001/main.do?rcpNo=20250806800425", "공시열람")</f>
        <v/>
      </c>
    </row>
    <row r="2441">
      <c r="A2441" t="inlineStr">
        <is>
          <t>2025-08-06</t>
        </is>
      </c>
      <c r="B2441" t="inlineStr">
        <is>
          <t>현대홈쇼핑</t>
        </is>
      </c>
      <c r="C2441" t="inlineStr">
        <is>
          <t>057050</t>
        </is>
      </c>
      <c r="D2441" t="inlineStr">
        <is>
          <t>연결</t>
        </is>
      </c>
      <c r="E2441" t="inlineStr">
        <is>
          <t>2025Q2</t>
        </is>
      </c>
      <c r="F2441" s="2" t="n">
        <v>923785</v>
      </c>
      <c r="G2441" t="inlineStr"/>
      <c r="H2441" t="inlineStr"/>
      <c r="I2441" s="2" t="n">
        <v>30184</v>
      </c>
      <c r="J2441" t="inlineStr"/>
      <c r="K2441" t="inlineStr"/>
      <c r="L2441" s="2" t="n">
        <v>28724</v>
      </c>
      <c r="M2441" t="inlineStr"/>
      <c r="N2441" t="inlineStr">
        <is>
          <t>20250806800247</t>
        </is>
      </c>
      <c r="O2441">
        <f>HYPERLINK("https://dart.fss.or.kr/dsaf001/main.do?rcpNo=20250806800247", "공시열람")</f>
        <v/>
      </c>
    </row>
    <row r="2442">
      <c r="A2442" t="inlineStr">
        <is>
          <t>2025-08-06</t>
        </is>
      </c>
      <c r="B2442" t="inlineStr">
        <is>
          <t>하이브</t>
        </is>
      </c>
      <c r="C2442" t="inlineStr">
        <is>
          <t>352820</t>
        </is>
      </c>
      <c r="D2442" t="inlineStr">
        <is>
          <t>연결</t>
        </is>
      </c>
      <c r="E2442" t="inlineStr">
        <is>
          <t>2025Q2</t>
        </is>
      </c>
      <c r="F2442" s="2" t="n">
        <v>705700</v>
      </c>
      <c r="G2442" t="n">
        <v>41</v>
      </c>
      <c r="H2442" t="n">
        <v>10.2</v>
      </c>
      <c r="I2442" s="2" t="n">
        <v>65900</v>
      </c>
      <c r="J2442" t="n">
        <v>205.1</v>
      </c>
      <c r="K2442" t="n">
        <v>29.5</v>
      </c>
      <c r="L2442" s="2" t="n">
        <v>15500</v>
      </c>
      <c r="M2442" t="n">
        <v>53.5</v>
      </c>
      <c r="N2442" t="inlineStr">
        <is>
          <t>20250806800271</t>
        </is>
      </c>
      <c r="O2442">
        <f>HYPERLINK("https://dart.fss.or.kr/dsaf001/main.do?rcpNo=20250806800271", "공시열람")</f>
        <v/>
      </c>
    </row>
    <row r="2443">
      <c r="A2443" t="inlineStr">
        <is>
          <t>2025-08-06</t>
        </is>
      </c>
      <c r="B2443" t="inlineStr">
        <is>
          <t>케이씨씨글라스</t>
        </is>
      </c>
      <c r="C2443" t="inlineStr">
        <is>
          <t>344820</t>
        </is>
      </c>
      <c r="D2443" t="inlineStr">
        <is>
          <t>연결</t>
        </is>
      </c>
      <c r="E2443" t="inlineStr">
        <is>
          <t>2025Q2</t>
        </is>
      </c>
      <c r="F2443" s="2" t="n">
        <v>512917</v>
      </c>
      <c r="G2443" t="n">
        <v>14.3</v>
      </c>
      <c r="H2443" t="n">
        <v>-0.3</v>
      </c>
      <c r="I2443" s="2" t="n">
        <v>-35426</v>
      </c>
      <c r="J2443" t="n">
        <v>-529.8</v>
      </c>
      <c r="K2443" t="inlineStr"/>
      <c r="L2443" s="2" t="n">
        <v>-35337</v>
      </c>
      <c r="M2443" t="inlineStr"/>
      <c r="N2443" t="inlineStr">
        <is>
          <t>20250806800544</t>
        </is>
      </c>
      <c r="O2443">
        <f>HYPERLINK("https://dart.fss.or.kr/dsaf001/main.do?rcpNo=20250806800544", "공시열람")</f>
        <v/>
      </c>
    </row>
    <row r="2444">
      <c r="A2444" t="inlineStr">
        <is>
          <t>2025-08-06</t>
        </is>
      </c>
      <c r="B2444" t="inlineStr">
        <is>
          <t>해성디에스</t>
        </is>
      </c>
      <c r="C2444" t="inlineStr">
        <is>
          <t>195870</t>
        </is>
      </c>
      <c r="D2444" t="inlineStr">
        <is>
          <t>연결</t>
        </is>
      </c>
      <c r="E2444" t="inlineStr">
        <is>
          <t>2025Q2</t>
        </is>
      </c>
      <c r="F2444" s="2" t="n">
        <v>157400</v>
      </c>
      <c r="G2444" t="n">
        <v>14.5</v>
      </c>
      <c r="H2444" t="n">
        <v>2.5</v>
      </c>
      <c r="I2444" s="2" t="n">
        <v>8200</v>
      </c>
      <c r="J2444" t="n">
        <v>2219.9</v>
      </c>
      <c r="K2444" t="n">
        <v>-54.3</v>
      </c>
      <c r="L2444" s="2" t="n">
        <v>-400</v>
      </c>
      <c r="M2444" t="inlineStr"/>
      <c r="N2444" t="inlineStr">
        <is>
          <t>20250806800509</t>
        </is>
      </c>
      <c r="O2444">
        <f>HYPERLINK("https://dart.fss.or.kr/dsaf001/main.do?rcpNo=20250806800509", "공시열람")</f>
        <v/>
      </c>
    </row>
    <row r="2445">
      <c r="A2445" t="inlineStr">
        <is>
          <t>2025-08-06</t>
        </is>
      </c>
      <c r="B2445" t="inlineStr">
        <is>
          <t>신세계I&amp;C</t>
        </is>
      </c>
      <c r="C2445" t="inlineStr">
        <is>
          <t>035510</t>
        </is>
      </c>
      <c r="D2445" t="inlineStr">
        <is>
          <t>연결</t>
        </is>
      </c>
      <c r="E2445" t="inlineStr">
        <is>
          <t>2025Q2</t>
        </is>
      </c>
      <c r="F2445" s="2" t="n">
        <v>181435</v>
      </c>
      <c r="G2445" t="n">
        <v>5.42</v>
      </c>
      <c r="H2445" t="n">
        <v>25.31</v>
      </c>
      <c r="I2445" s="2" t="n">
        <v>13454</v>
      </c>
      <c r="J2445" t="n">
        <v>26.16</v>
      </c>
      <c r="K2445" t="n">
        <v>28.05</v>
      </c>
      <c r="L2445" s="2" t="n">
        <v>11747</v>
      </c>
      <c r="M2445" t="n">
        <v>23.9</v>
      </c>
      <c r="N2445" t="inlineStr">
        <is>
          <t>20250806800485</t>
        </is>
      </c>
      <c r="O2445">
        <f>HYPERLINK("https://dart.fss.or.kr/dsaf001/main.do?rcpNo=20250806800485", "공시열람")</f>
        <v/>
      </c>
    </row>
    <row r="2446">
      <c r="A2446" t="inlineStr">
        <is>
          <t>2025-08-06</t>
        </is>
      </c>
      <c r="B2446" t="inlineStr">
        <is>
          <t>휴비츠</t>
        </is>
      </c>
      <c r="C2446" t="inlineStr">
        <is>
          <t>065510</t>
        </is>
      </c>
      <c r="D2446" t="inlineStr">
        <is>
          <t>연결</t>
        </is>
      </c>
      <c r="E2446" t="inlineStr">
        <is>
          <t>2025Q2</t>
        </is>
      </c>
      <c r="F2446" s="2" t="n">
        <v>29133</v>
      </c>
      <c r="G2446" t="inlineStr"/>
      <c r="H2446" t="inlineStr"/>
      <c r="I2446" s="2" t="n">
        <v>1865</v>
      </c>
      <c r="J2446" t="inlineStr"/>
      <c r="K2446" t="inlineStr"/>
      <c r="L2446" s="2" t="n">
        <v>-1413</v>
      </c>
      <c r="M2446" t="inlineStr"/>
      <c r="N2446" t="inlineStr">
        <is>
          <t>20250806900471</t>
        </is>
      </c>
      <c r="O2446">
        <f>HYPERLINK("https://dart.fss.or.kr/dsaf001/main.do?rcpNo=20250806900471", "공시열람")</f>
        <v/>
      </c>
    </row>
    <row r="2447">
      <c r="A2447" t="inlineStr">
        <is>
          <t>2025-08-06</t>
        </is>
      </c>
      <c r="B2447" t="inlineStr">
        <is>
          <t>롯데렌탈</t>
        </is>
      </c>
      <c r="C2447" t="inlineStr">
        <is>
          <t>089860</t>
        </is>
      </c>
      <c r="D2447" t="inlineStr">
        <is>
          <t>연결</t>
        </is>
      </c>
      <c r="E2447" t="inlineStr">
        <is>
          <t>2025Q2</t>
        </is>
      </c>
      <c r="F2447" s="2" t="n">
        <v>748755</v>
      </c>
      <c r="G2447" t="inlineStr"/>
      <c r="H2447" t="inlineStr"/>
      <c r="I2447" s="2" t="n">
        <v>77212</v>
      </c>
      <c r="J2447" t="inlineStr"/>
      <c r="K2447" t="inlineStr"/>
      <c r="L2447" s="2" t="n">
        <v>30065</v>
      </c>
      <c r="M2447" t="inlineStr"/>
      <c r="N2447" t="inlineStr">
        <is>
          <t>20250806800466</t>
        </is>
      </c>
      <c r="O2447">
        <f>HYPERLINK("https://dart.fss.or.kr/dsaf001/main.do?rcpNo=20250806800466", "공시열람")</f>
        <v/>
      </c>
    </row>
    <row r="2448">
      <c r="A2448" t="inlineStr">
        <is>
          <t>2025-08-06</t>
        </is>
      </c>
      <c r="B2448" t="inlineStr">
        <is>
          <t>고영</t>
        </is>
      </c>
      <c r="C2448" t="inlineStr">
        <is>
          <t>098460</t>
        </is>
      </c>
      <c r="D2448" t="inlineStr">
        <is>
          <t>연결</t>
        </is>
      </c>
      <c r="E2448" t="inlineStr">
        <is>
          <t>2025Q2</t>
        </is>
      </c>
      <c r="F2448" s="2" t="n">
        <v>52090</v>
      </c>
      <c r="G2448" t="inlineStr"/>
      <c r="H2448" t="inlineStr"/>
      <c r="I2448" s="2" t="n">
        <v>2513</v>
      </c>
      <c r="J2448" t="inlineStr"/>
      <c r="K2448" t="inlineStr"/>
      <c r="L2448" s="2" t="n">
        <v>-5133</v>
      </c>
      <c r="M2448" t="inlineStr"/>
      <c r="N2448" t="inlineStr">
        <is>
          <t>20250806900465</t>
        </is>
      </c>
      <c r="O2448">
        <f>HYPERLINK("https://dart.fss.or.kr/dsaf001/main.do?rcpNo=20250806900465", "공시열람")</f>
        <v/>
      </c>
    </row>
    <row r="2449">
      <c r="A2449" t="inlineStr">
        <is>
          <t>2025-08-06</t>
        </is>
      </c>
      <c r="B2449" t="inlineStr">
        <is>
          <t>고려아연</t>
        </is>
      </c>
      <c r="C2449" t="inlineStr">
        <is>
          <t>010130</t>
        </is>
      </c>
      <c r="D2449" t="inlineStr">
        <is>
          <t>별도</t>
        </is>
      </c>
      <c r="E2449" t="inlineStr">
        <is>
          <t>2025Q2</t>
        </is>
      </c>
      <c r="F2449" s="2" t="n">
        <v>2461389</v>
      </c>
      <c r="G2449" t="n">
        <v>3</v>
      </c>
      <c r="H2449" t="n">
        <v>23.8</v>
      </c>
      <c r="I2449" s="2" t="n">
        <v>266490</v>
      </c>
      <c r="J2449" t="n">
        <v>-2.3</v>
      </c>
      <c r="K2449" t="n">
        <v>3.5</v>
      </c>
      <c r="L2449" s="2" t="n">
        <v>328065</v>
      </c>
      <c r="M2449" t="n">
        <v>65.5</v>
      </c>
      <c r="N2449" t="inlineStr">
        <is>
          <t>20250806800428</t>
        </is>
      </c>
      <c r="O2449">
        <f>HYPERLINK("https://dart.fss.or.kr/dsaf001/main.do?rcpNo=20250806800428", "공시열람")</f>
        <v/>
      </c>
    </row>
    <row r="2450">
      <c r="A2450" t="inlineStr">
        <is>
          <t>2025-08-06</t>
        </is>
      </c>
      <c r="B2450" t="inlineStr">
        <is>
          <t>롯데에너지머티리얼즈</t>
        </is>
      </c>
      <c r="C2450" t="inlineStr">
        <is>
          <t>020150</t>
        </is>
      </c>
      <c r="D2450" t="inlineStr">
        <is>
          <t>연결</t>
        </is>
      </c>
      <c r="E2450" t="inlineStr">
        <is>
          <t>2025Q2</t>
        </is>
      </c>
      <c r="F2450" s="2" t="n">
        <v>204900</v>
      </c>
      <c r="G2450" t="n">
        <v>29.7</v>
      </c>
      <c r="H2450" t="n">
        <v>-22</v>
      </c>
      <c r="I2450" s="2" t="n">
        <v>-31100</v>
      </c>
      <c r="J2450" t="n">
        <v>32.4</v>
      </c>
      <c r="K2450" t="inlineStr"/>
      <c r="L2450" s="2" t="n">
        <v>-51400</v>
      </c>
      <c r="M2450" t="inlineStr"/>
      <c r="N2450" t="inlineStr">
        <is>
          <t>20250806800033</t>
        </is>
      </c>
      <c r="O2450">
        <f>HYPERLINK("https://dart.fss.or.kr/dsaf001/main.do?rcpNo=20250806800033", "공시열람")</f>
        <v/>
      </c>
    </row>
    <row r="2451">
      <c r="A2451" t="inlineStr">
        <is>
          <t>2025-08-06</t>
        </is>
      </c>
      <c r="B2451" t="inlineStr">
        <is>
          <t>파크시스템스</t>
        </is>
      </c>
      <c r="C2451" t="inlineStr">
        <is>
          <t>140860</t>
        </is>
      </c>
      <c r="D2451" t="inlineStr">
        <is>
          <t>연결</t>
        </is>
      </c>
      <c r="E2451" t="inlineStr">
        <is>
          <t>2025Q2</t>
        </is>
      </c>
      <c r="F2451" s="2" t="n">
        <v>52309</v>
      </c>
      <c r="G2451" t="inlineStr"/>
      <c r="H2451" t="inlineStr"/>
      <c r="I2451" s="2" t="n">
        <v>11967</v>
      </c>
      <c r="J2451" t="inlineStr"/>
      <c r="K2451" t="inlineStr"/>
      <c r="L2451" s="2" t="inlineStr"/>
      <c r="M2451" t="inlineStr"/>
      <c r="N2451" t="inlineStr">
        <is>
          <t>20250806900405</t>
        </is>
      </c>
      <c r="O2451">
        <f>HYPERLINK("https://dart.fss.or.kr/dsaf001/main.do?rcpNo=20250806900405", "공시열람")</f>
        <v/>
      </c>
    </row>
    <row r="2452">
      <c r="A2452" t="inlineStr">
        <is>
          <t>2025-08-06</t>
        </is>
      </c>
      <c r="B2452" t="inlineStr">
        <is>
          <t>핌스</t>
        </is>
      </c>
      <c r="C2452" t="inlineStr">
        <is>
          <t>347770</t>
        </is>
      </c>
      <c r="D2452" t="inlineStr">
        <is>
          <t>연결</t>
        </is>
      </c>
      <c r="E2452" t="inlineStr">
        <is>
          <t>2025Q2</t>
        </is>
      </c>
      <c r="F2452" s="2" t="n">
        <v>22392</v>
      </c>
      <c r="G2452" t="inlineStr"/>
      <c r="H2452" t="inlineStr"/>
      <c r="I2452" s="2" t="n">
        <v>1487</v>
      </c>
      <c r="J2452" t="inlineStr"/>
      <c r="K2452" t="inlineStr"/>
      <c r="L2452" s="2" t="n">
        <v>649</v>
      </c>
      <c r="M2452" t="inlineStr"/>
      <c r="N2452" t="inlineStr">
        <is>
          <t>20250806900285</t>
        </is>
      </c>
      <c r="O2452">
        <f>HYPERLINK("https://dart.fss.or.kr/dsaf001/main.do?rcpNo=20250806900285", "공시열람")</f>
        <v/>
      </c>
    </row>
    <row r="2453">
      <c r="A2453" t="inlineStr">
        <is>
          <t>2025-08-06</t>
        </is>
      </c>
      <c r="B2453" t="inlineStr">
        <is>
          <t>셀트리온</t>
        </is>
      </c>
      <c r="C2453" t="inlineStr">
        <is>
          <t>068270</t>
        </is>
      </c>
      <c r="D2453" t="inlineStr">
        <is>
          <t>연결</t>
        </is>
      </c>
      <c r="E2453" t="inlineStr">
        <is>
          <t>2025Q2</t>
        </is>
      </c>
      <c r="F2453" s="2" t="n">
        <v>961457</v>
      </c>
      <c r="G2453" t="inlineStr"/>
      <c r="H2453" t="inlineStr"/>
      <c r="I2453" s="2" t="n">
        <v>242467</v>
      </c>
      <c r="J2453" t="inlineStr"/>
      <c r="K2453" t="inlineStr"/>
      <c r="L2453" s="2" t="n">
        <v>63300</v>
      </c>
      <c r="M2453" t="inlineStr"/>
      <c r="N2453" t="inlineStr">
        <is>
          <t>20250806800293</t>
        </is>
      </c>
      <c r="O2453">
        <f>HYPERLINK("https://dart.fss.or.kr/dsaf001/main.do?rcpNo=20250806800293", "공시열람")</f>
        <v/>
      </c>
    </row>
    <row r="2454">
      <c r="A2454" t="inlineStr">
        <is>
          <t>2025-08-06</t>
        </is>
      </c>
      <c r="B2454" t="inlineStr">
        <is>
          <t>산일전기</t>
        </is>
      </c>
      <c r="C2454" t="inlineStr">
        <is>
          <t>062040</t>
        </is>
      </c>
      <c r="D2454" t="inlineStr">
        <is>
          <t>별도</t>
        </is>
      </c>
      <c r="E2454" t="inlineStr">
        <is>
          <t>2025Q2</t>
        </is>
      </c>
      <c r="F2454" s="2" t="n">
        <v>128255</v>
      </c>
      <c r="G2454" t="n">
        <v>29.77</v>
      </c>
      <c r="H2454" t="n">
        <v>70.48</v>
      </c>
      <c r="I2454" s="2" t="n">
        <v>46324</v>
      </c>
      <c r="J2454" t="n">
        <v>23.46</v>
      </c>
      <c r="K2454" t="n">
        <v>89.06999999999999</v>
      </c>
      <c r="L2454" s="2" t="n">
        <v>37969</v>
      </c>
      <c r="M2454" t="n">
        <v>119.22</v>
      </c>
      <c r="N2454" t="inlineStr">
        <is>
          <t>20250806800287</t>
        </is>
      </c>
      <c r="O2454">
        <f>HYPERLINK("https://dart.fss.or.kr/dsaf001/main.do?rcpNo=20250806800287", "공시열람")</f>
        <v/>
      </c>
    </row>
    <row r="2455">
      <c r="A2455" t="inlineStr">
        <is>
          <t>2025-08-06</t>
        </is>
      </c>
      <c r="B2455" t="inlineStr">
        <is>
          <t>한국금융지주</t>
        </is>
      </c>
      <c r="C2455" t="inlineStr">
        <is>
          <t>071050</t>
        </is>
      </c>
      <c r="D2455" t="inlineStr">
        <is>
          <t>연결</t>
        </is>
      </c>
      <c r="E2455" t="inlineStr">
        <is>
          <t>2025Q2</t>
        </is>
      </c>
      <c r="F2455" s="2" t="n">
        <v>6624728</v>
      </c>
      <c r="G2455" t="n">
        <v>33.21</v>
      </c>
      <c r="H2455" t="n">
        <v>39.18</v>
      </c>
      <c r="I2455" s="2" t="n">
        <v>629091</v>
      </c>
      <c r="J2455" t="n">
        <v>21.25</v>
      </c>
      <c r="K2455" t="n">
        <v>64.09999999999999</v>
      </c>
      <c r="L2455" s="2" t="n">
        <v>577021</v>
      </c>
      <c r="M2455" t="n">
        <v>68.62</v>
      </c>
      <c r="N2455" t="inlineStr">
        <is>
          <t>20250806800294</t>
        </is>
      </c>
      <c r="O2455">
        <f>HYPERLINK("https://dart.fss.or.kr/dsaf001/main.do?rcpNo=20250806800294", "공시열람")</f>
        <v/>
      </c>
    </row>
    <row r="2456">
      <c r="A2456" t="inlineStr">
        <is>
          <t>2025-08-06</t>
        </is>
      </c>
      <c r="B2456" t="inlineStr">
        <is>
          <t>한국금융지주</t>
        </is>
      </c>
      <c r="C2456" t="inlineStr">
        <is>
          <t>071050</t>
        </is>
      </c>
      <c r="D2456" t="inlineStr">
        <is>
          <t>연결</t>
        </is>
      </c>
      <c r="E2456" t="inlineStr">
        <is>
          <t>2025Q2</t>
        </is>
      </c>
      <c r="F2456" s="2" t="n">
        <v>7033793</v>
      </c>
      <c r="G2456" t="n">
        <v>31.13</v>
      </c>
      <c r="H2456" t="n">
        <v>35.04</v>
      </c>
      <c r="I2456" s="2" t="n">
        <v>585551</v>
      </c>
      <c r="J2456" t="n">
        <v>10.56</v>
      </c>
      <c r="K2456" t="n">
        <v>95.53</v>
      </c>
      <c r="L2456" s="2" t="n">
        <v>540191</v>
      </c>
      <c r="M2456" t="n">
        <v>92.15000000000001</v>
      </c>
      <c r="N2456" t="inlineStr">
        <is>
          <t>20250806800292</t>
        </is>
      </c>
      <c r="O2456">
        <f>HYPERLINK("https://dart.fss.or.kr/dsaf001/main.do?rcpNo=20250806800292", "공시열람")</f>
        <v/>
      </c>
    </row>
    <row r="2457">
      <c r="A2457" t="inlineStr">
        <is>
          <t>2025-08-06</t>
        </is>
      </c>
      <c r="B2457" t="inlineStr">
        <is>
          <t>하나투어</t>
        </is>
      </c>
      <c r="C2457" t="inlineStr">
        <is>
          <t>039130</t>
        </is>
      </c>
      <c r="D2457" t="inlineStr">
        <is>
          <t>연결</t>
        </is>
      </c>
      <c r="E2457" t="inlineStr">
        <is>
          <t>2025Q2</t>
        </is>
      </c>
      <c r="F2457" s="2" t="n">
        <v>119937</v>
      </c>
      <c r="G2457" t="n">
        <v>-28.8</v>
      </c>
      <c r="H2457" t="n">
        <v>-8.91</v>
      </c>
      <c r="I2457" s="2" t="n">
        <v>9650</v>
      </c>
      <c r="J2457" t="n">
        <v>-21.43</v>
      </c>
      <c r="K2457" t="n">
        <v>163.23</v>
      </c>
      <c r="L2457" s="2" t="n">
        <v>11147</v>
      </c>
      <c r="M2457" t="n">
        <v>-11.8</v>
      </c>
      <c r="N2457" t="inlineStr">
        <is>
          <t>20250806800267</t>
        </is>
      </c>
      <c r="O2457">
        <f>HYPERLINK("https://dart.fss.or.kr/dsaf001/main.do?rcpNo=20250806800267", "공시열람")</f>
        <v/>
      </c>
    </row>
    <row r="2458">
      <c r="A2458" t="inlineStr">
        <is>
          <t>2025-08-06</t>
        </is>
      </c>
      <c r="B2458" t="inlineStr">
        <is>
          <t>SK텔레콤</t>
        </is>
      </c>
      <c r="C2458" t="inlineStr">
        <is>
          <t>017670</t>
        </is>
      </c>
      <c r="D2458" t="inlineStr">
        <is>
          <t>연결</t>
        </is>
      </c>
      <c r="E2458" t="inlineStr">
        <is>
          <t>2025Q2</t>
        </is>
      </c>
      <c r="F2458" s="2" t="n">
        <v>4338800</v>
      </c>
      <c r="G2458" t="n">
        <v>-2.58</v>
      </c>
      <c r="H2458" t="n">
        <v>-1.89</v>
      </c>
      <c r="I2458" s="2" t="n">
        <v>338300</v>
      </c>
      <c r="J2458" t="n">
        <v>-40.38</v>
      </c>
      <c r="K2458" t="n">
        <v>-37.07</v>
      </c>
      <c r="L2458" s="2" t="n">
        <v>83200</v>
      </c>
      <c r="M2458" t="n">
        <v>-76.23</v>
      </c>
      <c r="N2458" t="inlineStr">
        <is>
          <t>20250806800032</t>
        </is>
      </c>
      <c r="O2458">
        <f>HYPERLINK("https://dart.fss.or.kr/dsaf001/main.do?rcpNo=20250806800032", "공시열람")</f>
        <v/>
      </c>
    </row>
    <row r="2459">
      <c r="A2459" t="inlineStr">
        <is>
          <t>2025-08-05</t>
        </is>
      </c>
      <c r="B2459" t="inlineStr">
        <is>
          <t>더존비즈온</t>
        </is>
      </c>
      <c r="C2459" t="inlineStr">
        <is>
          <t>012510</t>
        </is>
      </c>
      <c r="D2459" t="inlineStr">
        <is>
          <t>연결</t>
        </is>
      </c>
      <c r="E2459" t="inlineStr">
        <is>
          <t>2025Q2</t>
        </is>
      </c>
      <c r="F2459" s="2" t="n">
        <v>105890</v>
      </c>
      <c r="G2459" t="n">
        <v>7.4</v>
      </c>
      <c r="H2459" t="n">
        <v>6.5</v>
      </c>
      <c r="I2459" s="2" t="n">
        <v>25220</v>
      </c>
      <c r="J2459" t="n">
        <v>16.8</v>
      </c>
      <c r="K2459" t="n">
        <v>23.5</v>
      </c>
      <c r="L2459" s="2" t="n">
        <v>17584</v>
      </c>
      <c r="M2459" t="n">
        <v>64.8</v>
      </c>
      <c r="N2459" t="inlineStr">
        <is>
          <t>20250805800035</t>
        </is>
      </c>
      <c r="O2459">
        <f>HYPERLINK("https://dart.fss.or.kr/dsaf001/main.do?rcpNo=20250805800035", "공시열람")</f>
        <v/>
      </c>
    </row>
    <row r="2460">
      <c r="A2460" t="inlineStr">
        <is>
          <t>2025-08-05</t>
        </is>
      </c>
      <c r="B2460" t="inlineStr">
        <is>
          <t>HDC</t>
        </is>
      </c>
      <c r="C2460" t="inlineStr">
        <is>
          <t>012630</t>
        </is>
      </c>
      <c r="D2460" t="inlineStr">
        <is>
          <t>연결</t>
        </is>
      </c>
      <c r="E2460" t="inlineStr">
        <is>
          <t>2025Q2</t>
        </is>
      </c>
      <c r="F2460" s="2" t="n">
        <v>1818814</v>
      </c>
      <c r="G2460" t="n">
        <v>16.2</v>
      </c>
      <c r="H2460" t="n">
        <v>18.1</v>
      </c>
      <c r="I2460" s="2" t="n">
        <v>166412</v>
      </c>
      <c r="J2460" t="n">
        <v>7.5</v>
      </c>
      <c r="K2460" t="n">
        <v>97.59999999999999</v>
      </c>
      <c r="L2460" s="2" t="n">
        <v>97758</v>
      </c>
      <c r="M2460" t="n">
        <v>54.4</v>
      </c>
      <c r="N2460" t="inlineStr">
        <is>
          <t>20250805800032</t>
        </is>
      </c>
      <c r="O2460">
        <f>HYPERLINK("https://dart.fss.or.kr/dsaf001/main.do?rcpNo=20250805800032", "공시열람")</f>
        <v/>
      </c>
    </row>
    <row r="2461">
      <c r="A2461" t="inlineStr">
        <is>
          <t>2025-08-05</t>
        </is>
      </c>
      <c r="B2461" t="inlineStr">
        <is>
          <t>SM C&amp;C</t>
        </is>
      </c>
      <c r="C2461" t="inlineStr">
        <is>
          <t>048550</t>
        </is>
      </c>
      <c r="D2461" t="inlineStr">
        <is>
          <t>연결</t>
        </is>
      </c>
      <c r="E2461" t="inlineStr">
        <is>
          <t>2025Q2</t>
        </is>
      </c>
      <c r="F2461" s="2" t="n">
        <v>21114</v>
      </c>
      <c r="G2461" t="inlineStr"/>
      <c r="H2461" t="inlineStr"/>
      <c r="I2461" s="2" t="n">
        <v>-1255</v>
      </c>
      <c r="J2461" t="inlineStr"/>
      <c r="K2461" t="inlineStr"/>
      <c r="L2461" s="2" t="n">
        <v>-983</v>
      </c>
      <c r="M2461" t="inlineStr"/>
      <c r="N2461" t="inlineStr">
        <is>
          <t>20250805900407</t>
        </is>
      </c>
      <c r="O2461">
        <f>HYPERLINK("https://dart.fss.or.kr/dsaf001/main.do?rcpNo=20250805900407", "공시열람")</f>
        <v/>
      </c>
    </row>
    <row r="2462">
      <c r="A2462" t="inlineStr">
        <is>
          <t>2025-08-05</t>
        </is>
      </c>
      <c r="B2462" t="inlineStr">
        <is>
          <t>한국석유공업</t>
        </is>
      </c>
      <c r="C2462" t="inlineStr">
        <is>
          <t>004090</t>
        </is>
      </c>
      <c r="D2462" t="inlineStr">
        <is>
          <t>연결</t>
        </is>
      </c>
      <c r="E2462" t="inlineStr">
        <is>
          <t>2025Q2</t>
        </is>
      </c>
      <c r="F2462" s="2" t="n">
        <v>192374</v>
      </c>
      <c r="G2462" t="n">
        <v>21.2</v>
      </c>
      <c r="H2462" t="n">
        <v>0.2</v>
      </c>
      <c r="I2462" s="2" t="n">
        <v>3546</v>
      </c>
      <c r="J2462" t="n">
        <v>501.7</v>
      </c>
      <c r="K2462" t="n">
        <v>-42</v>
      </c>
      <c r="L2462" s="2" t="n">
        <v>4167</v>
      </c>
      <c r="M2462" t="n">
        <v>32.3</v>
      </c>
      <c r="N2462" t="inlineStr">
        <is>
          <t>20250805800188</t>
        </is>
      </c>
      <c r="O2462">
        <f>HYPERLINK("https://dart.fss.or.kr/dsaf001/main.do?rcpNo=20250805800188", "공시열람")</f>
        <v/>
      </c>
    </row>
    <row r="2463">
      <c r="A2463" t="inlineStr">
        <is>
          <t>2025-08-05</t>
        </is>
      </c>
      <c r="B2463" t="inlineStr">
        <is>
          <t>에코프로비엠</t>
        </is>
      </c>
      <c r="C2463" t="inlineStr">
        <is>
          <t>247540</t>
        </is>
      </c>
      <c r="D2463" t="inlineStr">
        <is>
          <t>연결</t>
        </is>
      </c>
      <c r="E2463" t="inlineStr">
        <is>
          <t>2025Q2</t>
        </is>
      </c>
      <c r="F2463" s="2" t="n">
        <v>779717</v>
      </c>
      <c r="G2463" t="inlineStr"/>
      <c r="H2463" t="inlineStr"/>
      <c r="I2463" s="2" t="n">
        <v>49001</v>
      </c>
      <c r="J2463" t="inlineStr"/>
      <c r="K2463" t="inlineStr"/>
      <c r="L2463" s="2" t="n">
        <v>34265</v>
      </c>
      <c r="M2463" t="inlineStr"/>
      <c r="N2463" t="inlineStr">
        <is>
          <t>20250805900038</t>
        </is>
      </c>
      <c r="O2463">
        <f>HYPERLINK("https://dart.fss.or.kr/dsaf001/main.do?rcpNo=20250805900038", "공시열람")</f>
        <v/>
      </c>
    </row>
    <row r="2464">
      <c r="A2464" t="inlineStr">
        <is>
          <t>2025-08-05</t>
        </is>
      </c>
      <c r="B2464" t="inlineStr">
        <is>
          <t>에스케이바이오팜</t>
        </is>
      </c>
      <c r="C2464" t="inlineStr">
        <is>
          <t>326030</t>
        </is>
      </c>
      <c r="D2464" t="inlineStr">
        <is>
          <t>연결</t>
        </is>
      </c>
      <c r="E2464" t="inlineStr">
        <is>
          <t>2025Q2</t>
        </is>
      </c>
      <c r="F2464" s="2" t="n">
        <v>176277</v>
      </c>
      <c r="G2464" t="n">
        <v>22.1</v>
      </c>
      <c r="H2464" t="n">
        <v>31.6</v>
      </c>
      <c r="I2464" s="2" t="n">
        <v>61883</v>
      </c>
      <c r="J2464" t="n">
        <v>141.1</v>
      </c>
      <c r="K2464" t="n">
        <v>137.6</v>
      </c>
      <c r="L2464" s="2" t="n">
        <v>29524</v>
      </c>
      <c r="M2464" t="n">
        <v>20.2</v>
      </c>
      <c r="N2464" t="inlineStr">
        <is>
          <t>20250805800045</t>
        </is>
      </c>
      <c r="O2464">
        <f>HYPERLINK("https://dart.fss.or.kr/dsaf001/main.do?rcpNo=20250805800045", "공시열람")</f>
        <v/>
      </c>
    </row>
    <row r="2465">
      <c r="A2465" t="inlineStr">
        <is>
          <t>2025-08-05</t>
        </is>
      </c>
      <c r="B2465" t="inlineStr">
        <is>
          <t>토비스</t>
        </is>
      </c>
      <c r="C2465" t="inlineStr">
        <is>
          <t>051360</t>
        </is>
      </c>
      <c r="D2465" t="inlineStr">
        <is>
          <t>연결</t>
        </is>
      </c>
      <c r="E2465" t="inlineStr">
        <is>
          <t>2025Q2</t>
        </is>
      </c>
      <c r="F2465" s="2" t="n">
        <v>166353</v>
      </c>
      <c r="G2465" t="inlineStr"/>
      <c r="H2465" t="inlineStr"/>
      <c r="I2465" s="2" t="n">
        <v>18332</v>
      </c>
      <c r="J2465" t="inlineStr"/>
      <c r="K2465" t="inlineStr"/>
      <c r="L2465" s="2" t="n">
        <v>11183</v>
      </c>
      <c r="M2465" t="inlineStr"/>
      <c r="N2465" t="inlineStr">
        <is>
          <t>20250805900094</t>
        </is>
      </c>
      <c r="O2465">
        <f>HYPERLINK("https://dart.fss.or.kr/dsaf001/main.do?rcpNo=20250805900094", "공시열람")</f>
        <v/>
      </c>
    </row>
    <row r="2466">
      <c r="A2466" t="inlineStr">
        <is>
          <t>2025-08-05</t>
        </is>
      </c>
      <c r="B2466" t="inlineStr">
        <is>
          <t>현대이지웰</t>
        </is>
      </c>
      <c r="C2466" t="inlineStr">
        <is>
          <t>090850</t>
        </is>
      </c>
      <c r="D2466" t="inlineStr">
        <is>
          <t>연결</t>
        </is>
      </c>
      <c r="E2466" t="inlineStr">
        <is>
          <t>2025Q2</t>
        </is>
      </c>
      <c r="F2466" s="2" t="n">
        <v>29624</v>
      </c>
      <c r="G2466" t="inlineStr"/>
      <c r="H2466" t="inlineStr"/>
      <c r="I2466" s="2" t="n">
        <v>6618</v>
      </c>
      <c r="J2466" t="inlineStr"/>
      <c r="K2466" t="inlineStr"/>
      <c r="L2466" s="2" t="n">
        <v>8675</v>
      </c>
      <c r="M2466" t="inlineStr"/>
      <c r="N2466" t="inlineStr">
        <is>
          <t>20250805900126</t>
        </is>
      </c>
      <c r="O2466">
        <f>HYPERLINK("https://dart.fss.or.kr/dsaf001/main.do?rcpNo=20250805900126", "공시열람")</f>
        <v/>
      </c>
    </row>
    <row r="2467">
      <c r="A2467" t="inlineStr">
        <is>
          <t>2025-08-05</t>
        </is>
      </c>
      <c r="B2467" t="inlineStr">
        <is>
          <t>GKL</t>
        </is>
      </c>
      <c r="C2467" t="inlineStr">
        <is>
          <t>114090</t>
        </is>
      </c>
      <c r="D2467" t="inlineStr">
        <is>
          <t>별도</t>
        </is>
      </c>
      <c r="E2467" t="inlineStr">
        <is>
          <t>2025Q2</t>
        </is>
      </c>
      <c r="F2467" s="2" t="inlineStr"/>
      <c r="G2467" t="inlineStr"/>
      <c r="H2467" t="inlineStr"/>
      <c r="I2467" s="2" t="inlineStr"/>
      <c r="J2467" t="inlineStr"/>
      <c r="K2467" t="inlineStr"/>
      <c r="L2467" s="2" t="inlineStr"/>
      <c r="M2467" t="inlineStr"/>
      <c r="N2467" t="inlineStr">
        <is>
          <t>20250805800149</t>
        </is>
      </c>
      <c r="O2467">
        <f>HYPERLINK("https://dart.fss.or.kr/dsaf001/main.do?rcpNo=20250805800149", "공시열람")</f>
        <v/>
      </c>
    </row>
    <row r="2468">
      <c r="A2468" t="inlineStr">
        <is>
          <t>2025-08-05</t>
        </is>
      </c>
      <c r="B2468" t="inlineStr">
        <is>
          <t>현대로템</t>
        </is>
      </c>
      <c r="C2468" t="inlineStr">
        <is>
          <t>064350</t>
        </is>
      </c>
      <c r="D2468" t="inlineStr">
        <is>
          <t>연결</t>
        </is>
      </c>
      <c r="E2468" t="inlineStr">
        <is>
          <t>2025Q2</t>
        </is>
      </c>
      <c r="F2468" s="2" t="n">
        <v>1417634</v>
      </c>
      <c r="G2468" t="n">
        <v>20.5</v>
      </c>
      <c r="H2468" t="n">
        <v>29.5</v>
      </c>
      <c r="I2468" s="2" t="n">
        <v>257587</v>
      </c>
      <c r="J2468" t="n">
        <v>27</v>
      </c>
      <c r="K2468" t="n">
        <v>128.4</v>
      </c>
      <c r="L2468" s="2" t="n">
        <v>189545</v>
      </c>
      <c r="M2468" t="n">
        <v>88</v>
      </c>
      <c r="N2468" t="inlineStr">
        <is>
          <t>20250805800160</t>
        </is>
      </c>
      <c r="O2468">
        <f>HYPERLINK("https://dart.fss.or.kr/dsaf001/main.do?rcpNo=20250805800160", "공시열람")</f>
        <v/>
      </c>
    </row>
    <row r="2469">
      <c r="A2469" t="inlineStr">
        <is>
          <t>2025-08-05</t>
        </is>
      </c>
      <c r="B2469" t="inlineStr">
        <is>
          <t>롯데웰푸드</t>
        </is>
      </c>
      <c r="C2469" t="inlineStr">
        <is>
          <t>280360</t>
        </is>
      </c>
      <c r="D2469" t="inlineStr">
        <is>
          <t>연결</t>
        </is>
      </c>
      <c r="E2469" t="inlineStr">
        <is>
          <t>2025Q2</t>
        </is>
      </c>
      <c r="F2469" s="2" t="n">
        <v>1064281</v>
      </c>
      <c r="G2469" t="n">
        <v>9.1</v>
      </c>
      <c r="H2469" t="n">
        <v>1.9</v>
      </c>
      <c r="I2469" s="2" t="n">
        <v>34334</v>
      </c>
      <c r="J2469" t="n">
        <v>109.5</v>
      </c>
      <c r="K2469" t="n">
        <v>-45.8</v>
      </c>
      <c r="L2469" s="2" t="n">
        <v>15678</v>
      </c>
      <c r="M2469" t="n">
        <v>-61.5</v>
      </c>
      <c r="N2469" t="inlineStr">
        <is>
          <t>20250805800180</t>
        </is>
      </c>
      <c r="O2469">
        <f>HYPERLINK("https://dart.fss.or.kr/dsaf001/main.do?rcpNo=20250805800180", "공시열람")</f>
        <v/>
      </c>
    </row>
    <row r="2470">
      <c r="A2470" t="inlineStr">
        <is>
          <t>2025-08-05</t>
        </is>
      </c>
      <c r="B2470" t="inlineStr">
        <is>
          <t>가비아</t>
        </is>
      </c>
      <c r="C2470" t="inlineStr">
        <is>
          <t>079940</t>
        </is>
      </c>
      <c r="D2470" t="inlineStr">
        <is>
          <t>연결</t>
        </is>
      </c>
      <c r="E2470" t="inlineStr">
        <is>
          <t>2025Q2</t>
        </is>
      </c>
      <c r="F2470" s="2" t="n">
        <v>80647</v>
      </c>
      <c r="G2470" t="inlineStr"/>
      <c r="H2470" t="inlineStr"/>
      <c r="I2470" s="2" t="n">
        <v>8038</v>
      </c>
      <c r="J2470" t="inlineStr"/>
      <c r="K2470" t="inlineStr"/>
      <c r="L2470" s="2" t="n">
        <v>6096</v>
      </c>
      <c r="M2470" t="inlineStr"/>
      <c r="N2470" t="inlineStr">
        <is>
          <t>20250805900405</t>
        </is>
      </c>
      <c r="O2470">
        <f>HYPERLINK("https://dart.fss.or.kr/dsaf001/main.do?rcpNo=20250805900405", "공시열람")</f>
        <v/>
      </c>
    </row>
    <row r="2471">
      <c r="A2471" t="inlineStr">
        <is>
          <t>2025-08-05</t>
        </is>
      </c>
      <c r="B2471" t="inlineStr">
        <is>
          <t>레이크머티리얼즈</t>
        </is>
      </c>
      <c r="C2471" t="inlineStr">
        <is>
          <t>281740</t>
        </is>
      </c>
      <c r="D2471" t="inlineStr">
        <is>
          <t>연결</t>
        </is>
      </c>
      <c r="E2471" t="inlineStr">
        <is>
          <t>2025Q2</t>
        </is>
      </c>
      <c r="F2471" s="2" t="n">
        <v>31245</v>
      </c>
      <c r="G2471" t="inlineStr"/>
      <c r="H2471" t="inlineStr"/>
      <c r="I2471" s="2" t="n">
        <v>4344</v>
      </c>
      <c r="J2471" t="inlineStr"/>
      <c r="K2471" t="inlineStr"/>
      <c r="L2471" s="2" t="n">
        <v>1138</v>
      </c>
      <c r="M2471" t="inlineStr"/>
      <c r="N2471" t="inlineStr">
        <is>
          <t>20250805900189</t>
        </is>
      </c>
      <c r="O2471">
        <f>HYPERLINK("https://dart.fss.or.kr/dsaf001/main.do?rcpNo=20250805900189", "공시열람")</f>
        <v/>
      </c>
    </row>
    <row r="2472">
      <c r="A2472" t="inlineStr">
        <is>
          <t>2025-08-05</t>
        </is>
      </c>
      <c r="B2472" t="inlineStr">
        <is>
          <t>넥써쓰</t>
        </is>
      </c>
      <c r="C2472" t="inlineStr">
        <is>
          <t>205500</t>
        </is>
      </c>
      <c r="D2472" t="inlineStr">
        <is>
          <t>연결</t>
        </is>
      </c>
      <c r="E2472" t="inlineStr">
        <is>
          <t>2025Q2</t>
        </is>
      </c>
      <c r="F2472" s="2" t="n">
        <v>9328</v>
      </c>
      <c r="G2472" t="inlineStr"/>
      <c r="H2472" t="inlineStr"/>
      <c r="I2472" s="2" t="n">
        <v>281</v>
      </c>
      <c r="J2472" t="inlineStr"/>
      <c r="K2472" t="inlineStr"/>
      <c r="L2472" s="2" t="n">
        <v>-1893</v>
      </c>
      <c r="M2472" t="inlineStr"/>
      <c r="N2472" t="inlineStr">
        <is>
          <t>20250805900099</t>
        </is>
      </c>
      <c r="O2472">
        <f>HYPERLINK("https://dart.fss.or.kr/dsaf001/main.do?rcpNo=20250805900099", "공시열람")</f>
        <v/>
      </c>
    </row>
    <row r="2473">
      <c r="A2473" t="inlineStr">
        <is>
          <t>2025-08-05</t>
        </is>
      </c>
      <c r="B2473" t="inlineStr">
        <is>
          <t>카카오페이</t>
        </is>
      </c>
      <c r="C2473" t="inlineStr">
        <is>
          <t>377300</t>
        </is>
      </c>
      <c r="D2473" t="inlineStr">
        <is>
          <t>별도</t>
        </is>
      </c>
      <c r="E2473" t="inlineStr">
        <is>
          <t>2025Q2</t>
        </is>
      </c>
      <c r="F2473" s="2" t="n">
        <v>167202</v>
      </c>
      <c r="G2473" t="n">
        <v>3.9</v>
      </c>
      <c r="H2473" t="n">
        <v>8.4</v>
      </c>
      <c r="I2473" s="2" t="n">
        <v>14204</v>
      </c>
      <c r="J2473" t="n">
        <v>4.7</v>
      </c>
      <c r="K2473" t="n">
        <v>25.7</v>
      </c>
      <c r="L2473" s="2" t="n">
        <v>20679</v>
      </c>
      <c r="M2473" t="n">
        <v>7.3</v>
      </c>
      <c r="N2473" t="inlineStr">
        <is>
          <t>20250805800206</t>
        </is>
      </c>
      <c r="O2473">
        <f>HYPERLINK("https://dart.fss.or.kr/dsaf001/main.do?rcpNo=20250805800206", "공시열람")</f>
        <v/>
      </c>
    </row>
    <row r="2474">
      <c r="A2474" t="inlineStr">
        <is>
          <t>2025-08-05</t>
        </is>
      </c>
      <c r="B2474" t="inlineStr">
        <is>
          <t>현대리바트</t>
        </is>
      </c>
      <c r="C2474" t="inlineStr">
        <is>
          <t>079430</t>
        </is>
      </c>
      <c r="D2474" t="inlineStr">
        <is>
          <t>연결</t>
        </is>
      </c>
      <c r="E2474" t="inlineStr">
        <is>
          <t>2025Q2</t>
        </is>
      </c>
      <c r="F2474" s="2" t="n">
        <v>409871</v>
      </c>
      <c r="G2474" t="n">
        <v>-6.4</v>
      </c>
      <c r="H2474" t="n">
        <v>-17.5</v>
      </c>
      <c r="I2474" s="2" t="n">
        <v>5080</v>
      </c>
      <c r="J2474" t="n">
        <v>-46.6</v>
      </c>
      <c r="K2474" t="n">
        <v>-37.8</v>
      </c>
      <c r="L2474" s="2" t="n">
        <v>618</v>
      </c>
      <c r="M2474" t="n">
        <v>-89.2</v>
      </c>
      <c r="N2474" t="inlineStr">
        <is>
          <t>20250805800272</t>
        </is>
      </c>
      <c r="O2474">
        <f>HYPERLINK("https://dart.fss.or.kr/dsaf001/main.do?rcpNo=20250805800272", "공시열람")</f>
        <v/>
      </c>
    </row>
    <row r="2475">
      <c r="A2475" t="inlineStr">
        <is>
          <t>2025-08-05</t>
        </is>
      </c>
      <c r="B2475" t="inlineStr">
        <is>
          <t>카카오페이</t>
        </is>
      </c>
      <c r="C2475" t="inlineStr">
        <is>
          <t>377300</t>
        </is>
      </c>
      <c r="D2475" t="inlineStr">
        <is>
          <t>연결</t>
        </is>
      </c>
      <c r="E2475" t="inlineStr">
        <is>
          <t>2025Q2</t>
        </is>
      </c>
      <c r="F2475" s="2" t="n">
        <v>238289</v>
      </c>
      <c r="G2475" t="n">
        <v>12.5</v>
      </c>
      <c r="H2475" t="n">
        <v>28.5</v>
      </c>
      <c r="I2475" s="2" t="n">
        <v>9328</v>
      </c>
      <c r="J2475" t="n">
        <v>111.5</v>
      </c>
      <c r="K2475" t="inlineStr"/>
      <c r="L2475" s="2" t="n">
        <v>14120</v>
      </c>
      <c r="M2475" t="n">
        <v>2155.6</v>
      </c>
      <c r="N2475" t="inlineStr">
        <is>
          <t>20250805800207</t>
        </is>
      </c>
      <c r="O2475">
        <f>HYPERLINK("https://dart.fss.or.kr/dsaf001/main.do?rcpNo=20250805800207", "공시열람")</f>
        <v/>
      </c>
    </row>
    <row r="2476">
      <c r="A2476" t="inlineStr">
        <is>
          <t>2025-08-05</t>
        </is>
      </c>
      <c r="B2476" t="inlineStr">
        <is>
          <t>현대그린푸드</t>
        </is>
      </c>
      <c r="C2476" t="inlineStr">
        <is>
          <t>453340</t>
        </is>
      </c>
      <c r="D2476" t="inlineStr">
        <is>
          <t>연결</t>
        </is>
      </c>
      <c r="E2476" t="inlineStr">
        <is>
          <t>2025Q2</t>
        </is>
      </c>
      <c r="F2476" s="2" t="n">
        <v>552100</v>
      </c>
      <c r="G2476" t="n">
        <v>-3.24</v>
      </c>
      <c r="H2476" t="n">
        <v>1.79</v>
      </c>
      <c r="I2476" s="2" t="n">
        <v>30900</v>
      </c>
      <c r="J2476" t="n">
        <v>-4.11</v>
      </c>
      <c r="K2476" t="n">
        <v>-4.97</v>
      </c>
      <c r="L2476" s="2" t="n">
        <v>23400</v>
      </c>
      <c r="M2476" t="n">
        <v>-0.72</v>
      </c>
      <c r="N2476" t="inlineStr">
        <is>
          <t>20250805800222</t>
        </is>
      </c>
      <c r="O2476">
        <f>HYPERLINK("https://dart.fss.or.kr/dsaf001/main.do?rcpNo=20250805800222", "공시열람")</f>
        <v/>
      </c>
    </row>
    <row r="2477">
      <c r="A2477" t="inlineStr">
        <is>
          <t>2025-08-05</t>
        </is>
      </c>
      <c r="B2477" t="inlineStr">
        <is>
          <t>인크로스</t>
        </is>
      </c>
      <c r="C2477" t="inlineStr">
        <is>
          <t>216050</t>
        </is>
      </c>
      <c r="D2477" t="inlineStr">
        <is>
          <t>연결</t>
        </is>
      </c>
      <c r="E2477" t="inlineStr">
        <is>
          <t>2025Q2</t>
        </is>
      </c>
      <c r="F2477" s="2" t="n">
        <v>10353</v>
      </c>
      <c r="G2477" t="inlineStr"/>
      <c r="H2477" t="inlineStr"/>
      <c r="I2477" s="2" t="n">
        <v>2241</v>
      </c>
      <c r="J2477" t="inlineStr"/>
      <c r="K2477" t="inlineStr"/>
      <c r="L2477" s="2" t="n">
        <v>2372</v>
      </c>
      <c r="M2477" t="inlineStr"/>
      <c r="N2477" t="inlineStr">
        <is>
          <t>20250805900254</t>
        </is>
      </c>
      <c r="O2477">
        <f>HYPERLINK("https://dart.fss.or.kr/dsaf001/main.do?rcpNo=20250805900254", "공시열람")</f>
        <v/>
      </c>
    </row>
    <row r="2478">
      <c r="A2478" t="inlineStr">
        <is>
          <t>2025-08-05</t>
        </is>
      </c>
      <c r="B2478" t="inlineStr">
        <is>
          <t>인크로스</t>
        </is>
      </c>
      <c r="C2478" t="inlineStr">
        <is>
          <t>216050</t>
        </is>
      </c>
      <c r="D2478" t="inlineStr">
        <is>
          <t>별도</t>
        </is>
      </c>
      <c r="E2478" t="inlineStr">
        <is>
          <t>2025Q2</t>
        </is>
      </c>
      <c r="F2478" s="2" t="n">
        <v>9043</v>
      </c>
      <c r="G2478" t="inlineStr"/>
      <c r="H2478" t="inlineStr"/>
      <c r="I2478" s="2" t="n">
        <v>2302</v>
      </c>
      <c r="J2478" t="inlineStr"/>
      <c r="K2478" t="inlineStr"/>
      <c r="L2478" s="2" t="n">
        <v>2392</v>
      </c>
      <c r="M2478" t="inlineStr"/>
      <c r="N2478" t="inlineStr">
        <is>
          <t>20250805900252</t>
        </is>
      </c>
      <c r="O2478">
        <f>HYPERLINK("https://dart.fss.or.kr/dsaf001/main.do?rcpNo=20250805900252", "공시열람")</f>
        <v/>
      </c>
    </row>
    <row r="2479">
      <c r="A2479" t="inlineStr">
        <is>
          <t>2025-08-05</t>
        </is>
      </c>
      <c r="B2479" t="inlineStr">
        <is>
          <t>케이아이엔엑스</t>
        </is>
      </c>
      <c r="C2479" t="inlineStr">
        <is>
          <t>093320</t>
        </is>
      </c>
      <c r="D2479" t="inlineStr">
        <is>
          <t>별도</t>
        </is>
      </c>
      <c r="E2479" t="inlineStr">
        <is>
          <t>2025Q2</t>
        </is>
      </c>
      <c r="F2479" s="2" t="n">
        <v>25776</v>
      </c>
      <c r="G2479" t="inlineStr"/>
      <c r="H2479" t="inlineStr"/>
      <c r="I2479" s="2" t="n">
        <v>4908</v>
      </c>
      <c r="J2479" t="inlineStr"/>
      <c r="K2479" t="inlineStr"/>
      <c r="L2479" s="2" t="n">
        <v>3314</v>
      </c>
      <c r="M2479" t="inlineStr"/>
      <c r="N2479" t="inlineStr">
        <is>
          <t>20250805900258</t>
        </is>
      </c>
      <c r="O2479">
        <f>HYPERLINK("https://dart.fss.or.kr/dsaf001/main.do?rcpNo=20250805900258", "공시열람")</f>
        <v/>
      </c>
    </row>
    <row r="2480">
      <c r="A2480" t="inlineStr">
        <is>
          <t>2025-08-05</t>
        </is>
      </c>
      <c r="B2480" t="inlineStr">
        <is>
          <t>케이아이엔엑스</t>
        </is>
      </c>
      <c r="C2480" t="inlineStr">
        <is>
          <t>093320</t>
        </is>
      </c>
      <c r="D2480" t="inlineStr">
        <is>
          <t>연결</t>
        </is>
      </c>
      <c r="E2480" t="inlineStr">
        <is>
          <t>2025Q2</t>
        </is>
      </c>
      <c r="F2480" s="2" t="n">
        <v>39156</v>
      </c>
      <c r="G2480" t="inlineStr"/>
      <c r="H2480" t="inlineStr"/>
      <c r="I2480" s="2" t="n">
        <v>5834</v>
      </c>
      <c r="J2480" t="inlineStr"/>
      <c r="K2480" t="inlineStr"/>
      <c r="L2480" s="2" t="n">
        <v>4050</v>
      </c>
      <c r="M2480" t="inlineStr"/>
      <c r="N2480" t="inlineStr">
        <is>
          <t>20250805900259</t>
        </is>
      </c>
      <c r="O2480">
        <f>HYPERLINK("https://dart.fss.or.kr/dsaf001/main.do?rcpNo=20250805900259", "공시열람")</f>
        <v/>
      </c>
    </row>
    <row r="2481">
      <c r="A2481" t="inlineStr">
        <is>
          <t>2025-08-05</t>
        </is>
      </c>
      <c r="B2481" t="inlineStr">
        <is>
          <t>GS피앤엘</t>
        </is>
      </c>
      <c r="C2481" t="inlineStr">
        <is>
          <t>499790</t>
        </is>
      </c>
      <c r="D2481" t="inlineStr">
        <is>
          <t>연결</t>
        </is>
      </c>
      <c r="E2481" t="inlineStr">
        <is>
          <t>2025Q2</t>
        </is>
      </c>
      <c r="F2481" s="2" t="n">
        <v>112145</v>
      </c>
      <c r="G2481" t="inlineStr"/>
      <c r="H2481" t="inlineStr"/>
      <c r="I2481" s="2" t="n">
        <v>11564</v>
      </c>
      <c r="J2481" t="inlineStr"/>
      <c r="K2481" t="inlineStr"/>
      <c r="L2481" s="2" t="n">
        <v>6014</v>
      </c>
      <c r="M2481" t="inlineStr"/>
      <c r="N2481" t="inlineStr">
        <is>
          <t>20250805800294</t>
        </is>
      </c>
      <c r="O2481">
        <f>HYPERLINK("https://dart.fss.or.kr/dsaf001/main.do?rcpNo=20250805800294", "공시열람")</f>
        <v/>
      </c>
    </row>
    <row r="2482">
      <c r="A2482" t="inlineStr">
        <is>
          <t>2025-08-05</t>
        </is>
      </c>
      <c r="B2482" t="inlineStr">
        <is>
          <t>디어유</t>
        </is>
      </c>
      <c r="C2482" t="inlineStr">
        <is>
          <t>376300</t>
        </is>
      </c>
      <c r="D2482" t="inlineStr">
        <is>
          <t>연결</t>
        </is>
      </c>
      <c r="E2482" t="inlineStr">
        <is>
          <t>2025Q2</t>
        </is>
      </c>
      <c r="F2482" s="2" t="n">
        <v>20184</v>
      </c>
      <c r="G2482" t="inlineStr"/>
      <c r="H2482" t="inlineStr"/>
      <c r="I2482" s="2" t="n">
        <v>7442</v>
      </c>
      <c r="J2482" t="inlineStr"/>
      <c r="K2482" t="inlineStr"/>
      <c r="L2482" s="2" t="n">
        <v>-6599</v>
      </c>
      <c r="M2482" t="inlineStr"/>
      <c r="N2482" t="inlineStr">
        <is>
          <t>20250805900341</t>
        </is>
      </c>
      <c r="O2482">
        <f>HYPERLINK("https://dart.fss.or.kr/dsaf001/main.do?rcpNo=20250805900341", "공시열람")</f>
        <v/>
      </c>
    </row>
    <row r="2483">
      <c r="A2483" t="inlineStr">
        <is>
          <t>2025-08-04</t>
        </is>
      </c>
      <c r="B2483" t="inlineStr">
        <is>
          <t>인터로조</t>
        </is>
      </c>
      <c r="C2483" t="inlineStr">
        <is>
          <t>119610</t>
        </is>
      </c>
      <c r="D2483" t="inlineStr">
        <is>
          <t>연결</t>
        </is>
      </c>
      <c r="E2483" t="inlineStr">
        <is>
          <t>2025Q2</t>
        </is>
      </c>
      <c r="F2483" s="2" t="n">
        <v>31336</v>
      </c>
      <c r="G2483" t="inlineStr"/>
      <c r="H2483" t="inlineStr"/>
      <c r="I2483" s="2" t="n">
        <v>6342</v>
      </c>
      <c r="J2483" t="inlineStr"/>
      <c r="K2483" t="inlineStr"/>
      <c r="L2483" s="2" t="inlineStr"/>
      <c r="M2483" t="inlineStr"/>
      <c r="N2483" t="inlineStr">
        <is>
          <t>20250804900135</t>
        </is>
      </c>
      <c r="O2483">
        <f>HYPERLINK("https://dart.fss.or.kr/dsaf001/main.do?rcpNo=20250804900135", "공시열람")</f>
        <v/>
      </c>
    </row>
    <row r="2484">
      <c r="A2484" t="inlineStr">
        <is>
          <t>2025-08-04</t>
        </is>
      </c>
      <c r="B2484" t="inlineStr">
        <is>
          <t>영화금속</t>
        </is>
      </c>
      <c r="C2484" t="inlineStr">
        <is>
          <t>012280</t>
        </is>
      </c>
      <c r="D2484" t="inlineStr">
        <is>
          <t>별도</t>
        </is>
      </c>
      <c r="E2484" t="inlineStr">
        <is>
          <t>2025Q2</t>
        </is>
      </c>
      <c r="F2484" s="2" t="n">
        <v>97007</v>
      </c>
      <c r="G2484" t="n">
        <v>15.1</v>
      </c>
      <c r="H2484" t="n">
        <v>22.7</v>
      </c>
      <c r="I2484" s="2" t="n">
        <v>6704</v>
      </c>
      <c r="J2484" t="n">
        <v>109.9</v>
      </c>
      <c r="K2484" t="n">
        <v>230.8</v>
      </c>
      <c r="L2484" s="2" t="n">
        <v>3418</v>
      </c>
      <c r="M2484" t="n">
        <v>127.2</v>
      </c>
      <c r="N2484" t="inlineStr">
        <is>
          <t>20250804800227</t>
        </is>
      </c>
      <c r="O2484">
        <f>HYPERLINK("https://dart.fss.or.kr/dsaf001/main.do?rcpNo=20250804800227", "공시열람")</f>
        <v/>
      </c>
    </row>
    <row r="2485">
      <c r="A2485" t="inlineStr">
        <is>
          <t>2025-08-04</t>
        </is>
      </c>
      <c r="B2485" t="inlineStr">
        <is>
          <t>지누스</t>
        </is>
      </c>
      <c r="C2485" t="inlineStr">
        <is>
          <t>013890</t>
        </is>
      </c>
      <c r="D2485" t="inlineStr">
        <is>
          <t>연결</t>
        </is>
      </c>
      <c r="E2485" t="inlineStr">
        <is>
          <t>2025Q2</t>
        </is>
      </c>
      <c r="F2485" s="2" t="n">
        <v>229466</v>
      </c>
      <c r="G2485" t="n">
        <v>-8.199999999999999</v>
      </c>
      <c r="H2485" t="n">
        <v>11.2</v>
      </c>
      <c r="I2485" s="2" t="n">
        <v>29103</v>
      </c>
      <c r="J2485" t="n">
        <v>5.8</v>
      </c>
      <c r="K2485" t="inlineStr"/>
      <c r="L2485" s="2" t="n">
        <v>7010</v>
      </c>
      <c r="M2485" t="inlineStr"/>
      <c r="N2485" t="inlineStr">
        <is>
          <t>20250804800209</t>
        </is>
      </c>
      <c r="O2485">
        <f>HYPERLINK("https://dart.fss.or.kr/dsaf001/main.do?rcpNo=20250804800209", "공시열람")</f>
        <v/>
      </c>
    </row>
    <row r="2486">
      <c r="A2486" t="inlineStr">
        <is>
          <t>2025-08-04</t>
        </is>
      </c>
      <c r="B2486" t="inlineStr">
        <is>
          <t>현대바이오랜드</t>
        </is>
      </c>
      <c r="C2486" t="inlineStr">
        <is>
          <t>052260</t>
        </is>
      </c>
      <c r="D2486" t="inlineStr">
        <is>
          <t>연결</t>
        </is>
      </c>
      <c r="E2486" t="inlineStr">
        <is>
          <t>2025Q2</t>
        </is>
      </c>
      <c r="F2486" s="2" t="n">
        <v>34613</v>
      </c>
      <c r="G2486" t="inlineStr"/>
      <c r="H2486" t="inlineStr"/>
      <c r="I2486" s="2" t="n">
        <v>5506</v>
      </c>
      <c r="J2486" t="inlineStr"/>
      <c r="K2486" t="inlineStr"/>
      <c r="L2486" s="2" t="n">
        <v>5095</v>
      </c>
      <c r="M2486" t="inlineStr"/>
      <c r="N2486" t="inlineStr">
        <is>
          <t>20250804900212</t>
        </is>
      </c>
      <c r="O2486">
        <f>HYPERLINK("https://dart.fss.or.kr/dsaf001/main.do?rcpNo=20250804900212", "공시열람")</f>
        <v/>
      </c>
    </row>
    <row r="2487">
      <c r="A2487" t="inlineStr">
        <is>
          <t>2025-08-04</t>
        </is>
      </c>
      <c r="B2487" t="inlineStr">
        <is>
          <t>중앙백신</t>
        </is>
      </c>
      <c r="C2487" t="inlineStr">
        <is>
          <t>072020</t>
        </is>
      </c>
      <c r="D2487" t="inlineStr">
        <is>
          <t>별도</t>
        </is>
      </c>
      <c r="E2487" t="inlineStr">
        <is>
          <t>2025Q2</t>
        </is>
      </c>
      <c r="F2487" s="2" t="n">
        <v>12046</v>
      </c>
      <c r="G2487" t="inlineStr"/>
      <c r="H2487" t="inlineStr"/>
      <c r="I2487" s="2" t="n">
        <v>1500</v>
      </c>
      <c r="J2487" t="inlineStr"/>
      <c r="K2487" t="inlineStr"/>
      <c r="L2487" s="2" t="n">
        <v>677</v>
      </c>
      <c r="M2487" t="inlineStr"/>
      <c r="N2487" t="inlineStr">
        <is>
          <t>20250804900204</t>
        </is>
      </c>
      <c r="O2487">
        <f>HYPERLINK("https://dart.fss.or.kr/dsaf001/main.do?rcpNo=20250804900204", "공시열람")</f>
        <v/>
      </c>
    </row>
    <row r="2488">
      <c r="A2488" t="inlineStr">
        <is>
          <t>2025-08-04</t>
        </is>
      </c>
      <c r="B2488" t="inlineStr">
        <is>
          <t>한섬</t>
        </is>
      </c>
      <c r="C2488" t="inlineStr">
        <is>
          <t>020000</t>
        </is>
      </c>
      <c r="D2488" t="inlineStr">
        <is>
          <t>연결</t>
        </is>
      </c>
      <c r="E2488" t="inlineStr">
        <is>
          <t>2025Q2</t>
        </is>
      </c>
      <c r="F2488" s="2" t="n">
        <v>338095</v>
      </c>
      <c r="G2488" t="n">
        <v>-11.1</v>
      </c>
      <c r="H2488" t="n">
        <v>-1.1</v>
      </c>
      <c r="I2488" s="2" t="n">
        <v>737</v>
      </c>
      <c r="J2488" t="n">
        <v>-96.59999999999999</v>
      </c>
      <c r="K2488" t="n">
        <v>-82</v>
      </c>
      <c r="L2488" s="2" t="n">
        <v>2450</v>
      </c>
      <c r="M2488" t="n">
        <v>45.7</v>
      </c>
      <c r="N2488" t="inlineStr">
        <is>
          <t>20250804800182</t>
        </is>
      </c>
      <c r="O2488">
        <f>HYPERLINK("https://dart.fss.or.kr/dsaf001/main.do?rcpNo=20250804800182", "공시열람")</f>
        <v/>
      </c>
    </row>
    <row r="2489">
      <c r="A2489" t="inlineStr">
        <is>
          <t>2025-08-04</t>
        </is>
      </c>
      <c r="B2489" t="inlineStr">
        <is>
          <t>SDN</t>
        </is>
      </c>
      <c r="C2489" t="inlineStr">
        <is>
          <t>099220</t>
        </is>
      </c>
      <c r="D2489" t="inlineStr">
        <is>
          <t>연결</t>
        </is>
      </c>
      <c r="E2489" t="inlineStr">
        <is>
          <t>2023Q3</t>
        </is>
      </c>
      <c r="F2489" s="2" t="n">
        <v>24450</v>
      </c>
      <c r="G2489" t="inlineStr"/>
      <c r="H2489" t="inlineStr"/>
      <c r="I2489" s="2" t="n">
        <v>1450</v>
      </c>
      <c r="J2489" t="inlineStr"/>
      <c r="K2489" t="inlineStr"/>
      <c r="L2489" s="2" t="n">
        <v>-713</v>
      </c>
      <c r="M2489" t="inlineStr"/>
      <c r="N2489" t="inlineStr">
        <is>
          <t>20250804900155</t>
        </is>
      </c>
      <c r="O2489">
        <f>HYPERLINK("https://dart.fss.or.kr/dsaf001/main.do?rcpNo=20250804900155", "공시열람")</f>
        <v/>
      </c>
    </row>
    <row r="2490">
      <c r="A2490" t="inlineStr">
        <is>
          <t>2025-08-04</t>
        </is>
      </c>
      <c r="B2490" t="inlineStr">
        <is>
          <t>디케이티</t>
        </is>
      </c>
      <c r="C2490" t="inlineStr">
        <is>
          <t>290550</t>
        </is>
      </c>
      <c r="D2490" t="inlineStr">
        <is>
          <t>연결</t>
        </is>
      </c>
      <c r="E2490" t="inlineStr">
        <is>
          <t>2025Q2</t>
        </is>
      </c>
      <c r="F2490" s="2" t="n">
        <v>118775</v>
      </c>
      <c r="G2490" t="inlineStr"/>
      <c r="H2490" t="inlineStr"/>
      <c r="I2490" s="2" t="n">
        <v>8240</v>
      </c>
      <c r="J2490" t="inlineStr"/>
      <c r="K2490" t="inlineStr"/>
      <c r="L2490" s="2" t="inlineStr"/>
      <c r="M2490" t="inlineStr"/>
      <c r="N2490" t="inlineStr">
        <is>
          <t>20250804900084</t>
        </is>
      </c>
      <c r="O2490">
        <f>HYPERLINK("https://dart.fss.or.kr/dsaf001/main.do?rcpNo=20250804900084", "공시열람")</f>
        <v/>
      </c>
    </row>
    <row r="2491">
      <c r="A2491" t="inlineStr">
        <is>
          <t>2025-08-04</t>
        </is>
      </c>
      <c r="B2491" t="inlineStr">
        <is>
          <t>롯데칠성음료</t>
        </is>
      </c>
      <c r="C2491" t="inlineStr">
        <is>
          <t>005300</t>
        </is>
      </c>
      <c r="D2491" t="inlineStr">
        <is>
          <t>연결</t>
        </is>
      </c>
      <c r="E2491" t="inlineStr">
        <is>
          <t>2025Q2</t>
        </is>
      </c>
      <c r="F2491" s="2" t="n">
        <v>1087294</v>
      </c>
      <c r="G2491" t="n">
        <v>19.4</v>
      </c>
      <c r="H2491" t="n">
        <v>-1.1</v>
      </c>
      <c r="I2491" s="2" t="n">
        <v>62356</v>
      </c>
      <c r="J2491" t="n">
        <v>149.1</v>
      </c>
      <c r="K2491" t="n">
        <v>3.5</v>
      </c>
      <c r="L2491" s="2" t="n">
        <v>27734</v>
      </c>
      <c r="M2491" t="n">
        <v>31.6</v>
      </c>
      <c r="N2491" t="inlineStr">
        <is>
          <t>20250804800113</t>
        </is>
      </c>
      <c r="O2491">
        <f>HYPERLINK("https://dart.fss.or.kr/dsaf001/main.do?rcpNo=20250804800113", "공시열람")</f>
        <v/>
      </c>
    </row>
    <row r="2492">
      <c r="A2492" t="inlineStr">
        <is>
          <t>2025-08-04</t>
        </is>
      </c>
      <c r="B2492" t="inlineStr">
        <is>
          <t>한화</t>
        </is>
      </c>
      <c r="C2492" t="inlineStr">
        <is>
          <t>000880</t>
        </is>
      </c>
      <c r="D2492" t="inlineStr">
        <is>
          <t>별도</t>
        </is>
      </c>
      <c r="E2492" t="inlineStr">
        <is>
          <t>2025Q2</t>
        </is>
      </c>
      <c r="F2492" s="2" t="n">
        <v>1130173</v>
      </c>
      <c r="G2492" t="n">
        <v>2.51</v>
      </c>
      <c r="H2492" t="n">
        <v>-27.39</v>
      </c>
      <c r="I2492" s="2" t="n">
        <v>129649</v>
      </c>
      <c r="J2492" t="n">
        <v>-14.6</v>
      </c>
      <c r="K2492" t="inlineStr"/>
      <c r="L2492" s="2" t="n">
        <v>-32137</v>
      </c>
      <c r="M2492" t="n">
        <v>50.2</v>
      </c>
      <c r="N2492" t="inlineStr">
        <is>
          <t>20250804800110</t>
        </is>
      </c>
      <c r="O2492">
        <f>HYPERLINK("https://dart.fss.or.kr/dsaf001/main.do?rcpNo=20250804800110", "공시열람")</f>
        <v/>
      </c>
    </row>
    <row r="2493">
      <c r="A2493" t="inlineStr">
        <is>
          <t>2025-08-04</t>
        </is>
      </c>
      <c r="B2493" t="inlineStr">
        <is>
          <t>케이씨씨</t>
        </is>
      </c>
      <c r="C2493" t="inlineStr">
        <is>
          <t>002380</t>
        </is>
      </c>
      <c r="D2493" t="inlineStr">
        <is>
          <t>연결</t>
        </is>
      </c>
      <c r="E2493" t="inlineStr">
        <is>
          <t>2025Q2</t>
        </is>
      </c>
      <c r="F2493" s="2" t="n">
        <v>1705264</v>
      </c>
      <c r="G2493" t="n">
        <v>6.6</v>
      </c>
      <c r="H2493" t="n">
        <v>-4.1</v>
      </c>
      <c r="I2493" s="2" t="n">
        <v>140381</v>
      </c>
      <c r="J2493" t="n">
        <v>35.7</v>
      </c>
      <c r="K2493" t="n">
        <v>-0.1</v>
      </c>
      <c r="L2493" s="2" t="n">
        <v>893271</v>
      </c>
      <c r="M2493" t="inlineStr"/>
      <c r="N2493" t="inlineStr">
        <is>
          <t>20250804800106</t>
        </is>
      </c>
      <c r="O2493">
        <f>HYPERLINK("https://dart.fss.or.kr/dsaf001/main.do?rcpNo=20250804800106", "공시열람")</f>
        <v/>
      </c>
    </row>
    <row r="2494">
      <c r="A2494" t="inlineStr">
        <is>
          <t>2025-08-04</t>
        </is>
      </c>
      <c r="B2494" t="inlineStr">
        <is>
          <t>DN오토모티브</t>
        </is>
      </c>
      <c r="C2494" t="inlineStr">
        <is>
          <t>007340</t>
        </is>
      </c>
      <c r="D2494" t="inlineStr">
        <is>
          <t>연결</t>
        </is>
      </c>
      <c r="E2494" t="inlineStr">
        <is>
          <t>2025Q2</t>
        </is>
      </c>
      <c r="F2494" s="2" t="n">
        <v>909635</v>
      </c>
      <c r="G2494" t="inlineStr"/>
      <c r="H2494" t="inlineStr"/>
      <c r="I2494" s="2" t="n">
        <v>121590</v>
      </c>
      <c r="J2494" t="inlineStr"/>
      <c r="K2494" t="inlineStr"/>
      <c r="L2494" s="2" t="n">
        <v>53461</v>
      </c>
      <c r="M2494" t="inlineStr"/>
      <c r="N2494" t="inlineStr">
        <is>
          <t>20250804800249</t>
        </is>
      </c>
      <c r="O2494">
        <f>HYPERLINK("https://dart.fss.or.kr/dsaf001/main.do?rcpNo=20250804800249", "공시열람")</f>
        <v/>
      </c>
    </row>
    <row r="2495">
      <c r="A2495" t="inlineStr">
        <is>
          <t>2025-08-04</t>
        </is>
      </c>
      <c r="B2495" t="inlineStr">
        <is>
          <t>TYM</t>
        </is>
      </c>
      <c r="C2495" t="inlineStr">
        <is>
          <t>002900</t>
        </is>
      </c>
      <c r="D2495" t="inlineStr">
        <is>
          <t>연결</t>
        </is>
      </c>
      <c r="E2495" t="inlineStr">
        <is>
          <t>2025Q2</t>
        </is>
      </c>
      <c r="F2495" s="2" t="n">
        <v>262572</v>
      </c>
      <c r="G2495" t="n">
        <v>16.3</v>
      </c>
      <c r="H2495" t="n">
        <v>22</v>
      </c>
      <c r="I2495" s="2" t="n">
        <v>24236</v>
      </c>
      <c r="J2495" t="n">
        <v>60.1</v>
      </c>
      <c r="K2495" t="n">
        <v>101.8</v>
      </c>
      <c r="L2495" s="2" t="n">
        <v>12560</v>
      </c>
      <c r="M2495" t="n">
        <v>33.3</v>
      </c>
      <c r="N2495" t="inlineStr">
        <is>
          <t>20250804800077</t>
        </is>
      </c>
      <c r="O2495">
        <f>HYPERLINK("https://dart.fss.or.kr/dsaf001/main.do?rcpNo=20250804800077", "공시열람")</f>
        <v/>
      </c>
    </row>
    <row r="2496">
      <c r="A2496" t="inlineStr">
        <is>
          <t>2025-08-04</t>
        </is>
      </c>
      <c r="B2496" t="inlineStr">
        <is>
          <t>비에이치</t>
        </is>
      </c>
      <c r="C2496" t="inlineStr">
        <is>
          <t>090460</t>
        </is>
      </c>
      <c r="D2496" t="inlineStr">
        <is>
          <t>연결</t>
        </is>
      </c>
      <c r="E2496" t="inlineStr">
        <is>
          <t>2025Q2</t>
        </is>
      </c>
      <c r="F2496" s="2" t="n">
        <v>389731</v>
      </c>
      <c r="G2496" t="inlineStr"/>
      <c r="H2496" t="inlineStr"/>
      <c r="I2496" s="2" t="n">
        <v>16035</v>
      </c>
      <c r="J2496" t="inlineStr"/>
      <c r="K2496" t="inlineStr"/>
      <c r="L2496" s="2" t="inlineStr"/>
      <c r="M2496" t="inlineStr"/>
      <c r="N2496" t="inlineStr">
        <is>
          <t>20250804800076</t>
        </is>
      </c>
      <c r="O2496">
        <f>HYPERLINK("https://dart.fss.or.kr/dsaf001/main.do?rcpNo=20250804800076", "공시열람")</f>
        <v/>
      </c>
    </row>
    <row r="2497">
      <c r="A2497" t="inlineStr">
        <is>
          <t>2025-08-04</t>
        </is>
      </c>
      <c r="B2497" t="inlineStr">
        <is>
          <t>비씨엔씨</t>
        </is>
      </c>
      <c r="C2497" t="inlineStr">
        <is>
          <t>146320</t>
        </is>
      </c>
      <c r="D2497" t="inlineStr">
        <is>
          <t>별도</t>
        </is>
      </c>
      <c r="E2497" t="inlineStr">
        <is>
          <t>2025Q2</t>
        </is>
      </c>
      <c r="F2497" s="2" t="n">
        <v>21581</v>
      </c>
      <c r="G2497" t="inlineStr"/>
      <c r="H2497" t="inlineStr"/>
      <c r="I2497" s="2" t="n">
        <v>1670</v>
      </c>
      <c r="J2497" t="inlineStr"/>
      <c r="K2497" t="inlineStr"/>
      <c r="L2497" s="2" t="n">
        <v>186</v>
      </c>
      <c r="M2497" t="inlineStr"/>
      <c r="N2497" t="inlineStr">
        <is>
          <t>20250804900048</t>
        </is>
      </c>
      <c r="O2497">
        <f>HYPERLINK("https://dart.fss.or.kr/dsaf001/main.do?rcpNo=20250804900048", "공시열람")</f>
        <v/>
      </c>
    </row>
    <row r="2498">
      <c r="A2498" t="inlineStr">
        <is>
          <t>2025-08-04</t>
        </is>
      </c>
      <c r="B2498" t="inlineStr">
        <is>
          <t>DB하이텍</t>
        </is>
      </c>
      <c r="C2498" t="inlineStr">
        <is>
          <t>000990</t>
        </is>
      </c>
      <c r="D2498" t="inlineStr">
        <is>
          <t>연결</t>
        </is>
      </c>
      <c r="E2498" t="inlineStr">
        <is>
          <t>2025Q2</t>
        </is>
      </c>
      <c r="F2498" s="2" t="n">
        <v>337406</v>
      </c>
      <c r="G2498" t="n">
        <v>13.46</v>
      </c>
      <c r="H2498" t="n">
        <v>13.08</v>
      </c>
      <c r="I2498" s="2" t="n">
        <v>73881</v>
      </c>
      <c r="J2498" t="n">
        <v>40.72</v>
      </c>
      <c r="K2498" t="n">
        <v>9.529999999999999</v>
      </c>
      <c r="L2498" s="2" t="n">
        <v>60102</v>
      </c>
      <c r="M2498" t="n">
        <v>-6.24</v>
      </c>
      <c r="N2498" t="inlineStr">
        <is>
          <t>20250804800042</t>
        </is>
      </c>
      <c r="O2498">
        <f>HYPERLINK("https://dart.fss.or.kr/dsaf001/main.do?rcpNo=20250804800042", "공시열람")</f>
        <v/>
      </c>
    </row>
    <row r="2499">
      <c r="A2499" t="inlineStr">
        <is>
          <t>2025-08-04</t>
        </is>
      </c>
      <c r="B2499" t="inlineStr">
        <is>
          <t>이녹스첨단소재</t>
        </is>
      </c>
      <c r="C2499" t="inlineStr">
        <is>
          <t>272290</t>
        </is>
      </c>
      <c r="D2499" t="inlineStr">
        <is>
          <t>연결</t>
        </is>
      </c>
      <c r="E2499" t="inlineStr">
        <is>
          <t>2025Q2</t>
        </is>
      </c>
      <c r="F2499" s="2" t="n">
        <v>111420</v>
      </c>
      <c r="G2499" t="inlineStr"/>
      <c r="H2499" t="inlineStr"/>
      <c r="I2499" s="2" t="n">
        <v>22243</v>
      </c>
      <c r="J2499" t="inlineStr"/>
      <c r="K2499" t="inlineStr"/>
      <c r="L2499" s="2" t="n">
        <v>12726</v>
      </c>
      <c r="M2499" t="inlineStr"/>
      <c r="N2499" t="inlineStr">
        <is>
          <t>20250804900244</t>
        </is>
      </c>
      <c r="O2499">
        <f>HYPERLINK("https://dart.fss.or.kr/dsaf001/main.do?rcpNo=20250804900244", "공시열람")</f>
        <v/>
      </c>
    </row>
    <row r="2500">
      <c r="A2500" t="inlineStr">
        <is>
          <t>2025-08-04</t>
        </is>
      </c>
      <c r="B2500" t="inlineStr">
        <is>
          <t>뷰웍스</t>
        </is>
      </c>
      <c r="C2500" t="inlineStr">
        <is>
          <t>100120</t>
        </is>
      </c>
      <c r="D2500" t="inlineStr">
        <is>
          <t>연결</t>
        </is>
      </c>
      <c r="E2500" t="inlineStr">
        <is>
          <t>2025Q2</t>
        </is>
      </c>
      <c r="F2500" s="2" t="n">
        <v>62704</v>
      </c>
      <c r="G2500" t="inlineStr"/>
      <c r="H2500" t="inlineStr"/>
      <c r="I2500" s="2" t="n">
        <v>6532</v>
      </c>
      <c r="J2500" t="inlineStr"/>
      <c r="K2500" t="inlineStr"/>
      <c r="L2500" s="2" t="inlineStr"/>
      <c r="M2500" t="inlineStr"/>
      <c r="N2500" t="inlineStr">
        <is>
          <t>20250804900214</t>
        </is>
      </c>
      <c r="O2500">
        <f>HYPERLINK("https://dart.fss.or.kr/dsaf001/main.do?rcpNo=20250804900214", "공시열람")</f>
        <v/>
      </c>
    </row>
    <row r="2501">
      <c r="A2501" t="inlineStr">
        <is>
          <t>2025-08-04</t>
        </is>
      </c>
      <c r="B2501" t="inlineStr">
        <is>
          <t>현대퓨처넷</t>
        </is>
      </c>
      <c r="C2501" t="inlineStr">
        <is>
          <t>126560</t>
        </is>
      </c>
      <c r="D2501" t="inlineStr">
        <is>
          <t>연결</t>
        </is>
      </c>
      <c r="E2501" t="inlineStr">
        <is>
          <t>2025Q2</t>
        </is>
      </c>
      <c r="F2501" s="2" t="n">
        <v>63027</v>
      </c>
      <c r="G2501" t="n">
        <v>-5.5</v>
      </c>
      <c r="H2501" t="n">
        <v>37.9</v>
      </c>
      <c r="I2501" s="2" t="n">
        <v>4371</v>
      </c>
      <c r="J2501" t="n">
        <v>16</v>
      </c>
      <c r="K2501" t="n">
        <v>12.5</v>
      </c>
      <c r="L2501" s="2" t="n">
        <v>8920</v>
      </c>
      <c r="M2501" t="n">
        <v>97.09999999999999</v>
      </c>
      <c r="N2501" t="inlineStr">
        <is>
          <t>20250804800280</t>
        </is>
      </c>
      <c r="O2501">
        <f>HYPERLINK("https://dart.fss.or.kr/dsaf001/main.do?rcpNo=20250804800280", "공시열람")</f>
        <v/>
      </c>
    </row>
    <row r="2502">
      <c r="A2502" t="inlineStr">
        <is>
          <t>2025-08-04</t>
        </is>
      </c>
      <c r="B2502" t="inlineStr">
        <is>
          <t>SK가스</t>
        </is>
      </c>
      <c r="C2502" t="inlineStr">
        <is>
          <t>018670</t>
        </is>
      </c>
      <c r="D2502" t="inlineStr">
        <is>
          <t>연결</t>
        </is>
      </c>
      <c r="E2502" t="inlineStr">
        <is>
          <t>2025Q2</t>
        </is>
      </c>
      <c r="F2502" s="2" t="n">
        <v>1880349</v>
      </c>
      <c r="G2502" t="n">
        <v>2.9</v>
      </c>
      <c r="H2502" t="n">
        <v>13.9</v>
      </c>
      <c r="I2502" s="2" t="n">
        <v>120673</v>
      </c>
      <c r="J2502" t="n">
        <v>6.9</v>
      </c>
      <c r="K2502" t="n">
        <v>157</v>
      </c>
      <c r="L2502" s="2" t="n">
        <v>50823</v>
      </c>
      <c r="M2502" t="n">
        <v>32.2</v>
      </c>
      <c r="N2502" t="inlineStr">
        <is>
          <t>20250804800408</t>
        </is>
      </c>
      <c r="O2502">
        <f>HYPERLINK("https://dart.fss.or.kr/dsaf001/main.do?rcpNo=20250804800408", "공시열람")</f>
        <v/>
      </c>
    </row>
    <row r="2503">
      <c r="A2503" t="inlineStr">
        <is>
          <t>2025-08-04</t>
        </is>
      </c>
      <c r="B2503" t="inlineStr">
        <is>
          <t>파라다이스</t>
        </is>
      </c>
      <c r="C2503" t="inlineStr">
        <is>
          <t>034230</t>
        </is>
      </c>
      <c r="D2503" t="inlineStr">
        <is>
          <t>연결</t>
        </is>
      </c>
      <c r="E2503" t="inlineStr">
        <is>
          <t>2025Q2</t>
        </is>
      </c>
      <c r="F2503" s="2" t="inlineStr"/>
      <c r="G2503" t="inlineStr"/>
      <c r="H2503" t="inlineStr"/>
      <c r="I2503" s="2" t="inlineStr"/>
      <c r="J2503" t="inlineStr"/>
      <c r="K2503" t="inlineStr"/>
      <c r="L2503" s="2" t="inlineStr"/>
      <c r="M2503" t="inlineStr"/>
      <c r="N2503" t="inlineStr">
        <is>
          <t>20250804800396</t>
        </is>
      </c>
      <c r="O2503">
        <f>HYPERLINK("https://dart.fss.or.kr/dsaf001/main.do?rcpNo=20250804800396", "공시열람")</f>
        <v/>
      </c>
    </row>
    <row r="2504">
      <c r="A2504" t="inlineStr">
        <is>
          <t>2025-08-01</t>
        </is>
      </c>
      <c r="B2504" t="inlineStr">
        <is>
          <t>KG모빌리티</t>
        </is>
      </c>
      <c r="C2504" t="inlineStr">
        <is>
          <t>003620</t>
        </is>
      </c>
      <c r="D2504" t="inlineStr">
        <is>
          <t>별도</t>
        </is>
      </c>
      <c r="E2504" t="inlineStr">
        <is>
          <t>2025Q2</t>
        </is>
      </c>
      <c r="F2504" s="2" t="inlineStr"/>
      <c r="G2504" t="inlineStr"/>
      <c r="H2504" t="inlineStr"/>
      <c r="I2504" s="2" t="inlineStr"/>
      <c r="J2504" t="inlineStr"/>
      <c r="K2504" t="inlineStr"/>
      <c r="L2504" s="2" t="inlineStr"/>
      <c r="M2504" t="inlineStr"/>
      <c r="N2504" t="inlineStr">
        <is>
          <t>20250801800232</t>
        </is>
      </c>
      <c r="O2504">
        <f>HYPERLINK("https://dart.fss.or.kr/dsaf001/main.do?rcpNo=20250801800232", "공시열람")</f>
        <v/>
      </c>
    </row>
    <row r="2505">
      <c r="A2505" t="inlineStr">
        <is>
          <t>2025-08-01</t>
        </is>
      </c>
      <c r="B2505" t="inlineStr">
        <is>
          <t>영진약품</t>
        </is>
      </c>
      <c r="C2505" t="inlineStr">
        <is>
          <t>003520</t>
        </is>
      </c>
      <c r="D2505" t="inlineStr">
        <is>
          <t>별도</t>
        </is>
      </c>
      <c r="E2505" t="inlineStr">
        <is>
          <t>2025Q2</t>
        </is>
      </c>
      <c r="F2505" s="2" t="n">
        <v>62516</v>
      </c>
      <c r="G2505" t="n">
        <v>-2.4</v>
      </c>
      <c r="H2505" t="n">
        <v>0.5</v>
      </c>
      <c r="I2505" s="2" t="n">
        <v>1885</v>
      </c>
      <c r="J2505" t="n">
        <v>-27.9</v>
      </c>
      <c r="K2505" t="n">
        <v>55.9</v>
      </c>
      <c r="L2505" s="2" t="n">
        <v>339</v>
      </c>
      <c r="M2505" t="inlineStr"/>
      <c r="N2505" t="inlineStr">
        <is>
          <t>20250801800158</t>
        </is>
      </c>
      <c r="O2505">
        <f>HYPERLINK("https://dart.fss.or.kr/dsaf001/main.do?rcpNo=20250801800158", "공시열람")</f>
        <v/>
      </c>
    </row>
    <row r="2506">
      <c r="A2506" t="inlineStr">
        <is>
          <t>2025-08-01</t>
        </is>
      </c>
      <c r="B2506" t="inlineStr">
        <is>
          <t>세이브존I&amp;C</t>
        </is>
      </c>
      <c r="C2506" t="inlineStr">
        <is>
          <t>067830</t>
        </is>
      </c>
      <c r="D2506" t="inlineStr">
        <is>
          <t>별도</t>
        </is>
      </c>
      <c r="E2506" t="inlineStr">
        <is>
          <t>2025Q2</t>
        </is>
      </c>
      <c r="F2506" s="2" t="n">
        <v>29401</v>
      </c>
      <c r="G2506" t="inlineStr"/>
      <c r="H2506" t="inlineStr"/>
      <c r="I2506" s="2" t="n">
        <v>2674</v>
      </c>
      <c r="J2506" t="inlineStr"/>
      <c r="K2506" t="inlineStr"/>
      <c r="L2506" s="2" t="n">
        <v>3621</v>
      </c>
      <c r="M2506" t="inlineStr"/>
      <c r="N2506" t="inlineStr">
        <is>
          <t>20250801800955</t>
        </is>
      </c>
      <c r="O2506">
        <f>HYPERLINK("https://dart.fss.or.kr/dsaf001/main.do?rcpNo=20250801800955", "공시열람")</f>
        <v/>
      </c>
    </row>
    <row r="2507">
      <c r="A2507" t="inlineStr">
        <is>
          <t>2025-08-01</t>
        </is>
      </c>
      <c r="B2507" t="inlineStr">
        <is>
          <t>지니언스</t>
        </is>
      </c>
      <c r="C2507" t="inlineStr">
        <is>
          <t>263860</t>
        </is>
      </c>
      <c r="D2507" t="inlineStr">
        <is>
          <t>연결</t>
        </is>
      </c>
      <c r="E2507" t="inlineStr">
        <is>
          <t>2025Q2</t>
        </is>
      </c>
      <c r="F2507" s="2" t="n">
        <v>11426</v>
      </c>
      <c r="G2507" t="inlineStr"/>
      <c r="H2507" t="inlineStr"/>
      <c r="I2507" s="2" t="n">
        <v>1057</v>
      </c>
      <c r="J2507" t="inlineStr"/>
      <c r="K2507" t="inlineStr"/>
      <c r="L2507" s="2" t="n">
        <v>996</v>
      </c>
      <c r="M2507" t="inlineStr"/>
      <c r="N2507" t="inlineStr">
        <is>
          <t>20250801900751</t>
        </is>
      </c>
      <c r="O2507">
        <f>HYPERLINK("https://dart.fss.or.kr/dsaf001/main.do?rcpNo=20250801900751", "공시열람")</f>
        <v/>
      </c>
    </row>
    <row r="2508">
      <c r="A2508" t="inlineStr">
        <is>
          <t>2025-08-01</t>
        </is>
      </c>
      <c r="B2508" t="inlineStr">
        <is>
          <t>네오팜</t>
        </is>
      </c>
      <c r="C2508" t="inlineStr">
        <is>
          <t>092730</t>
        </is>
      </c>
      <c r="D2508" t="inlineStr">
        <is>
          <t>연결</t>
        </is>
      </c>
      <c r="E2508" t="inlineStr">
        <is>
          <t>2025Q2</t>
        </is>
      </c>
      <c r="F2508" s="2" t="n">
        <v>31982</v>
      </c>
      <c r="G2508" t="inlineStr"/>
      <c r="H2508" t="inlineStr"/>
      <c r="I2508" s="2" t="n">
        <v>7010</v>
      </c>
      <c r="J2508" t="inlineStr"/>
      <c r="K2508" t="inlineStr"/>
      <c r="L2508" s="2" t="n">
        <v>7066</v>
      </c>
      <c r="M2508" t="inlineStr"/>
      <c r="N2508" t="inlineStr">
        <is>
          <t>20250801900776</t>
        </is>
      </c>
      <c r="O2508">
        <f>HYPERLINK("https://dart.fss.or.kr/dsaf001/main.do?rcpNo=20250801900776", "공시열람")</f>
        <v/>
      </c>
    </row>
    <row r="2509">
      <c r="A2509" t="inlineStr">
        <is>
          <t>2025-08-01</t>
        </is>
      </c>
      <c r="B2509" t="inlineStr">
        <is>
          <t>녹십자엠에스</t>
        </is>
      </c>
      <c r="C2509" t="inlineStr">
        <is>
          <t>142280</t>
        </is>
      </c>
      <c r="D2509" t="inlineStr">
        <is>
          <t>연결</t>
        </is>
      </c>
      <c r="E2509" t="inlineStr">
        <is>
          <t>2025Q2</t>
        </is>
      </c>
      <c r="F2509" s="2" t="n">
        <v>30438</v>
      </c>
      <c r="G2509" t="inlineStr"/>
      <c r="H2509" t="inlineStr"/>
      <c r="I2509" s="2" t="n">
        <v>1058</v>
      </c>
      <c r="J2509" t="inlineStr"/>
      <c r="K2509" t="inlineStr"/>
      <c r="L2509" s="2" t="n">
        <v>2413</v>
      </c>
      <c r="M2509" t="inlineStr"/>
      <c r="N2509" t="inlineStr">
        <is>
          <t>20250801900684</t>
        </is>
      </c>
      <c r="O2509">
        <f>HYPERLINK("https://dart.fss.or.kr/dsaf001/main.do?rcpNo=20250801900684", "공시열람")</f>
        <v/>
      </c>
    </row>
    <row r="2510">
      <c r="A2510" t="inlineStr">
        <is>
          <t>2025-08-01</t>
        </is>
      </c>
      <c r="B2510" t="inlineStr">
        <is>
          <t>녹십자</t>
        </is>
      </c>
      <c r="C2510" t="inlineStr">
        <is>
          <t>006280</t>
        </is>
      </c>
      <c r="D2510" t="inlineStr">
        <is>
          <t>연결</t>
        </is>
      </c>
      <c r="E2510" t="inlineStr">
        <is>
          <t>2025Q2</t>
        </is>
      </c>
      <c r="F2510" s="2" t="n">
        <v>500300</v>
      </c>
      <c r="G2510" t="inlineStr"/>
      <c r="H2510" t="inlineStr"/>
      <c r="I2510" s="2" t="n">
        <v>27400</v>
      </c>
      <c r="J2510" t="inlineStr"/>
      <c r="K2510" t="inlineStr"/>
      <c r="L2510" s="2" t="n">
        <v>32700</v>
      </c>
      <c r="M2510" t="inlineStr"/>
      <c r="N2510" t="inlineStr">
        <is>
          <t>20250801800764</t>
        </is>
      </c>
      <c r="O2510">
        <f>HYPERLINK("https://dart.fss.or.kr/dsaf001/main.do?rcpNo=20250801800764", "공시열람")</f>
        <v/>
      </c>
    </row>
    <row r="2511">
      <c r="A2511" t="inlineStr">
        <is>
          <t>2025-08-01</t>
        </is>
      </c>
      <c r="B2511" t="inlineStr">
        <is>
          <t>JW생명과학</t>
        </is>
      </c>
      <c r="C2511" t="inlineStr">
        <is>
          <t>234080</t>
        </is>
      </c>
      <c r="D2511" t="inlineStr">
        <is>
          <t>별도</t>
        </is>
      </c>
      <c r="E2511" t="inlineStr">
        <is>
          <t>2025Q2</t>
        </is>
      </c>
      <c r="F2511" s="2" t="n">
        <v>57185</v>
      </c>
      <c r="G2511" t="n">
        <v>-7.83</v>
      </c>
      <c r="H2511" t="n">
        <v>5.73</v>
      </c>
      <c r="I2511" s="2" t="n">
        <v>7557</v>
      </c>
      <c r="J2511" t="n">
        <v>-27.14</v>
      </c>
      <c r="K2511" t="n">
        <v>-10.29</v>
      </c>
      <c r="L2511" s="2" t="n">
        <v>9486</v>
      </c>
      <c r="M2511" t="n">
        <v>30.2</v>
      </c>
      <c r="N2511" t="inlineStr">
        <is>
          <t>20250801800756</t>
        </is>
      </c>
      <c r="O2511">
        <f>HYPERLINK("https://dart.fss.or.kr/dsaf001/main.do?rcpNo=20250801800756", "공시열람")</f>
        <v/>
      </c>
    </row>
    <row r="2512">
      <c r="A2512" t="inlineStr">
        <is>
          <t>2025-08-01</t>
        </is>
      </c>
      <c r="B2512" t="inlineStr">
        <is>
          <t>JW신약</t>
        </is>
      </c>
      <c r="C2512" t="inlineStr">
        <is>
          <t>067290</t>
        </is>
      </c>
      <c r="D2512" t="inlineStr">
        <is>
          <t>별도</t>
        </is>
      </c>
      <c r="E2512" t="inlineStr">
        <is>
          <t>2025Q2</t>
        </is>
      </c>
      <c r="F2512" s="2" t="n">
        <v>19697</v>
      </c>
      <c r="G2512" t="inlineStr"/>
      <c r="H2512" t="inlineStr"/>
      <c r="I2512" s="2" t="n">
        <v>1868</v>
      </c>
      <c r="J2512" t="inlineStr"/>
      <c r="K2512" t="inlineStr"/>
      <c r="L2512" s="2" t="n">
        <v>2431</v>
      </c>
      <c r="M2512" t="inlineStr"/>
      <c r="N2512" t="inlineStr">
        <is>
          <t>20250801900761</t>
        </is>
      </c>
      <c r="O2512">
        <f>HYPERLINK("https://dart.fss.or.kr/dsaf001/main.do?rcpNo=20250801900761", "공시열람")</f>
        <v/>
      </c>
    </row>
    <row r="2513">
      <c r="A2513" t="inlineStr">
        <is>
          <t>2025-08-01</t>
        </is>
      </c>
      <c r="B2513" t="inlineStr">
        <is>
          <t>풍산</t>
        </is>
      </c>
      <c r="C2513" t="inlineStr">
        <is>
          <t>103140</t>
        </is>
      </c>
      <c r="D2513" t="inlineStr">
        <is>
          <t>별도</t>
        </is>
      </c>
      <c r="E2513" t="inlineStr">
        <is>
          <t>2025Q2</t>
        </is>
      </c>
      <c r="F2513" s="2" t="n">
        <v>1014001</v>
      </c>
      <c r="G2513" t="n">
        <v>22.7</v>
      </c>
      <c r="H2513" t="n">
        <v>3.7</v>
      </c>
      <c r="I2513" s="2" t="n">
        <v>87980</v>
      </c>
      <c r="J2513" t="n">
        <v>96.7</v>
      </c>
      <c r="K2513" t="n">
        <v>-37.6</v>
      </c>
      <c r="L2513" s="2" t="n">
        <v>64200</v>
      </c>
      <c r="M2513" t="n">
        <v>-42.3</v>
      </c>
      <c r="N2513" t="inlineStr">
        <is>
          <t>20250801800097</t>
        </is>
      </c>
      <c r="O2513">
        <f>HYPERLINK("https://dart.fss.or.kr/dsaf001/main.do?rcpNo=20250801800097", "공시열람")</f>
        <v/>
      </c>
    </row>
    <row r="2514">
      <c r="A2514" t="inlineStr">
        <is>
          <t>2025-08-01</t>
        </is>
      </c>
      <c r="B2514" t="inlineStr">
        <is>
          <t>풍산홀딩스</t>
        </is>
      </c>
      <c r="C2514" t="inlineStr">
        <is>
          <t>005810</t>
        </is>
      </c>
      <c r="D2514" t="inlineStr">
        <is>
          <t>별도</t>
        </is>
      </c>
      <c r="E2514" t="inlineStr">
        <is>
          <t>2025Q2</t>
        </is>
      </c>
      <c r="F2514" s="2" t="n">
        <v>49045</v>
      </c>
      <c r="G2514" t="n">
        <v>-19.4</v>
      </c>
      <c r="H2514" t="n">
        <v>52.4</v>
      </c>
      <c r="I2514" s="2" t="n">
        <v>6147</v>
      </c>
      <c r="J2514" t="n">
        <v>-79.5</v>
      </c>
      <c r="K2514" t="n">
        <v>84</v>
      </c>
      <c r="L2514" s="2" t="n">
        <v>4215</v>
      </c>
      <c r="M2514" t="n">
        <v>47.7</v>
      </c>
      <c r="N2514" t="inlineStr">
        <is>
          <t>20250801800098</t>
        </is>
      </c>
      <c r="O2514">
        <f>HYPERLINK("https://dart.fss.or.kr/dsaf001/main.do?rcpNo=20250801800098", "공시열람")</f>
        <v/>
      </c>
    </row>
    <row r="2515">
      <c r="A2515" t="inlineStr">
        <is>
          <t>2025-08-01</t>
        </is>
      </c>
      <c r="B2515" t="inlineStr">
        <is>
          <t>풍산홀딩스</t>
        </is>
      </c>
      <c r="C2515" t="inlineStr">
        <is>
          <t>005810</t>
        </is>
      </c>
      <c r="D2515" t="inlineStr">
        <is>
          <t>연결</t>
        </is>
      </c>
      <c r="E2515" t="inlineStr">
        <is>
          <t>2025Q2</t>
        </is>
      </c>
      <c r="F2515" s="2" t="n">
        <v>123055</v>
      </c>
      <c r="G2515" t="n">
        <v>25.7</v>
      </c>
      <c r="H2515" t="n">
        <v>-2.4</v>
      </c>
      <c r="I2515" s="2" t="n">
        <v>29681</v>
      </c>
      <c r="J2515" t="n">
        <v>74.40000000000001</v>
      </c>
      <c r="K2515" t="n">
        <v>-39.5</v>
      </c>
      <c r="L2515" s="2" t="n">
        <v>25282</v>
      </c>
      <c r="M2515" t="n">
        <v>-45.1</v>
      </c>
      <c r="N2515" t="inlineStr">
        <is>
          <t>20250801800101</t>
        </is>
      </c>
      <c r="O2515">
        <f>HYPERLINK("https://dart.fss.or.kr/dsaf001/main.do?rcpNo=20250801800101", "공시열람")</f>
        <v/>
      </c>
    </row>
    <row r="2516">
      <c r="A2516" t="inlineStr">
        <is>
          <t>2025-08-01</t>
        </is>
      </c>
      <c r="B2516" t="inlineStr">
        <is>
          <t>풍산</t>
        </is>
      </c>
      <c r="C2516" t="inlineStr">
        <is>
          <t>103140</t>
        </is>
      </c>
      <c r="D2516" t="inlineStr">
        <is>
          <t>연결</t>
        </is>
      </c>
      <c r="E2516" t="inlineStr">
        <is>
          <t>2025Q2</t>
        </is>
      </c>
      <c r="F2516" s="2" t="n">
        <v>1293963</v>
      </c>
      <c r="G2516" t="n">
        <v>11.9</v>
      </c>
      <c r="H2516" t="n">
        <v>4.9</v>
      </c>
      <c r="I2516" s="2" t="n">
        <v>93593</v>
      </c>
      <c r="J2516" t="n">
        <v>34.3</v>
      </c>
      <c r="K2516" t="n">
        <v>-42</v>
      </c>
      <c r="L2516" s="2" t="n">
        <v>64200</v>
      </c>
      <c r="M2516" t="n">
        <v>-42.3</v>
      </c>
      <c r="N2516" t="inlineStr">
        <is>
          <t>20250801800102</t>
        </is>
      </c>
      <c r="O2516">
        <f>HYPERLINK("https://dart.fss.or.kr/dsaf001/main.do?rcpNo=20250801800102", "공시열람")</f>
        <v/>
      </c>
    </row>
    <row r="2517">
      <c r="A2517" t="inlineStr">
        <is>
          <t>2025-08-01</t>
        </is>
      </c>
      <c r="B2517" t="inlineStr">
        <is>
          <t>더블유씨피</t>
        </is>
      </c>
      <c r="C2517" t="inlineStr">
        <is>
          <t>393890</t>
        </is>
      </c>
      <c r="D2517" t="inlineStr">
        <is>
          <t>연결</t>
        </is>
      </c>
      <c r="E2517" t="inlineStr">
        <is>
          <t>2025Q2</t>
        </is>
      </c>
      <c r="F2517" s="2" t="n">
        <v>38203</v>
      </c>
      <c r="G2517" t="inlineStr"/>
      <c r="H2517" t="inlineStr"/>
      <c r="I2517" s="2" t="n">
        <v>-26002</v>
      </c>
      <c r="J2517" t="inlineStr"/>
      <c r="K2517" t="inlineStr"/>
      <c r="L2517" s="2" t="n">
        <v>-27977</v>
      </c>
      <c r="M2517" t="inlineStr"/>
      <c r="N2517" t="inlineStr">
        <is>
          <t>20250801900127</t>
        </is>
      </c>
      <c r="O2517">
        <f>HYPERLINK("https://dart.fss.or.kr/dsaf001/main.do?rcpNo=20250801900127", "공시열람")</f>
        <v/>
      </c>
    </row>
    <row r="2518">
      <c r="A2518" t="inlineStr">
        <is>
          <t>2025-08-01</t>
        </is>
      </c>
      <c r="B2518" t="inlineStr">
        <is>
          <t>환인제약</t>
        </is>
      </c>
      <c r="C2518" t="inlineStr">
        <is>
          <t>016580</t>
        </is>
      </c>
      <c r="D2518" t="inlineStr">
        <is>
          <t>연결</t>
        </is>
      </c>
      <c r="E2518" t="inlineStr">
        <is>
          <t>2025Q2</t>
        </is>
      </c>
      <c r="F2518" s="2" t="n">
        <v>64135</v>
      </c>
      <c r="G2518" t="n">
        <v>6.5</v>
      </c>
      <c r="H2518" t="n">
        <v>0.8</v>
      </c>
      <c r="I2518" s="2" t="n">
        <v>2701</v>
      </c>
      <c r="J2518" t="n">
        <v>-48.8</v>
      </c>
      <c r="K2518" t="n">
        <v>-61.3</v>
      </c>
      <c r="L2518" s="2" t="n">
        <v>3225</v>
      </c>
      <c r="M2518" t="n">
        <v>-48.1</v>
      </c>
      <c r="N2518" t="inlineStr">
        <is>
          <t>20250801800142</t>
        </is>
      </c>
      <c r="O2518">
        <f>HYPERLINK("https://dart.fss.or.kr/dsaf001/main.do?rcpNo=20250801800142", "공시열람")</f>
        <v/>
      </c>
    </row>
    <row r="2519">
      <c r="A2519" t="inlineStr">
        <is>
          <t>2025-08-01</t>
        </is>
      </c>
      <c r="B2519" t="inlineStr">
        <is>
          <t>GC메디아이</t>
        </is>
      </c>
      <c r="C2519" t="inlineStr">
        <is>
          <t>032620</t>
        </is>
      </c>
      <c r="D2519" t="inlineStr">
        <is>
          <t>연결</t>
        </is>
      </c>
      <c r="E2519" t="inlineStr">
        <is>
          <t>2025Q2</t>
        </is>
      </c>
      <c r="F2519" s="2" t="n">
        <v>48674</v>
      </c>
      <c r="G2519" t="inlineStr"/>
      <c r="H2519" t="inlineStr"/>
      <c r="I2519" s="2" t="n">
        <v>1112</v>
      </c>
      <c r="J2519" t="inlineStr"/>
      <c r="K2519" t="inlineStr"/>
      <c r="L2519" s="2" t="n">
        <v>36712</v>
      </c>
      <c r="M2519" t="inlineStr"/>
      <c r="N2519" t="inlineStr">
        <is>
          <t>20250801900206</t>
        </is>
      </c>
      <c r="O2519">
        <f>HYPERLINK("https://dart.fss.or.kr/dsaf001/main.do?rcpNo=20250801900206", "공시열람")</f>
        <v/>
      </c>
    </row>
    <row r="2520">
      <c r="A2520" t="inlineStr">
        <is>
          <t>2025-08-01</t>
        </is>
      </c>
      <c r="B2520" t="inlineStr">
        <is>
          <t>아모레퍼시픽</t>
        </is>
      </c>
      <c r="C2520" t="inlineStr">
        <is>
          <t>090430</t>
        </is>
      </c>
      <c r="D2520" t="inlineStr">
        <is>
          <t>연결</t>
        </is>
      </c>
      <c r="E2520" t="inlineStr">
        <is>
          <t>2025Q2</t>
        </is>
      </c>
      <c r="F2520" s="2" t="n">
        <v>1005024</v>
      </c>
      <c r="G2520" t="n">
        <v>-5.9</v>
      </c>
      <c r="H2520" t="n">
        <v>11.1</v>
      </c>
      <c r="I2520" s="2" t="n">
        <v>73662</v>
      </c>
      <c r="J2520" t="n">
        <v>-37.4</v>
      </c>
      <c r="K2520" t="n">
        <v>1673.4</v>
      </c>
      <c r="L2520" s="2" t="n">
        <v>37631</v>
      </c>
      <c r="M2520" t="n">
        <v>-92.90000000000001</v>
      </c>
      <c r="N2520" t="inlineStr">
        <is>
          <t>20250801800235</t>
        </is>
      </c>
      <c r="O2520">
        <f>HYPERLINK("https://dart.fss.or.kr/dsaf001/main.do?rcpNo=20250801800235", "공시열람")</f>
        <v/>
      </c>
    </row>
    <row r="2521">
      <c r="A2521" t="inlineStr">
        <is>
          <t>2025-08-01</t>
        </is>
      </c>
      <c r="B2521" t="inlineStr">
        <is>
          <t>LX인터내셔널</t>
        </is>
      </c>
      <c r="C2521" t="inlineStr">
        <is>
          <t>001120</t>
        </is>
      </c>
      <c r="D2521" t="inlineStr">
        <is>
          <t>연결</t>
        </is>
      </c>
      <c r="E2521" t="inlineStr">
        <is>
          <t>2025Q2</t>
        </is>
      </c>
      <c r="F2521" s="2" t="n">
        <v>3830200</v>
      </c>
      <c r="G2521" t="n">
        <v>-5.4</v>
      </c>
      <c r="H2521" t="n">
        <v>-6</v>
      </c>
      <c r="I2521" s="2" t="n">
        <v>55000</v>
      </c>
      <c r="J2521" t="n">
        <v>-53</v>
      </c>
      <c r="K2521" t="n">
        <v>-57.6</v>
      </c>
      <c r="L2521" s="2" t="n">
        <v>56200</v>
      </c>
      <c r="M2521" t="n">
        <v>-50.3</v>
      </c>
      <c r="N2521" t="inlineStr">
        <is>
          <t>20250801800228</t>
        </is>
      </c>
      <c r="O2521">
        <f>HYPERLINK("https://dart.fss.or.kr/dsaf001/main.do?rcpNo=20250801800228", "공시열람")</f>
        <v/>
      </c>
    </row>
    <row r="2522">
      <c r="A2522" t="inlineStr">
        <is>
          <t>2025-08-01</t>
        </is>
      </c>
      <c r="B2522" t="inlineStr">
        <is>
          <t>녹십자웰빙</t>
        </is>
      </c>
      <c r="C2522" t="inlineStr">
        <is>
          <t>234690</t>
        </is>
      </c>
      <c r="D2522" t="inlineStr">
        <is>
          <t>연결</t>
        </is>
      </c>
      <c r="E2522" t="inlineStr">
        <is>
          <t>2025Q2</t>
        </is>
      </c>
      <c r="F2522" s="2" t="n">
        <v>38921</v>
      </c>
      <c r="G2522" t="inlineStr"/>
      <c r="H2522" t="inlineStr"/>
      <c r="I2522" s="2" t="n">
        <v>4222</v>
      </c>
      <c r="J2522" t="inlineStr"/>
      <c r="K2522" t="inlineStr"/>
      <c r="L2522" s="2" t="n">
        <v>342</v>
      </c>
      <c r="M2522" t="inlineStr"/>
      <c r="N2522" t="inlineStr">
        <is>
          <t>20250801900706</t>
        </is>
      </c>
      <c r="O2522">
        <f>HYPERLINK("https://dart.fss.or.kr/dsaf001/main.do?rcpNo=20250801900706", "공시열람")</f>
        <v/>
      </c>
    </row>
    <row r="2523">
      <c r="A2523" t="inlineStr">
        <is>
          <t>2025-08-01</t>
        </is>
      </c>
      <c r="B2523" t="inlineStr">
        <is>
          <t>종근당</t>
        </is>
      </c>
      <c r="C2523" t="inlineStr">
        <is>
          <t>185750</t>
        </is>
      </c>
      <c r="D2523" t="inlineStr">
        <is>
          <t>별도</t>
        </is>
      </c>
      <c r="E2523" t="inlineStr">
        <is>
          <t>2025Q2</t>
        </is>
      </c>
      <c r="F2523" s="2" t="n">
        <v>429595</v>
      </c>
      <c r="G2523" t="n">
        <v>7.6</v>
      </c>
      <c r="H2523" t="n">
        <v>11.6</v>
      </c>
      <c r="I2523" s="2" t="n">
        <v>22169</v>
      </c>
      <c r="J2523" t="n">
        <v>72.7</v>
      </c>
      <c r="K2523" t="n">
        <v>-21.9</v>
      </c>
      <c r="L2523" s="2" t="n">
        <v>19458</v>
      </c>
      <c r="M2523" t="n">
        <v>-63.4</v>
      </c>
      <c r="N2523" t="inlineStr">
        <is>
          <t>20250801800663</t>
        </is>
      </c>
      <c r="O2523">
        <f>HYPERLINK("https://dart.fss.or.kr/dsaf001/main.do?rcpNo=20250801800663", "공시열람")</f>
        <v/>
      </c>
    </row>
    <row r="2524">
      <c r="A2524" t="inlineStr">
        <is>
          <t>2025-08-01</t>
        </is>
      </c>
      <c r="B2524" t="inlineStr">
        <is>
          <t>기아</t>
        </is>
      </c>
      <c r="C2524" t="inlineStr">
        <is>
          <t>000270</t>
        </is>
      </c>
      <c r="D2524" t="inlineStr">
        <is>
          <t>별도</t>
        </is>
      </c>
      <c r="E2524" t="inlineStr">
        <is>
          <t>2025Q2</t>
        </is>
      </c>
      <c r="F2524" s="2" t="inlineStr"/>
      <c r="G2524" t="inlineStr"/>
      <c r="H2524" t="inlineStr"/>
      <c r="I2524" s="2" t="inlineStr"/>
      <c r="J2524" t="inlineStr"/>
      <c r="K2524" t="inlineStr"/>
      <c r="L2524" s="2" t="inlineStr"/>
      <c r="M2524" t="inlineStr"/>
      <c r="N2524" t="inlineStr">
        <is>
          <t>20250801800660</t>
        </is>
      </c>
      <c r="O2524">
        <f>HYPERLINK("https://dart.fss.or.kr/dsaf001/main.do?rcpNo=20250801800660", "공시열람")</f>
        <v/>
      </c>
    </row>
    <row r="2525">
      <c r="A2525" t="inlineStr">
        <is>
          <t>2025-08-01</t>
        </is>
      </c>
      <c r="B2525" t="inlineStr">
        <is>
          <t>현대자동차</t>
        </is>
      </c>
      <c r="C2525" t="inlineStr">
        <is>
          <t>005380</t>
        </is>
      </c>
      <c r="D2525" t="inlineStr">
        <is>
          <t>별도</t>
        </is>
      </c>
      <c r="E2525" t="inlineStr">
        <is>
          <t>2025Q2</t>
        </is>
      </c>
      <c r="F2525" s="2" t="inlineStr"/>
      <c r="G2525" t="inlineStr"/>
      <c r="H2525" t="inlineStr"/>
      <c r="I2525" s="2" t="inlineStr"/>
      <c r="J2525" t="inlineStr"/>
      <c r="K2525" t="inlineStr"/>
      <c r="L2525" s="2" t="inlineStr"/>
      <c r="M2525" t="inlineStr"/>
      <c r="N2525" t="inlineStr">
        <is>
          <t>20250801800642</t>
        </is>
      </c>
      <c r="O2525">
        <f>HYPERLINK("https://dart.fss.or.kr/dsaf001/main.do?rcpNo=20250801800642", "공시열람")</f>
        <v/>
      </c>
    </row>
    <row r="2526">
      <c r="A2526" t="inlineStr">
        <is>
          <t>2025-08-01</t>
        </is>
      </c>
      <c r="B2526" t="inlineStr">
        <is>
          <t>롯데관광개발</t>
        </is>
      </c>
      <c r="C2526" t="inlineStr">
        <is>
          <t>032350</t>
        </is>
      </c>
      <c r="D2526" t="inlineStr">
        <is>
          <t>연결</t>
        </is>
      </c>
      <c r="E2526" t="inlineStr">
        <is>
          <t>2025Q2</t>
        </is>
      </c>
      <c r="F2526" s="2" t="inlineStr"/>
      <c r="G2526" t="inlineStr"/>
      <c r="H2526" t="inlineStr"/>
      <c r="I2526" s="2" t="inlineStr"/>
      <c r="J2526" t="inlineStr"/>
      <c r="K2526" t="inlineStr"/>
      <c r="L2526" s="2" t="inlineStr"/>
      <c r="M2526" t="inlineStr"/>
      <c r="N2526" t="inlineStr">
        <is>
          <t>20250801800641</t>
        </is>
      </c>
      <c r="O2526">
        <f>HYPERLINK("https://dart.fss.or.kr/dsaf001/main.do?rcpNo=20250801800641", "공시열람")</f>
        <v/>
      </c>
    </row>
    <row r="2527">
      <c r="A2527" t="inlineStr">
        <is>
          <t>2025-08-01</t>
        </is>
      </c>
      <c r="B2527" t="inlineStr">
        <is>
          <t>아이센스</t>
        </is>
      </c>
      <c r="C2527" t="inlineStr">
        <is>
          <t>099190</t>
        </is>
      </c>
      <c r="D2527" t="inlineStr">
        <is>
          <t>연결</t>
        </is>
      </c>
      <c r="E2527" t="inlineStr">
        <is>
          <t>2025Q2</t>
        </is>
      </c>
      <c r="F2527" s="2" t="n">
        <v>76789</v>
      </c>
      <c r="G2527" t="inlineStr"/>
      <c r="H2527" t="inlineStr"/>
      <c r="I2527" s="2" t="n">
        <v>1688</v>
      </c>
      <c r="J2527" t="inlineStr"/>
      <c r="K2527" t="inlineStr"/>
      <c r="L2527" s="2" t="n">
        <v>113</v>
      </c>
      <c r="M2527" t="inlineStr"/>
      <c r="N2527" t="inlineStr">
        <is>
          <t>20250801900623</t>
        </is>
      </c>
      <c r="O2527">
        <f>HYPERLINK("https://dart.fss.or.kr/dsaf001/main.do?rcpNo=20250801900623", "공시열람")</f>
        <v/>
      </c>
    </row>
    <row r="2528">
      <c r="A2528" t="inlineStr">
        <is>
          <t>2025-08-01</t>
        </is>
      </c>
      <c r="B2528" t="inlineStr">
        <is>
          <t>DS단석</t>
        </is>
      </c>
      <c r="C2528" t="inlineStr">
        <is>
          <t>017860</t>
        </is>
      </c>
      <c r="D2528" t="inlineStr">
        <is>
          <t>연결</t>
        </is>
      </c>
      <c r="E2528" t="inlineStr">
        <is>
          <t>2025Q2</t>
        </is>
      </c>
      <c r="F2528" s="2" t="n">
        <v>221725</v>
      </c>
      <c r="G2528" t="n">
        <v>-10.64</v>
      </c>
      <c r="H2528" t="n">
        <v>-16.74</v>
      </c>
      <c r="I2528" s="2" t="n">
        <v>-1317</v>
      </c>
      <c r="J2528" t="inlineStr"/>
      <c r="K2528" t="inlineStr"/>
      <c r="L2528" s="2" t="n">
        <v>-5399</v>
      </c>
      <c r="M2528" t="inlineStr"/>
      <c r="N2528" t="inlineStr">
        <is>
          <t>20250801800352</t>
        </is>
      </c>
      <c r="O2528">
        <f>HYPERLINK("https://dart.fss.or.kr/dsaf001/main.do?rcpNo=20250801800352", "공시열람")</f>
        <v/>
      </c>
    </row>
    <row r="2529">
      <c r="A2529" t="inlineStr">
        <is>
          <t>2025-08-01</t>
        </is>
      </c>
      <c r="B2529" t="inlineStr">
        <is>
          <t>금호석유화학</t>
        </is>
      </c>
      <c r="C2529" t="inlineStr">
        <is>
          <t>011780</t>
        </is>
      </c>
      <c r="D2529" t="inlineStr">
        <is>
          <t>연결</t>
        </is>
      </c>
      <c r="E2529" t="inlineStr">
        <is>
          <t>2025Q2</t>
        </is>
      </c>
      <c r="F2529" s="2" t="n">
        <v>1773367</v>
      </c>
      <c r="G2529" t="n">
        <v>-7.1</v>
      </c>
      <c r="H2529" t="n">
        <v>-4.3</v>
      </c>
      <c r="I2529" s="2" t="n">
        <v>65230</v>
      </c>
      <c r="J2529" t="n">
        <v>-45.9</v>
      </c>
      <c r="K2529" t="n">
        <v>-45.3</v>
      </c>
      <c r="L2529" s="2" t="n">
        <v>57732</v>
      </c>
      <c r="M2529" t="n">
        <v>-56.1</v>
      </c>
      <c r="N2529" t="inlineStr">
        <is>
          <t>20250801800274</t>
        </is>
      </c>
      <c r="O2529">
        <f>HYPERLINK("https://dart.fss.or.kr/dsaf001/main.do?rcpNo=20250801800274", "공시열람")</f>
        <v/>
      </c>
    </row>
    <row r="2530">
      <c r="A2530" t="inlineStr">
        <is>
          <t>2025-08-01</t>
        </is>
      </c>
      <c r="B2530" t="inlineStr">
        <is>
          <t>로킷헬스케어</t>
        </is>
      </c>
      <c r="C2530" t="inlineStr">
        <is>
          <t>376900</t>
        </is>
      </c>
      <c r="D2530" t="inlineStr">
        <is>
          <t>연결</t>
        </is>
      </c>
      <c r="E2530" t="inlineStr">
        <is>
          <t>2025Q2</t>
        </is>
      </c>
      <c r="F2530" s="2" t="n">
        <v>6013</v>
      </c>
      <c r="G2530" t="inlineStr"/>
      <c r="H2530" t="inlineStr"/>
      <c r="I2530" s="2" t="n">
        <v>59</v>
      </c>
      <c r="J2530" t="inlineStr"/>
      <c r="K2530" t="inlineStr"/>
      <c r="L2530" s="2" t="n">
        <v>-946</v>
      </c>
      <c r="M2530" t="inlineStr"/>
      <c r="N2530" t="inlineStr">
        <is>
          <t>20250801900244</t>
        </is>
      </c>
      <c r="O2530">
        <f>HYPERLINK("https://dart.fss.or.kr/dsaf001/main.do?rcpNo=20250801900244", "공시열람")</f>
        <v/>
      </c>
    </row>
    <row r="2531">
      <c r="A2531" t="inlineStr">
        <is>
          <t>2025-08-01</t>
        </is>
      </c>
      <c r="B2531" t="inlineStr">
        <is>
          <t>한솔제지</t>
        </is>
      </c>
      <c r="C2531" t="inlineStr">
        <is>
          <t>213500</t>
        </is>
      </c>
      <c r="D2531" t="inlineStr">
        <is>
          <t>별도</t>
        </is>
      </c>
      <c r="E2531" t="inlineStr">
        <is>
          <t>2025Q2</t>
        </is>
      </c>
      <c r="F2531" s="2" t="n">
        <v>526799</v>
      </c>
      <c r="G2531" t="n">
        <v>-7.1</v>
      </c>
      <c r="H2531" t="n">
        <v>-2.3</v>
      </c>
      <c r="I2531" s="2" t="n">
        <v>7413</v>
      </c>
      <c r="J2531" t="n">
        <v>-74.59999999999999</v>
      </c>
      <c r="K2531" t="n">
        <v>10.6</v>
      </c>
      <c r="L2531" s="2" t="n">
        <v>-613</v>
      </c>
      <c r="M2531" t="n">
        <v>92.8</v>
      </c>
      <c r="N2531" t="inlineStr">
        <is>
          <t>20250801800241</t>
        </is>
      </c>
      <c r="O2531">
        <f>HYPERLINK("https://dart.fss.or.kr/dsaf001/main.do?rcpNo=20250801800241", "공시열람")</f>
        <v/>
      </c>
    </row>
    <row r="2532">
      <c r="A2532" t="inlineStr">
        <is>
          <t>2025-08-01</t>
        </is>
      </c>
      <c r="B2532" t="inlineStr">
        <is>
          <t>한솔제지</t>
        </is>
      </c>
      <c r="C2532" t="inlineStr">
        <is>
          <t>213500</t>
        </is>
      </c>
      <c r="D2532" t="inlineStr">
        <is>
          <t>연결</t>
        </is>
      </c>
      <c r="E2532" t="inlineStr">
        <is>
          <t>2025Q2</t>
        </is>
      </c>
      <c r="F2532" s="2" t="n">
        <v>565039</v>
      </c>
      <c r="G2532" t="n">
        <v>-1.8</v>
      </c>
      <c r="H2532" t="n">
        <v>0.4</v>
      </c>
      <c r="I2532" s="2" t="n">
        <v>19335</v>
      </c>
      <c r="J2532" t="n">
        <v>-4.9</v>
      </c>
      <c r="K2532" t="n">
        <v>281.2</v>
      </c>
      <c r="L2532" s="2" t="n">
        <v>8481</v>
      </c>
      <c r="M2532" t="inlineStr"/>
      <c r="N2532" t="inlineStr">
        <is>
          <t>20250801800238</t>
        </is>
      </c>
      <c r="O2532">
        <f>HYPERLINK("https://dart.fss.or.kr/dsaf001/main.do?rcpNo=20250801800238", "공시열람")</f>
        <v/>
      </c>
    </row>
    <row r="2533">
      <c r="A2533" t="inlineStr">
        <is>
          <t>2025-08-01</t>
        </is>
      </c>
      <c r="B2533" t="inlineStr">
        <is>
          <t>티케이지휴켐스</t>
        </is>
      </c>
      <c r="C2533" t="inlineStr">
        <is>
          <t>069260</t>
        </is>
      </c>
      <c r="D2533" t="inlineStr">
        <is>
          <t>연결</t>
        </is>
      </c>
      <c r="E2533" t="inlineStr">
        <is>
          <t>2025Q2</t>
        </is>
      </c>
      <c r="F2533" s="2" t="n">
        <v>290204</v>
      </c>
      <c r="G2533" t="n">
        <v>7.8</v>
      </c>
      <c r="H2533" t="n">
        <v>3.4</v>
      </c>
      <c r="I2533" s="2" t="n">
        <v>21990</v>
      </c>
      <c r="J2533" t="n">
        <v>74.3</v>
      </c>
      <c r="K2533" t="n">
        <v>2.3</v>
      </c>
      <c r="L2533" s="2" t="n">
        <v>18062</v>
      </c>
      <c r="M2533" t="n">
        <v>-15.6</v>
      </c>
      <c r="N2533" t="inlineStr">
        <is>
          <t>20250801800222</t>
        </is>
      </c>
      <c r="O2533">
        <f>HYPERLINK("https://dart.fss.or.kr/dsaf001/main.do?rcpNo=20250801800222", "공시열람")</f>
        <v/>
      </c>
    </row>
    <row r="2534">
      <c r="A2534" t="inlineStr">
        <is>
          <t>2025-08-01</t>
        </is>
      </c>
      <c r="B2534" t="inlineStr">
        <is>
          <t>지씨셀</t>
        </is>
      </c>
      <c r="C2534" t="inlineStr">
        <is>
          <t>144510</t>
        </is>
      </c>
      <c r="D2534" t="inlineStr">
        <is>
          <t>연결</t>
        </is>
      </c>
      <c r="E2534" t="inlineStr">
        <is>
          <t>2025Q2</t>
        </is>
      </c>
      <c r="F2534" s="2" t="n">
        <v>42954</v>
      </c>
      <c r="G2534" t="inlineStr"/>
      <c r="H2534" t="inlineStr"/>
      <c r="I2534" s="2" t="n">
        <v>-3375</v>
      </c>
      <c r="J2534" t="inlineStr"/>
      <c r="K2534" t="inlineStr"/>
      <c r="L2534" s="2" t="n">
        <v>-9531</v>
      </c>
      <c r="M2534" t="inlineStr"/>
      <c r="N2534" t="inlineStr">
        <is>
          <t>20250801900705</t>
        </is>
      </c>
      <c r="O2534">
        <f>HYPERLINK("https://dart.fss.or.kr/dsaf001/main.do?rcpNo=20250801900705", "공시열람")</f>
        <v/>
      </c>
    </row>
    <row r="2535">
      <c r="A2535" t="inlineStr">
        <is>
          <t>2025-08-01</t>
        </is>
      </c>
      <c r="B2535" t="inlineStr">
        <is>
          <t>아모레퍼시픽홀딩스</t>
        </is>
      </c>
      <c r="C2535" t="inlineStr">
        <is>
          <t>002790</t>
        </is>
      </c>
      <c r="D2535" t="inlineStr">
        <is>
          <t>연결</t>
        </is>
      </c>
      <c r="E2535" t="inlineStr">
        <is>
          <t>2025Q2</t>
        </is>
      </c>
      <c r="F2535" s="2" t="n">
        <v>1094967</v>
      </c>
      <c r="G2535" t="n">
        <v>-6</v>
      </c>
      <c r="H2535" t="n">
        <v>8.9</v>
      </c>
      <c r="I2535" s="2" t="n">
        <v>80116</v>
      </c>
      <c r="J2535" t="n">
        <v>-37.8</v>
      </c>
      <c r="K2535" t="n">
        <v>555.5</v>
      </c>
      <c r="L2535" s="2" t="n">
        <v>50771</v>
      </c>
      <c r="M2535" t="n">
        <v>-90.5</v>
      </c>
      <c r="N2535" t="inlineStr">
        <is>
          <t>20250801800247</t>
        </is>
      </c>
      <c r="O2535">
        <f>HYPERLINK("https://dart.fss.or.kr/dsaf001/main.do?rcpNo=20250801800247", "공시열람")</f>
        <v/>
      </c>
    </row>
    <row r="2536">
      <c r="A2536" t="inlineStr">
        <is>
          <t>2025-07-31</t>
        </is>
      </c>
      <c r="B2536" t="inlineStr">
        <is>
          <t>HD현대</t>
        </is>
      </c>
      <c r="C2536" t="inlineStr">
        <is>
          <t>267250</t>
        </is>
      </c>
      <c r="D2536" t="inlineStr">
        <is>
          <t>연결</t>
        </is>
      </c>
      <c r="E2536" t="inlineStr">
        <is>
          <t>2025Q2</t>
        </is>
      </c>
      <c r="F2536" s="2" t="n">
        <v>6541700</v>
      </c>
      <c r="G2536" t="n">
        <v>-8.199999999999999</v>
      </c>
      <c r="H2536" t="n">
        <v>-16.6</v>
      </c>
      <c r="I2536" s="2" t="n">
        <v>-241300</v>
      </c>
      <c r="J2536" t="inlineStr"/>
      <c r="K2536" t="inlineStr"/>
      <c r="L2536" s="2" t="n">
        <v>-143100</v>
      </c>
      <c r="M2536" t="n">
        <v>-52.4</v>
      </c>
      <c r="N2536" t="inlineStr">
        <is>
          <t>20250731800319</t>
        </is>
      </c>
      <c r="O2536">
        <f>HYPERLINK("https://dart.fss.or.kr/dsaf001/main.do?rcpNo=20250731800319", "공시열람")</f>
        <v/>
      </c>
    </row>
    <row r="2537">
      <c r="A2537" t="inlineStr">
        <is>
          <t>2025-07-31</t>
        </is>
      </c>
      <c r="B2537" t="inlineStr">
        <is>
          <t>POSCO홀딩스</t>
        </is>
      </c>
      <c r="C2537" t="inlineStr">
        <is>
          <t>005490</t>
        </is>
      </c>
      <c r="D2537" t="inlineStr">
        <is>
          <t>연결</t>
        </is>
      </c>
      <c r="E2537" t="inlineStr">
        <is>
          <t>2025Q2</t>
        </is>
      </c>
      <c r="F2537" s="2" t="n">
        <v>18</v>
      </c>
      <c r="G2537" t="inlineStr"/>
      <c r="H2537" t="inlineStr"/>
      <c r="I2537" s="2" t="n">
        <v>1</v>
      </c>
      <c r="J2537" t="inlineStr"/>
      <c r="K2537" t="inlineStr"/>
      <c r="L2537" s="2" t="n">
        <v>0</v>
      </c>
      <c r="M2537" t="inlineStr"/>
      <c r="N2537" t="inlineStr">
        <is>
          <t>20250731800278</t>
        </is>
      </c>
      <c r="O2537">
        <f>HYPERLINK("https://dart.fss.or.kr/dsaf001/main.do?rcpNo=20250731800278", "공시열람")</f>
        <v/>
      </c>
    </row>
    <row r="2538">
      <c r="A2538" t="inlineStr">
        <is>
          <t>2025-07-31</t>
        </is>
      </c>
      <c r="B2538" t="inlineStr">
        <is>
          <t>티씨케이</t>
        </is>
      </c>
      <c r="C2538" t="inlineStr">
        <is>
          <t>064760</t>
        </is>
      </c>
      <c r="D2538" t="inlineStr">
        <is>
          <t>별도</t>
        </is>
      </c>
      <c r="E2538" t="inlineStr">
        <is>
          <t>2025Q2</t>
        </is>
      </c>
      <c r="F2538" s="2" t="n">
        <v>72674</v>
      </c>
      <c r="G2538" t="inlineStr"/>
      <c r="H2538" t="inlineStr"/>
      <c r="I2538" s="2" t="n">
        <v>19502</v>
      </c>
      <c r="J2538" t="inlineStr"/>
      <c r="K2538" t="inlineStr"/>
      <c r="L2538" s="2" t="n">
        <v>15987</v>
      </c>
      <c r="M2538" t="inlineStr"/>
      <c r="N2538" t="inlineStr">
        <is>
          <t>20250731900313</t>
        </is>
      </c>
      <c r="O2538">
        <f>HYPERLINK("https://dart.fss.or.kr/dsaf001/main.do?rcpNo=20250731900313", "공시열람")</f>
        <v/>
      </c>
    </row>
    <row r="2539">
      <c r="A2539" t="inlineStr">
        <is>
          <t>2025-07-31</t>
        </is>
      </c>
      <c r="B2539" t="inlineStr">
        <is>
          <t>동원시스템즈</t>
        </is>
      </c>
      <c r="C2539" t="inlineStr">
        <is>
          <t>014820</t>
        </is>
      </c>
      <c r="D2539" t="inlineStr">
        <is>
          <t>연결</t>
        </is>
      </c>
      <c r="E2539" t="inlineStr">
        <is>
          <t>2025Q2</t>
        </is>
      </c>
      <c r="F2539" s="2" t="n">
        <v>366346</v>
      </c>
      <c r="G2539" t="n">
        <v>8.779999999999999</v>
      </c>
      <c r="H2539" t="n">
        <v>6.38</v>
      </c>
      <c r="I2539" s="2" t="n">
        <v>25909</v>
      </c>
      <c r="J2539" t="n">
        <v>106.5</v>
      </c>
      <c r="K2539" t="n">
        <v>-14.53</v>
      </c>
      <c r="L2539" s="2" t="n">
        <v>15825</v>
      </c>
      <c r="M2539" t="n">
        <v>-29.03</v>
      </c>
      <c r="N2539" t="inlineStr">
        <is>
          <t>20250731800392</t>
        </is>
      </c>
      <c r="O2539">
        <f>HYPERLINK("https://dart.fss.or.kr/dsaf001/main.do?rcpNo=20250731800392", "공시열람")</f>
        <v/>
      </c>
    </row>
    <row r="2540">
      <c r="A2540" t="inlineStr">
        <is>
          <t>2025-07-31</t>
        </is>
      </c>
      <c r="B2540" t="inlineStr">
        <is>
          <t>HD현대</t>
        </is>
      </c>
      <c r="C2540" t="inlineStr">
        <is>
          <t>267250</t>
        </is>
      </c>
      <c r="D2540" t="inlineStr">
        <is>
          <t>별도</t>
        </is>
      </c>
      <c r="E2540" t="inlineStr">
        <is>
          <t>2025Q2</t>
        </is>
      </c>
      <c r="F2540" s="2" t="n">
        <v>6312200</v>
      </c>
      <c r="G2540" t="n">
        <v>-5.4</v>
      </c>
      <c r="H2540" t="n">
        <v>-13.2</v>
      </c>
      <c r="I2540" s="2" t="n">
        <v>-174900</v>
      </c>
      <c r="J2540" t="inlineStr"/>
      <c r="K2540" t="n">
        <v>-511.5</v>
      </c>
      <c r="L2540" s="2" t="n">
        <v>-77000</v>
      </c>
      <c r="M2540" t="n">
        <v>-15.3</v>
      </c>
      <c r="N2540" t="inlineStr">
        <is>
          <t>20250731800314</t>
        </is>
      </c>
      <c r="O2540">
        <f>HYPERLINK("https://dart.fss.or.kr/dsaf001/main.do?rcpNo=20250731800314", "공시열람")</f>
        <v/>
      </c>
    </row>
    <row r="2541">
      <c r="A2541" t="inlineStr">
        <is>
          <t>2025-07-31</t>
        </is>
      </c>
      <c r="B2541" t="inlineStr">
        <is>
          <t>BNK금융지주</t>
        </is>
      </c>
      <c r="C2541" t="inlineStr">
        <is>
          <t>138930</t>
        </is>
      </c>
      <c r="D2541" t="inlineStr">
        <is>
          <t>연결</t>
        </is>
      </c>
      <c r="E2541" t="inlineStr">
        <is>
          <t>2025Q2</t>
        </is>
      </c>
      <c r="F2541" s="2" t="n">
        <v>2600983</v>
      </c>
      <c r="G2541" t="n">
        <v>-1.71</v>
      </c>
      <c r="H2541" t="n">
        <v>4.66</v>
      </c>
      <c r="I2541" s="2" t="n">
        <v>255856</v>
      </c>
      <c r="J2541" t="n">
        <v>24.3</v>
      </c>
      <c r="K2541" t="n">
        <v>-13.07</v>
      </c>
      <c r="L2541" s="2" t="n">
        <v>314483</v>
      </c>
      <c r="M2541" t="n">
        <v>26.69</v>
      </c>
      <c r="N2541" t="inlineStr">
        <is>
          <t>20250731800372</t>
        </is>
      </c>
      <c r="O2541">
        <f>HYPERLINK("https://dart.fss.or.kr/dsaf001/main.do?rcpNo=20250731800372", "공시열람")</f>
        <v/>
      </c>
    </row>
    <row r="2542">
      <c r="A2542" t="inlineStr">
        <is>
          <t>2025-07-31</t>
        </is>
      </c>
      <c r="B2542" t="inlineStr">
        <is>
          <t>HD현대</t>
        </is>
      </c>
      <c r="C2542" t="inlineStr">
        <is>
          <t>267250</t>
        </is>
      </c>
      <c r="D2542" t="inlineStr">
        <is>
          <t>연결</t>
        </is>
      </c>
      <c r="E2542" t="inlineStr">
        <is>
          <t>2025Q2</t>
        </is>
      </c>
      <c r="F2542" s="2" t="n">
        <v>17211100</v>
      </c>
      <c r="G2542" t="n">
        <v>0.7</v>
      </c>
      <c r="H2542" t="n">
        <v>-2</v>
      </c>
      <c r="I2542" s="2" t="n">
        <v>1138900</v>
      </c>
      <c r="J2542" t="n">
        <v>-11.5</v>
      </c>
      <c r="K2542" t="n">
        <v>29.4</v>
      </c>
      <c r="L2542" s="2" t="n">
        <v>488000</v>
      </c>
      <c r="M2542" t="n">
        <v>-10.3</v>
      </c>
      <c r="N2542" t="inlineStr">
        <is>
          <t>20250731800305</t>
        </is>
      </c>
      <c r="O2542">
        <f>HYPERLINK("https://dart.fss.or.kr/dsaf001/main.do?rcpNo=20250731800305", "공시열람")</f>
        <v/>
      </c>
    </row>
    <row r="2543">
      <c r="A2543" t="inlineStr">
        <is>
          <t>2025-07-31</t>
        </is>
      </c>
      <c r="B2543" t="inlineStr">
        <is>
          <t>현대에버다임</t>
        </is>
      </c>
      <c r="C2543" t="inlineStr">
        <is>
          <t>041440</t>
        </is>
      </c>
      <c r="D2543" t="inlineStr">
        <is>
          <t>연결</t>
        </is>
      </c>
      <c r="E2543" t="inlineStr">
        <is>
          <t>2025Q2</t>
        </is>
      </c>
      <c r="F2543" s="2" t="n">
        <v>85286</v>
      </c>
      <c r="G2543" t="inlineStr"/>
      <c r="H2543" t="inlineStr"/>
      <c r="I2543" s="2" t="n">
        <v>2806</v>
      </c>
      <c r="J2543" t="inlineStr"/>
      <c r="K2543" t="inlineStr"/>
      <c r="L2543" s="2" t="n">
        <v>308</v>
      </c>
      <c r="M2543" t="inlineStr"/>
      <c r="N2543" t="inlineStr">
        <is>
          <t>20250731900333</t>
        </is>
      </c>
      <c r="O2543">
        <f>HYPERLINK("https://dart.fss.or.kr/dsaf001/main.do?rcpNo=20250731900333", "공시열람")</f>
        <v/>
      </c>
    </row>
    <row r="2544">
      <c r="A2544" t="inlineStr">
        <is>
          <t>2025-07-31</t>
        </is>
      </c>
      <c r="B2544" t="inlineStr">
        <is>
          <t>DL이앤씨</t>
        </is>
      </c>
      <c r="C2544" t="inlineStr">
        <is>
          <t>375500</t>
        </is>
      </c>
      <c r="D2544" t="inlineStr">
        <is>
          <t>연결</t>
        </is>
      </c>
      <c r="E2544" t="inlineStr">
        <is>
          <t>2025Q2</t>
        </is>
      </c>
      <c r="F2544" s="2" t="n">
        <v>1991446</v>
      </c>
      <c r="G2544" t="n">
        <v>10.14</v>
      </c>
      <c r="H2544" t="n">
        <v>-3.81</v>
      </c>
      <c r="I2544" s="2" t="n">
        <v>126206</v>
      </c>
      <c r="J2544" t="n">
        <v>55.87</v>
      </c>
      <c r="K2544" t="n">
        <v>287.49</v>
      </c>
      <c r="L2544" s="2" t="n">
        <v>8291</v>
      </c>
      <c r="M2544" t="n">
        <v>-79.59999999999999</v>
      </c>
      <c r="N2544" t="inlineStr">
        <is>
          <t>20250731800334</t>
        </is>
      </c>
      <c r="O2544">
        <f>HYPERLINK("https://dart.fss.or.kr/dsaf001/main.do?rcpNo=20250731800334", "공시열람")</f>
        <v/>
      </c>
    </row>
    <row r="2545">
      <c r="A2545" t="inlineStr">
        <is>
          <t>2025-07-31</t>
        </is>
      </c>
      <c r="B2545" t="inlineStr">
        <is>
          <t>포스코엠텍</t>
        </is>
      </c>
      <c r="C2545" t="inlineStr">
        <is>
          <t>009520</t>
        </is>
      </c>
      <c r="D2545" t="inlineStr">
        <is>
          <t>별도</t>
        </is>
      </c>
      <c r="E2545" t="inlineStr">
        <is>
          <t>2025Q2</t>
        </is>
      </c>
      <c r="F2545" s="2" t="n">
        <v>89346</v>
      </c>
      <c r="G2545" t="inlineStr"/>
      <c r="H2545" t="inlineStr"/>
      <c r="I2545" s="2" t="n">
        <v>-3244</v>
      </c>
      <c r="J2545" t="inlineStr"/>
      <c r="K2545" t="inlineStr"/>
      <c r="L2545" s="2" t="n">
        <v>-3603</v>
      </c>
      <c r="M2545" t="inlineStr"/>
      <c r="N2545" t="inlineStr">
        <is>
          <t>20250731900339</t>
        </is>
      </c>
      <c r="O2545">
        <f>HYPERLINK("https://dart.fss.or.kr/dsaf001/main.do?rcpNo=20250731900339", "공시열람")</f>
        <v/>
      </c>
    </row>
    <row r="2546">
      <c r="A2546" t="inlineStr">
        <is>
          <t>2025-07-31</t>
        </is>
      </c>
      <c r="B2546" t="inlineStr">
        <is>
          <t>대한전선</t>
        </is>
      </c>
      <c r="C2546" t="inlineStr">
        <is>
          <t>001440</t>
        </is>
      </c>
      <c r="D2546" t="inlineStr">
        <is>
          <t>연결</t>
        </is>
      </c>
      <c r="E2546" t="inlineStr">
        <is>
          <t>2025Q2</t>
        </is>
      </c>
      <c r="F2546" s="2" t="n">
        <v>916356</v>
      </c>
      <c r="G2546" t="n">
        <v>7.12</v>
      </c>
      <c r="H2546" t="n">
        <v>6.02</v>
      </c>
      <c r="I2546" s="2" t="n">
        <v>28563</v>
      </c>
      <c r="J2546" t="n">
        <v>5.38</v>
      </c>
      <c r="K2546" t="n">
        <v>-23.61</v>
      </c>
      <c r="L2546" s="2" t="inlineStr"/>
      <c r="M2546" t="inlineStr"/>
      <c r="N2546" t="inlineStr">
        <is>
          <t>20250731800356</t>
        </is>
      </c>
      <c r="O2546">
        <f>HYPERLINK("https://dart.fss.or.kr/dsaf001/main.do?rcpNo=20250731800356", "공시열람")</f>
        <v/>
      </c>
    </row>
    <row r="2547">
      <c r="A2547" t="inlineStr">
        <is>
          <t>2025-07-31</t>
        </is>
      </c>
      <c r="B2547" t="inlineStr">
        <is>
          <t>JW중외제약</t>
        </is>
      </c>
      <c r="C2547" t="inlineStr">
        <is>
          <t>001060</t>
        </is>
      </c>
      <c r="D2547" t="inlineStr">
        <is>
          <t>별도</t>
        </is>
      </c>
      <c r="E2547" t="inlineStr">
        <is>
          <t>2025Q2</t>
        </is>
      </c>
      <c r="F2547" s="2" t="n">
        <v>189697</v>
      </c>
      <c r="G2547" t="n">
        <v>3.4</v>
      </c>
      <c r="H2547" t="n">
        <v>11.2</v>
      </c>
      <c r="I2547" s="2" t="n">
        <v>25416</v>
      </c>
      <c r="J2547" t="n">
        <v>12.5</v>
      </c>
      <c r="K2547" t="n">
        <v>103.3</v>
      </c>
      <c r="L2547" s="2" t="n">
        <v>-2061</v>
      </c>
      <c r="M2547" t="inlineStr"/>
      <c r="N2547" t="inlineStr">
        <is>
          <t>20250731800365</t>
        </is>
      </c>
      <c r="O2547">
        <f>HYPERLINK("https://dart.fss.or.kr/dsaf001/main.do?rcpNo=20250731800365", "공시열람")</f>
        <v/>
      </c>
    </row>
    <row r="2548">
      <c r="A2548" t="inlineStr">
        <is>
          <t>2025-07-31</t>
        </is>
      </c>
      <c r="B2548" t="inlineStr">
        <is>
          <t>BNK금융지주</t>
        </is>
      </c>
      <c r="C2548" t="inlineStr">
        <is>
          <t>138930</t>
        </is>
      </c>
      <c r="D2548" t="inlineStr">
        <is>
          <t>연결</t>
        </is>
      </c>
      <c r="E2548" t="inlineStr">
        <is>
          <t>2025Q2</t>
        </is>
      </c>
      <c r="F2548" s="2" t="n">
        <v>561483</v>
      </c>
      <c r="G2548" t="n">
        <v>51.48</v>
      </c>
      <c r="H2548" t="n">
        <v>105.63</v>
      </c>
      <c r="I2548" s="2" t="n">
        <v>24236</v>
      </c>
      <c r="J2548" t="n">
        <v>121.49</v>
      </c>
      <c r="K2548" t="inlineStr"/>
      <c r="L2548" s="2" t="n">
        <v>16813</v>
      </c>
      <c r="M2548" t="inlineStr"/>
      <c r="N2548" t="inlineStr">
        <is>
          <t>20250731800357</t>
        </is>
      </c>
      <c r="O2548">
        <f>HYPERLINK("https://dart.fss.or.kr/dsaf001/main.do?rcpNo=20250731800357", "공시열람")</f>
        <v/>
      </c>
    </row>
    <row r="2549">
      <c r="A2549" t="inlineStr">
        <is>
          <t>2025-07-31</t>
        </is>
      </c>
      <c r="B2549" t="inlineStr">
        <is>
          <t>JW홀딩스</t>
        </is>
      </c>
      <c r="C2549" t="inlineStr">
        <is>
          <t>096760</t>
        </is>
      </c>
      <c r="D2549" t="inlineStr">
        <is>
          <t>별도</t>
        </is>
      </c>
      <c r="E2549" t="inlineStr">
        <is>
          <t>2025Q2</t>
        </is>
      </c>
      <c r="F2549" s="2" t="n">
        <v>19000</v>
      </c>
      <c r="G2549" t="n">
        <v>-30.93</v>
      </c>
      <c r="H2549" t="n">
        <v>-43.46</v>
      </c>
      <c r="I2549" s="2" t="n">
        <v>3427</v>
      </c>
      <c r="J2549" t="n">
        <v>-73.66</v>
      </c>
      <c r="K2549" t="n">
        <v>-82.22</v>
      </c>
      <c r="L2549" s="2" t="n">
        <v>-258</v>
      </c>
      <c r="M2549" t="inlineStr"/>
      <c r="N2549" t="inlineStr">
        <is>
          <t>20250731800353</t>
        </is>
      </c>
      <c r="O2549">
        <f>HYPERLINK("https://dart.fss.or.kr/dsaf001/main.do?rcpNo=20250731800353", "공시열람")</f>
        <v/>
      </c>
    </row>
    <row r="2550">
      <c r="A2550" t="inlineStr">
        <is>
          <t>2025-07-31</t>
        </is>
      </c>
      <c r="B2550" t="inlineStr">
        <is>
          <t>BNK금융지주</t>
        </is>
      </c>
      <c r="C2550" t="inlineStr">
        <is>
          <t>138930</t>
        </is>
      </c>
      <c r="D2550" t="inlineStr">
        <is>
          <t>연결</t>
        </is>
      </c>
      <c r="E2550" t="inlineStr">
        <is>
          <t>2025Q2</t>
        </is>
      </c>
      <c r="F2550" s="2" t="n">
        <v>694133</v>
      </c>
      <c r="G2550" t="n">
        <v>6.79</v>
      </c>
      <c r="H2550" t="n">
        <v>-2.75</v>
      </c>
      <c r="I2550" s="2" t="n">
        <v>101616</v>
      </c>
      <c r="J2550" t="n">
        <v>25.33</v>
      </c>
      <c r="K2550" t="n">
        <v>-18.07</v>
      </c>
      <c r="L2550" s="2" t="n">
        <v>89177</v>
      </c>
      <c r="M2550" t="n">
        <v>-13.5</v>
      </c>
      <c r="N2550" t="inlineStr">
        <is>
          <t>20250731800363</t>
        </is>
      </c>
      <c r="O2550">
        <f>HYPERLINK("https://dart.fss.or.kr/dsaf001/main.do?rcpNo=20250731800363", "공시열람")</f>
        <v/>
      </c>
    </row>
    <row r="2551">
      <c r="A2551" t="inlineStr">
        <is>
          <t>2025-07-31</t>
        </is>
      </c>
      <c r="B2551" t="inlineStr">
        <is>
          <t>BNK금융지주</t>
        </is>
      </c>
      <c r="C2551" t="inlineStr">
        <is>
          <t>138930</t>
        </is>
      </c>
      <c r="D2551" t="inlineStr">
        <is>
          <t>연결</t>
        </is>
      </c>
      <c r="E2551" t="inlineStr">
        <is>
          <t>2025Q2</t>
        </is>
      </c>
      <c r="F2551" s="2" t="n">
        <v>927243</v>
      </c>
      <c r="G2551" t="n">
        <v>-23.64</v>
      </c>
      <c r="H2551" t="n">
        <v>-14.08</v>
      </c>
      <c r="I2551" s="2" t="n">
        <v>165570</v>
      </c>
      <c r="J2551" t="n">
        <v>71.23999999999999</v>
      </c>
      <c r="K2551" t="n">
        <v>13.66</v>
      </c>
      <c r="L2551" s="2" t="n">
        <v>166105</v>
      </c>
      <c r="M2551" t="n">
        <v>31.55</v>
      </c>
      <c r="N2551" t="inlineStr">
        <is>
          <t>20250731800369</t>
        </is>
      </c>
      <c r="O2551">
        <f>HYPERLINK("https://dart.fss.or.kr/dsaf001/main.do?rcpNo=20250731800369", "공시열람")</f>
        <v/>
      </c>
    </row>
    <row r="2552">
      <c r="A2552" t="inlineStr">
        <is>
          <t>2025-07-31</t>
        </is>
      </c>
      <c r="B2552" t="inlineStr">
        <is>
          <t>슈프리마</t>
        </is>
      </c>
      <c r="C2552" t="inlineStr">
        <is>
          <t>236200</t>
        </is>
      </c>
      <c r="D2552" t="inlineStr">
        <is>
          <t>연결</t>
        </is>
      </c>
      <c r="E2552" t="inlineStr">
        <is>
          <t>2025Q2</t>
        </is>
      </c>
      <c r="F2552" s="2" t="n">
        <v>32530</v>
      </c>
      <c r="G2552" t="inlineStr"/>
      <c r="H2552" t="inlineStr"/>
      <c r="I2552" s="2" t="n">
        <v>7570</v>
      </c>
      <c r="J2552" t="inlineStr"/>
      <c r="K2552" t="inlineStr"/>
      <c r="L2552" s="2" t="n">
        <v>744</v>
      </c>
      <c r="M2552" t="inlineStr"/>
      <c r="N2552" t="inlineStr">
        <is>
          <t>20250731900364</t>
        </is>
      </c>
      <c r="O2552">
        <f>HYPERLINK("https://dart.fss.or.kr/dsaf001/main.do?rcpNo=20250731900364", "공시열람")</f>
        <v/>
      </c>
    </row>
    <row r="2553">
      <c r="A2553" t="inlineStr">
        <is>
          <t>2025-07-31</t>
        </is>
      </c>
      <c r="B2553" t="inlineStr">
        <is>
          <t>파수AI</t>
        </is>
      </c>
      <c r="C2553" t="inlineStr">
        <is>
          <t>150900</t>
        </is>
      </c>
      <c r="D2553" t="inlineStr">
        <is>
          <t>연결</t>
        </is>
      </c>
      <c r="E2553" t="inlineStr">
        <is>
          <t>2025Q2</t>
        </is>
      </c>
      <c r="F2553" s="2" t="n">
        <v>10699</v>
      </c>
      <c r="G2553" t="inlineStr"/>
      <c r="H2553" t="inlineStr"/>
      <c r="I2553" s="2" t="n">
        <v>-939</v>
      </c>
      <c r="J2553" t="inlineStr"/>
      <c r="K2553" t="inlineStr"/>
      <c r="L2553" s="2" t="n">
        <v>-1243</v>
      </c>
      <c r="M2553" t="inlineStr"/>
      <c r="N2553" t="inlineStr">
        <is>
          <t>20250731900712</t>
        </is>
      </c>
      <c r="O2553">
        <f>HYPERLINK("https://dart.fss.or.kr/dsaf001/main.do?rcpNo=20250731900712", "공시열람")</f>
        <v/>
      </c>
    </row>
    <row r="2554">
      <c r="A2554" t="inlineStr">
        <is>
          <t>2025-07-31</t>
        </is>
      </c>
      <c r="B2554" t="inlineStr">
        <is>
          <t>HS효성첨단소재</t>
        </is>
      </c>
      <c r="C2554" t="inlineStr">
        <is>
          <t>298050</t>
        </is>
      </c>
      <c r="D2554" t="inlineStr">
        <is>
          <t>연결</t>
        </is>
      </c>
      <c r="E2554" t="inlineStr">
        <is>
          <t>2025Q2</t>
        </is>
      </c>
      <c r="F2554" s="2" t="n">
        <v>843036</v>
      </c>
      <c r="G2554" t="n">
        <v>-1.23</v>
      </c>
      <c r="H2554" t="n">
        <v>0.3</v>
      </c>
      <c r="I2554" s="2" t="n">
        <v>58741</v>
      </c>
      <c r="J2554" t="n">
        <v>19.61</v>
      </c>
      <c r="K2554" t="n">
        <v>-11.33</v>
      </c>
      <c r="L2554" s="2" t="n">
        <v>1434</v>
      </c>
      <c r="M2554" t="n">
        <v>-94.59</v>
      </c>
      <c r="N2554" t="inlineStr">
        <is>
          <t>20250731800682</t>
        </is>
      </c>
      <c r="O2554">
        <f>HYPERLINK("https://dart.fss.or.kr/dsaf001/main.do?rcpNo=20250731800682", "공시열람")</f>
        <v/>
      </c>
    </row>
    <row r="2555">
      <c r="A2555" t="inlineStr">
        <is>
          <t>2025-07-31</t>
        </is>
      </c>
      <c r="B2555" t="inlineStr">
        <is>
          <t>HS효성</t>
        </is>
      </c>
      <c r="C2555" t="inlineStr">
        <is>
          <t>487570</t>
        </is>
      </c>
      <c r="D2555" t="inlineStr">
        <is>
          <t>연결</t>
        </is>
      </c>
      <c r="E2555" t="inlineStr">
        <is>
          <t>2025Q2</t>
        </is>
      </c>
      <c r="F2555" s="2" t="n">
        <v>387928</v>
      </c>
      <c r="G2555" t="n">
        <v>-7.5</v>
      </c>
      <c r="H2555" t="inlineStr"/>
      <c r="I2555" s="2" t="n">
        <v>10779</v>
      </c>
      <c r="J2555" t="n">
        <v>-0.1</v>
      </c>
      <c r="K2555" t="inlineStr"/>
      <c r="L2555" s="2" t="n">
        <v>5886</v>
      </c>
      <c r="M2555" t="inlineStr"/>
      <c r="N2555" t="inlineStr">
        <is>
          <t>20250731800656</t>
        </is>
      </c>
      <c r="O2555">
        <f>HYPERLINK("https://dart.fss.or.kr/dsaf001/main.do?rcpNo=20250731800656", "공시열람")</f>
        <v/>
      </c>
    </row>
    <row r="2556">
      <c r="A2556" t="inlineStr">
        <is>
          <t>2025-07-31</t>
        </is>
      </c>
      <c r="B2556" t="inlineStr">
        <is>
          <t>DB</t>
        </is>
      </c>
      <c r="C2556" t="inlineStr">
        <is>
          <t>012030</t>
        </is>
      </c>
      <c r="D2556" t="inlineStr">
        <is>
          <t>연결</t>
        </is>
      </c>
      <c r="E2556" t="inlineStr">
        <is>
          <t>2025Q2</t>
        </is>
      </c>
      <c r="F2556" s="2" t="n">
        <v>150103</v>
      </c>
      <c r="G2556" t="n">
        <v>5.8</v>
      </c>
      <c r="H2556" t="n">
        <v>-2.3</v>
      </c>
      <c r="I2556" s="2" t="n">
        <v>8877</v>
      </c>
      <c r="J2556" t="n">
        <v>-48.9</v>
      </c>
      <c r="K2556" t="n">
        <v>-5.5</v>
      </c>
      <c r="L2556" s="2" t="n">
        <v>14911</v>
      </c>
      <c r="M2556" t="n">
        <v>-0.4</v>
      </c>
      <c r="N2556" t="inlineStr">
        <is>
          <t>20250731800646</t>
        </is>
      </c>
      <c r="O2556">
        <f>HYPERLINK("https://dart.fss.or.kr/dsaf001/main.do?rcpNo=20250731800646", "공시열람")</f>
        <v/>
      </c>
    </row>
    <row r="2557">
      <c r="A2557" t="inlineStr">
        <is>
          <t>2025-07-31</t>
        </is>
      </c>
      <c r="B2557" t="inlineStr">
        <is>
          <t>보령</t>
        </is>
      </c>
      <c r="C2557" t="inlineStr">
        <is>
          <t>003850</t>
        </is>
      </c>
      <c r="D2557" t="inlineStr">
        <is>
          <t>연결</t>
        </is>
      </c>
      <c r="E2557" t="inlineStr">
        <is>
          <t>2025Q2</t>
        </is>
      </c>
      <c r="F2557" s="2" t="n">
        <v>251518</v>
      </c>
      <c r="G2557" t="n">
        <v>4.56</v>
      </c>
      <c r="H2557" t="n">
        <v>-1.58</v>
      </c>
      <c r="I2557" s="2" t="n">
        <v>25366</v>
      </c>
      <c r="J2557" t="n">
        <v>132.44</v>
      </c>
      <c r="K2557" t="n">
        <v>26.07</v>
      </c>
      <c r="L2557" s="2" t="n">
        <v>8864</v>
      </c>
      <c r="M2557" t="n">
        <v>-62.52</v>
      </c>
      <c r="N2557" t="inlineStr">
        <is>
          <t>20250731800512</t>
        </is>
      </c>
      <c r="O2557">
        <f>HYPERLINK("https://dart.fss.or.kr/dsaf001/main.do?rcpNo=20250731800512", "공시열람")</f>
        <v/>
      </c>
    </row>
    <row r="2558">
      <c r="A2558" t="inlineStr">
        <is>
          <t>2025-07-31</t>
        </is>
      </c>
      <c r="B2558" t="inlineStr">
        <is>
          <t>현대코퍼레이션</t>
        </is>
      </c>
      <c r="C2558" t="inlineStr">
        <is>
          <t>011760</t>
        </is>
      </c>
      <c r="D2558" t="inlineStr">
        <is>
          <t>연결</t>
        </is>
      </c>
      <c r="E2558" t="inlineStr">
        <is>
          <t>2025Q2</t>
        </is>
      </c>
      <c r="F2558" s="2" t="n">
        <v>1918495</v>
      </c>
      <c r="G2558" t="n">
        <v>3.32</v>
      </c>
      <c r="H2558" t="n">
        <v>10.96</v>
      </c>
      <c r="I2558" s="2" t="n">
        <v>34649</v>
      </c>
      <c r="J2558" t="n">
        <v>-6.06</v>
      </c>
      <c r="K2558" t="n">
        <v>-5.13</v>
      </c>
      <c r="L2558" s="2" t="n">
        <v>15818</v>
      </c>
      <c r="M2558" t="n">
        <v>-48.56</v>
      </c>
      <c r="N2558" t="inlineStr">
        <is>
          <t>20250731800530</t>
        </is>
      </c>
      <c r="O2558">
        <f>HYPERLINK("https://dart.fss.or.kr/dsaf001/main.do?rcpNo=20250731800530", "공시열람")</f>
        <v/>
      </c>
    </row>
    <row r="2559">
      <c r="A2559" t="inlineStr">
        <is>
          <t>2025-07-31</t>
        </is>
      </c>
      <c r="B2559" t="inlineStr">
        <is>
          <t>DL</t>
        </is>
      </c>
      <c r="C2559" t="inlineStr">
        <is>
          <t>000210</t>
        </is>
      </c>
      <c r="D2559" t="inlineStr">
        <is>
          <t>연결</t>
        </is>
      </c>
      <c r="E2559" t="inlineStr">
        <is>
          <t>2025Q2</t>
        </is>
      </c>
      <c r="F2559" s="2" t="n">
        <v>1321719</v>
      </c>
      <c r="G2559" t="n">
        <v>-4.68</v>
      </c>
      <c r="H2559" t="n">
        <v>-11.42</v>
      </c>
      <c r="I2559" s="2" t="n">
        <v>72031</v>
      </c>
      <c r="J2559" t="n">
        <v>-31.63</v>
      </c>
      <c r="K2559" t="n">
        <v>-49.56</v>
      </c>
      <c r="L2559" s="2" t="n">
        <v>-84295</v>
      </c>
      <c r="M2559" t="inlineStr"/>
      <c r="N2559" t="inlineStr">
        <is>
          <t>20250731800492</t>
        </is>
      </c>
      <c r="O2559">
        <f>HYPERLINK("https://dart.fss.or.kr/dsaf001/main.do?rcpNo=20250731800492", "공시열람")</f>
        <v/>
      </c>
    </row>
    <row r="2560">
      <c r="A2560" t="inlineStr">
        <is>
          <t>2025-07-31</t>
        </is>
      </c>
      <c r="B2560" t="inlineStr">
        <is>
          <t>한독</t>
        </is>
      </c>
      <c r="C2560" t="inlineStr">
        <is>
          <t>002390</t>
        </is>
      </c>
      <c r="D2560" t="inlineStr">
        <is>
          <t>별도</t>
        </is>
      </c>
      <c r="E2560" t="inlineStr">
        <is>
          <t>2025Q2</t>
        </is>
      </c>
      <c r="F2560" s="2" t="n">
        <v>125286</v>
      </c>
      <c r="G2560" t="n">
        <v>5.78</v>
      </c>
      <c r="H2560" t="n">
        <v>-1.2</v>
      </c>
      <c r="I2560" s="2" t="n">
        <v>-572</v>
      </c>
      <c r="J2560" t="n">
        <v>64.84999999999999</v>
      </c>
      <c r="K2560" t="inlineStr"/>
      <c r="L2560" s="2" t="n">
        <v>1903</v>
      </c>
      <c r="M2560" t="inlineStr"/>
      <c r="N2560" t="inlineStr">
        <is>
          <t>20250731800502</t>
        </is>
      </c>
      <c r="O2560">
        <f>HYPERLINK("https://dart.fss.or.kr/dsaf001/main.do?rcpNo=20250731800502", "공시열람")</f>
        <v/>
      </c>
    </row>
    <row r="2561">
      <c r="A2561" t="inlineStr">
        <is>
          <t>2025-07-31</t>
        </is>
      </c>
      <c r="B2561" t="inlineStr">
        <is>
          <t>파트론</t>
        </is>
      </c>
      <c r="C2561" t="inlineStr">
        <is>
          <t>091700</t>
        </is>
      </c>
      <c r="D2561" t="inlineStr">
        <is>
          <t>연결</t>
        </is>
      </c>
      <c r="E2561" t="inlineStr">
        <is>
          <t>2025Q2</t>
        </is>
      </c>
      <c r="F2561" s="2" t="n">
        <v>301496</v>
      </c>
      <c r="G2561" t="inlineStr"/>
      <c r="H2561" t="inlineStr"/>
      <c r="I2561" s="2" t="n">
        <v>6433</v>
      </c>
      <c r="J2561" t="inlineStr"/>
      <c r="K2561" t="inlineStr"/>
      <c r="L2561" s="2" t="n">
        <v>-1792</v>
      </c>
      <c r="M2561" t="inlineStr"/>
      <c r="N2561" t="inlineStr">
        <is>
          <t>20250731900430</t>
        </is>
      </c>
      <c r="O2561">
        <f>HYPERLINK("https://dart.fss.or.kr/dsaf001/main.do?rcpNo=20250731900430", "공시열람")</f>
        <v/>
      </c>
    </row>
    <row r="2562">
      <c r="A2562" t="inlineStr">
        <is>
          <t>2025-07-31</t>
        </is>
      </c>
      <c r="B2562" t="inlineStr">
        <is>
          <t>엘컴텍</t>
        </is>
      </c>
      <c r="C2562" t="inlineStr">
        <is>
          <t>037950</t>
        </is>
      </c>
      <c r="D2562" t="inlineStr">
        <is>
          <t>연결</t>
        </is>
      </c>
      <c r="E2562" t="inlineStr">
        <is>
          <t>2025Q2</t>
        </is>
      </c>
      <c r="F2562" s="2" t="n">
        <v>12028</v>
      </c>
      <c r="G2562" t="inlineStr"/>
      <c r="H2562" t="inlineStr"/>
      <c r="I2562" s="2" t="n">
        <v>676</v>
      </c>
      <c r="J2562" t="inlineStr"/>
      <c r="K2562" t="inlineStr"/>
      <c r="L2562" s="2" t="n">
        <v>-7</v>
      </c>
      <c r="M2562" t="inlineStr"/>
      <c r="N2562" t="inlineStr">
        <is>
          <t>20250731900456</t>
        </is>
      </c>
      <c r="O2562">
        <f>HYPERLINK("https://dart.fss.or.kr/dsaf001/main.do?rcpNo=20250731900456", "공시열람")</f>
        <v/>
      </c>
    </row>
    <row r="2563">
      <c r="A2563" t="inlineStr">
        <is>
          <t>2025-07-31</t>
        </is>
      </c>
      <c r="B2563" t="inlineStr">
        <is>
          <t>애경산업</t>
        </is>
      </c>
      <c r="C2563" t="inlineStr">
        <is>
          <t>018250</t>
        </is>
      </c>
      <c r="D2563" t="inlineStr">
        <is>
          <t>연결</t>
        </is>
      </c>
      <c r="E2563" t="inlineStr">
        <is>
          <t>2025Q2</t>
        </is>
      </c>
      <c r="F2563" s="2" t="n">
        <v>171311</v>
      </c>
      <c r="G2563" t="inlineStr"/>
      <c r="H2563" t="inlineStr"/>
      <c r="I2563" s="2" t="n">
        <v>11154</v>
      </c>
      <c r="J2563" t="inlineStr"/>
      <c r="K2563" t="inlineStr"/>
      <c r="L2563" s="2" t="n">
        <v>11118</v>
      </c>
      <c r="M2563" t="inlineStr"/>
      <c r="N2563" t="inlineStr">
        <is>
          <t>20250731800482</t>
        </is>
      </c>
      <c r="O2563">
        <f>HYPERLINK("https://dart.fss.or.kr/dsaf001/main.do?rcpNo=20250731800482", "공시열람")</f>
        <v/>
      </c>
    </row>
    <row r="2564">
      <c r="A2564" t="inlineStr">
        <is>
          <t>2025-07-31</t>
        </is>
      </c>
      <c r="B2564" t="inlineStr">
        <is>
          <t>LG생활건강</t>
        </is>
      </c>
      <c r="C2564" t="inlineStr">
        <is>
          <t>051900</t>
        </is>
      </c>
      <c r="D2564" t="inlineStr">
        <is>
          <t>연결</t>
        </is>
      </c>
      <c r="E2564" t="inlineStr">
        <is>
          <t>2025Q2</t>
        </is>
      </c>
      <c r="F2564" s="2" t="n">
        <v>1604900</v>
      </c>
      <c r="G2564" t="inlineStr"/>
      <c r="H2564" t="inlineStr"/>
      <c r="I2564" s="2" t="n">
        <v>54800</v>
      </c>
      <c r="J2564" t="inlineStr"/>
      <c r="K2564" t="inlineStr"/>
      <c r="L2564" s="2" t="n">
        <v>38600</v>
      </c>
      <c r="M2564" t="inlineStr"/>
      <c r="N2564" t="inlineStr">
        <is>
          <t>20250731800433</t>
        </is>
      </c>
      <c r="O2564">
        <f>HYPERLINK("https://dart.fss.or.kr/dsaf001/main.do?rcpNo=20250731800433", "공시열람")</f>
        <v/>
      </c>
    </row>
    <row r="2565">
      <c r="A2565" t="inlineStr">
        <is>
          <t>2025-07-31</t>
        </is>
      </c>
      <c r="B2565" t="inlineStr">
        <is>
          <t>F&amp;F</t>
        </is>
      </c>
      <c r="C2565" t="inlineStr">
        <is>
          <t>383220</t>
        </is>
      </c>
      <c r="D2565" t="inlineStr">
        <is>
          <t>연결</t>
        </is>
      </c>
      <c r="E2565" t="inlineStr">
        <is>
          <t>2025Q2</t>
        </is>
      </c>
      <c r="F2565" s="2" t="n">
        <v>378871</v>
      </c>
      <c r="G2565" t="inlineStr"/>
      <c r="H2565" t="inlineStr"/>
      <c r="I2565" s="2" t="n">
        <v>84030</v>
      </c>
      <c r="J2565" t="inlineStr"/>
      <c r="K2565" t="inlineStr"/>
      <c r="L2565" s="2" t="n">
        <v>62639</v>
      </c>
      <c r="M2565" t="inlineStr"/>
      <c r="N2565" t="inlineStr">
        <is>
          <t>20250731800426</t>
        </is>
      </c>
      <c r="O2565">
        <f>HYPERLINK("https://dart.fss.or.kr/dsaf001/main.do?rcpNo=20250731800426", "공시열람")</f>
        <v/>
      </c>
    </row>
    <row r="2566">
      <c r="A2566" t="inlineStr">
        <is>
          <t>2025-07-31</t>
        </is>
      </c>
      <c r="B2566" t="inlineStr">
        <is>
          <t>SK바이오사이언스</t>
        </is>
      </c>
      <c r="C2566" t="inlineStr">
        <is>
          <t>302440</t>
        </is>
      </c>
      <c r="D2566" t="inlineStr">
        <is>
          <t>연결</t>
        </is>
      </c>
      <c r="E2566" t="inlineStr">
        <is>
          <t>2025Q2</t>
        </is>
      </c>
      <c r="F2566" s="2" t="n">
        <v>161860</v>
      </c>
      <c r="G2566" t="n">
        <v>4.7</v>
      </c>
      <c r="H2566" t="n">
        <v>504.5</v>
      </c>
      <c r="I2566" s="2" t="n">
        <v>-37395</v>
      </c>
      <c r="J2566" t="n">
        <v>-147.2</v>
      </c>
      <c r="K2566" t="n">
        <v>-87.5</v>
      </c>
      <c r="L2566" s="2" t="n">
        <v>-16779</v>
      </c>
      <c r="M2566" t="n">
        <v>-47.1</v>
      </c>
      <c r="N2566" t="inlineStr">
        <is>
          <t>20250731800421</t>
        </is>
      </c>
      <c r="O2566">
        <f>HYPERLINK("https://dart.fss.or.kr/dsaf001/main.do?rcpNo=20250731800421", "공시열람")</f>
        <v/>
      </c>
    </row>
    <row r="2567">
      <c r="A2567" t="inlineStr">
        <is>
          <t>2025-07-31</t>
        </is>
      </c>
      <c r="B2567" t="inlineStr">
        <is>
          <t>POSCO홀딩스</t>
        </is>
      </c>
      <c r="C2567" t="inlineStr">
        <is>
          <t>005490</t>
        </is>
      </c>
      <c r="D2567" t="inlineStr">
        <is>
          <t>별도</t>
        </is>
      </c>
      <c r="E2567" t="inlineStr">
        <is>
          <t>2025Q2</t>
        </is>
      </c>
      <c r="F2567" s="2" t="n">
        <v>9</v>
      </c>
      <c r="G2567" t="inlineStr"/>
      <c r="H2567" t="inlineStr"/>
      <c r="I2567" s="2" t="n">
        <v>1</v>
      </c>
      <c r="J2567" t="inlineStr"/>
      <c r="K2567" t="inlineStr"/>
      <c r="L2567" s="2" t="n">
        <v>0</v>
      </c>
      <c r="M2567" t="inlineStr"/>
      <c r="N2567" t="inlineStr">
        <is>
          <t>20250731800280</t>
        </is>
      </c>
      <c r="O2567">
        <f>HYPERLINK("https://dart.fss.or.kr/dsaf001/main.do?rcpNo=20250731800280", "공시열람")</f>
        <v/>
      </c>
    </row>
    <row r="2568">
      <c r="A2568" t="inlineStr">
        <is>
          <t>2025-07-31</t>
        </is>
      </c>
      <c r="B2568" t="inlineStr">
        <is>
          <t>삼성SDI</t>
        </is>
      </c>
      <c r="C2568" t="inlineStr">
        <is>
          <t>006400</t>
        </is>
      </c>
      <c r="D2568" t="inlineStr">
        <is>
          <t>연결</t>
        </is>
      </c>
      <c r="E2568" t="inlineStr">
        <is>
          <t>2025Q2</t>
        </is>
      </c>
      <c r="F2568" s="2" t="n">
        <v>3179400</v>
      </c>
      <c r="G2568" t="n">
        <v>0.08</v>
      </c>
      <c r="H2568" t="n">
        <v>-22.19</v>
      </c>
      <c r="I2568" s="2" t="n">
        <v>-397800</v>
      </c>
      <c r="J2568" t="inlineStr"/>
      <c r="K2568" t="inlineStr"/>
      <c r="L2568" s="2" t="n">
        <v>-166700</v>
      </c>
      <c r="M2568" t="inlineStr"/>
      <c r="N2568" t="inlineStr">
        <is>
          <t>20250731800402</t>
        </is>
      </c>
      <c r="O2568">
        <f>HYPERLINK("https://dart.fss.or.kr/dsaf001/main.do?rcpNo=20250731800402", "공시열람")</f>
        <v/>
      </c>
    </row>
    <row r="2569">
      <c r="A2569" t="inlineStr">
        <is>
          <t>2025-07-31</t>
        </is>
      </c>
      <c r="B2569" t="inlineStr">
        <is>
          <t>라온로보틱스</t>
        </is>
      </c>
      <c r="C2569" t="inlineStr">
        <is>
          <t>232680</t>
        </is>
      </c>
      <c r="D2569" t="inlineStr">
        <is>
          <t>별도</t>
        </is>
      </c>
      <c r="E2569" t="inlineStr">
        <is>
          <t>2025Q2</t>
        </is>
      </c>
      <c r="F2569" s="2" t="n">
        <v>13632</v>
      </c>
      <c r="G2569" t="inlineStr"/>
      <c r="H2569" t="inlineStr"/>
      <c r="I2569" s="2" t="n">
        <v>1778</v>
      </c>
      <c r="J2569" t="inlineStr"/>
      <c r="K2569" t="inlineStr"/>
      <c r="L2569" s="2" t="n">
        <v>943</v>
      </c>
      <c r="M2569" t="inlineStr"/>
      <c r="N2569" t="inlineStr">
        <is>
          <t>20250731900271</t>
        </is>
      </c>
      <c r="O2569">
        <f>HYPERLINK("https://dart.fss.or.kr/dsaf001/main.do?rcpNo=20250731900271", "공시열람")</f>
        <v/>
      </c>
    </row>
    <row r="2570">
      <c r="A2570" t="inlineStr">
        <is>
          <t>2025-07-31</t>
        </is>
      </c>
      <c r="B2570" t="inlineStr">
        <is>
          <t>윈스테크넷</t>
        </is>
      </c>
      <c r="C2570" t="inlineStr">
        <is>
          <t>136540</t>
        </is>
      </c>
      <c r="D2570" t="inlineStr">
        <is>
          <t>별도</t>
        </is>
      </c>
      <c r="E2570" t="inlineStr">
        <is>
          <t>2025Q2</t>
        </is>
      </c>
      <c r="F2570" s="2" t="n">
        <v>19802</v>
      </c>
      <c r="G2570" t="inlineStr"/>
      <c r="H2570" t="inlineStr"/>
      <c r="I2570" s="2" t="n">
        <v>4219</v>
      </c>
      <c r="J2570" t="inlineStr"/>
      <c r="K2570" t="inlineStr"/>
      <c r="L2570" s="2" t="n">
        <v>3524</v>
      </c>
      <c r="M2570" t="inlineStr"/>
      <c r="N2570" t="inlineStr">
        <is>
          <t>20250731900253</t>
        </is>
      </c>
      <c r="O2570">
        <f>HYPERLINK("https://dart.fss.or.kr/dsaf001/main.do?rcpNo=20250731900253", "공시열람")</f>
        <v/>
      </c>
    </row>
    <row r="2571">
      <c r="A2571" t="inlineStr">
        <is>
          <t>2025-07-31</t>
        </is>
      </c>
      <c r="B2571" t="inlineStr">
        <is>
          <t>하츠</t>
        </is>
      </c>
      <c r="C2571" t="inlineStr">
        <is>
          <t>066130</t>
        </is>
      </c>
      <c r="D2571" t="inlineStr">
        <is>
          <t>별도</t>
        </is>
      </c>
      <c r="E2571" t="inlineStr">
        <is>
          <t>2025Q2</t>
        </is>
      </c>
      <c r="F2571" s="2" t="n">
        <v>48077</v>
      </c>
      <c r="G2571" t="inlineStr"/>
      <c r="H2571" t="inlineStr"/>
      <c r="I2571" s="2" t="n">
        <v>3298</v>
      </c>
      <c r="J2571" t="inlineStr"/>
      <c r="K2571" t="inlineStr"/>
      <c r="L2571" s="2" t="n">
        <v>3403</v>
      </c>
      <c r="M2571" t="inlineStr"/>
      <c r="N2571" t="inlineStr">
        <is>
          <t>20250731900269</t>
        </is>
      </c>
      <c r="O2571">
        <f>HYPERLINK("https://dart.fss.or.kr/dsaf001/main.do?rcpNo=20250731900269", "공시열람")</f>
        <v/>
      </c>
    </row>
    <row r="2572">
      <c r="A2572" t="inlineStr">
        <is>
          <t>2025-07-31</t>
        </is>
      </c>
      <c r="B2572" t="inlineStr">
        <is>
          <t>HD한국조선해양</t>
        </is>
      </c>
      <c r="C2572" t="inlineStr">
        <is>
          <t>009540</t>
        </is>
      </c>
      <c r="D2572" t="inlineStr">
        <is>
          <t>별도</t>
        </is>
      </c>
      <c r="E2572" t="inlineStr">
        <is>
          <t>2025Q2</t>
        </is>
      </c>
      <c r="F2572" s="2" t="n">
        <v>2118700</v>
      </c>
      <c r="G2572" t="n">
        <v>7.7</v>
      </c>
      <c r="H2572" t="n">
        <v>17</v>
      </c>
      <c r="I2572" s="2" t="n">
        <v>371700</v>
      </c>
      <c r="J2572" t="n">
        <v>1.6</v>
      </c>
      <c r="K2572" t="n">
        <v>111.8</v>
      </c>
      <c r="L2572" s="2" t="n">
        <v>195500</v>
      </c>
      <c r="M2572" t="n">
        <v>22.7</v>
      </c>
      <c r="N2572" t="inlineStr">
        <is>
          <t>20250731800217</t>
        </is>
      </c>
      <c r="O2572">
        <f>HYPERLINK("https://dart.fss.or.kr/dsaf001/main.do?rcpNo=20250731800217", "공시열람")</f>
        <v/>
      </c>
    </row>
    <row r="2573">
      <c r="A2573" t="inlineStr">
        <is>
          <t>2025-07-31</t>
        </is>
      </c>
      <c r="B2573" t="inlineStr">
        <is>
          <t>HD현대마린엔진</t>
        </is>
      </c>
      <c r="C2573" t="inlineStr">
        <is>
          <t>071970</t>
        </is>
      </c>
      <c r="D2573" t="inlineStr">
        <is>
          <t>연결</t>
        </is>
      </c>
      <c r="E2573" t="inlineStr">
        <is>
          <t>2025Q2</t>
        </is>
      </c>
      <c r="F2573" s="2" t="n">
        <v>99233</v>
      </c>
      <c r="G2573" t="n">
        <v>19.5</v>
      </c>
      <c r="H2573" t="n">
        <v>16.6</v>
      </c>
      <c r="I2573" s="2" t="n">
        <v>17462</v>
      </c>
      <c r="J2573" t="n">
        <v>70</v>
      </c>
      <c r="K2573" t="n">
        <v>93.90000000000001</v>
      </c>
      <c r="L2573" s="2" t="n">
        <v>16559</v>
      </c>
      <c r="M2573" t="n">
        <v>76.5</v>
      </c>
      <c r="N2573" t="inlineStr">
        <is>
          <t>20250731800213</t>
        </is>
      </c>
      <c r="O2573">
        <f>HYPERLINK("https://dart.fss.or.kr/dsaf001/main.do?rcpNo=20250731800213", "공시열람")</f>
        <v/>
      </c>
    </row>
    <row r="2574">
      <c r="A2574" t="inlineStr">
        <is>
          <t>2025-07-31</t>
        </is>
      </c>
      <c r="B2574" t="inlineStr">
        <is>
          <t>폰드그룹</t>
        </is>
      </c>
      <c r="C2574" t="inlineStr">
        <is>
          <t>472850</t>
        </is>
      </c>
      <c r="D2574" t="inlineStr">
        <is>
          <t>연결</t>
        </is>
      </c>
      <c r="E2574" t="inlineStr">
        <is>
          <t>2025Q2</t>
        </is>
      </c>
      <c r="F2574" s="2" t="n">
        <v>112016</v>
      </c>
      <c r="G2574" t="inlineStr"/>
      <c r="H2574" t="inlineStr"/>
      <c r="I2574" s="2" t="n">
        <v>15408</v>
      </c>
      <c r="J2574" t="inlineStr"/>
      <c r="K2574" t="inlineStr"/>
      <c r="L2574" s="2" t="n">
        <v>11595</v>
      </c>
      <c r="M2574" t="inlineStr"/>
      <c r="N2574" t="inlineStr">
        <is>
          <t>20250731900196</t>
        </is>
      </c>
      <c r="O2574">
        <f>HYPERLINK("https://dart.fss.or.kr/dsaf001/main.do?rcpNo=20250731900196", "공시열람")</f>
        <v/>
      </c>
    </row>
    <row r="2575">
      <c r="A2575" t="inlineStr">
        <is>
          <t>2025-07-31</t>
        </is>
      </c>
      <c r="B2575" t="inlineStr">
        <is>
          <t>포스코인터내셔널</t>
        </is>
      </c>
      <c r="C2575" t="inlineStr">
        <is>
          <t>047050</t>
        </is>
      </c>
      <c r="D2575" t="inlineStr">
        <is>
          <t>연결</t>
        </is>
      </c>
      <c r="E2575" t="inlineStr">
        <is>
          <t>2025Q2</t>
        </is>
      </c>
      <c r="F2575" s="2" t="n">
        <v>8144100</v>
      </c>
      <c r="G2575" t="inlineStr"/>
      <c r="H2575" t="inlineStr"/>
      <c r="I2575" s="2" t="n">
        <v>313700</v>
      </c>
      <c r="J2575" t="inlineStr"/>
      <c r="K2575" t="inlineStr"/>
      <c r="L2575" s="2" t="n">
        <v>90500</v>
      </c>
      <c r="M2575" t="inlineStr"/>
      <c r="N2575" t="inlineStr">
        <is>
          <t>20250731800180</t>
        </is>
      </c>
      <c r="O2575">
        <f>HYPERLINK("https://dart.fss.or.kr/dsaf001/main.do?rcpNo=20250731800180", "공시열람")</f>
        <v/>
      </c>
    </row>
    <row r="2576">
      <c r="A2576" t="inlineStr">
        <is>
          <t>2025-07-31</t>
        </is>
      </c>
      <c r="B2576" t="inlineStr">
        <is>
          <t>세아베스틸지주</t>
        </is>
      </c>
      <c r="C2576" t="inlineStr">
        <is>
          <t>001430</t>
        </is>
      </c>
      <c r="D2576" t="inlineStr">
        <is>
          <t>연결</t>
        </is>
      </c>
      <c r="E2576" t="inlineStr">
        <is>
          <t>2025Q2</t>
        </is>
      </c>
      <c r="F2576" s="2" t="n">
        <v>964508</v>
      </c>
      <c r="G2576" t="n">
        <v>7.2</v>
      </c>
      <c r="H2576" t="n">
        <v>-0.6</v>
      </c>
      <c r="I2576" s="2" t="n">
        <v>44631</v>
      </c>
      <c r="J2576" t="n">
        <v>146.5</v>
      </c>
      <c r="K2576" t="n">
        <v>-29.9</v>
      </c>
      <c r="L2576" s="2" t="n">
        <v>18319</v>
      </c>
      <c r="M2576" t="n">
        <v>-60.7</v>
      </c>
      <c r="N2576" t="inlineStr">
        <is>
          <t>20250731800122</t>
        </is>
      </c>
      <c r="O2576">
        <f>HYPERLINK("https://dart.fss.or.kr/dsaf001/main.do?rcpNo=20250731800122", "공시열람")</f>
        <v/>
      </c>
    </row>
    <row r="2577">
      <c r="A2577" t="inlineStr">
        <is>
          <t>2025-07-31</t>
        </is>
      </c>
      <c r="B2577" t="inlineStr">
        <is>
          <t>HD한국조선해양</t>
        </is>
      </c>
      <c r="C2577" t="inlineStr">
        <is>
          <t>009540</t>
        </is>
      </c>
      <c r="D2577" t="inlineStr">
        <is>
          <t>연결</t>
        </is>
      </c>
      <c r="E2577" t="inlineStr">
        <is>
          <t>2025Q2</t>
        </is>
      </c>
      <c r="F2577" s="2" t="n">
        <v>7428400</v>
      </c>
      <c r="G2577" t="n">
        <v>9.699999999999999</v>
      </c>
      <c r="H2577" t="n">
        <v>12.3</v>
      </c>
      <c r="I2577" s="2" t="n">
        <v>953600</v>
      </c>
      <c r="J2577" t="n">
        <v>11</v>
      </c>
      <c r="K2577" t="n">
        <v>153.3</v>
      </c>
      <c r="L2577" s="2" t="n">
        <v>447100</v>
      </c>
      <c r="M2577" t="n">
        <v>25</v>
      </c>
      <c r="N2577" t="inlineStr">
        <is>
          <t>20250731800222</t>
        </is>
      </c>
      <c r="O2577">
        <f>HYPERLINK("https://dart.fss.or.kr/dsaf001/main.do?rcpNo=20250731800222", "공시열람")</f>
        <v/>
      </c>
    </row>
    <row r="2578">
      <c r="A2578" t="inlineStr">
        <is>
          <t>2025-07-31</t>
        </is>
      </c>
      <c r="B2578" t="inlineStr">
        <is>
          <t>HD한국조선해양</t>
        </is>
      </c>
      <c r="C2578" t="inlineStr">
        <is>
          <t>009540</t>
        </is>
      </c>
      <c r="D2578" t="inlineStr">
        <is>
          <t>별도</t>
        </is>
      </c>
      <c r="E2578" t="inlineStr">
        <is>
          <t>2025Q2</t>
        </is>
      </c>
      <c r="F2578" s="2" t="n">
        <v>140300</v>
      </c>
      <c r="G2578" t="n">
        <v>-74.59999999999999</v>
      </c>
      <c r="H2578" t="n">
        <v>32.4</v>
      </c>
      <c r="I2578" s="2" t="n">
        <v>-9200</v>
      </c>
      <c r="J2578" t="inlineStr"/>
      <c r="K2578" t="n">
        <v>-104.4</v>
      </c>
      <c r="L2578" s="2" t="n">
        <v>-15200</v>
      </c>
      <c r="M2578" t="inlineStr"/>
      <c r="N2578" t="inlineStr">
        <is>
          <t>20250731800225</t>
        </is>
      </c>
      <c r="O2578">
        <f>HYPERLINK("https://dart.fss.or.kr/dsaf001/main.do?rcpNo=20250731800225", "공시열람")</f>
        <v/>
      </c>
    </row>
    <row r="2579">
      <c r="A2579" t="inlineStr">
        <is>
          <t>2025-07-31</t>
        </is>
      </c>
      <c r="B2579" t="inlineStr">
        <is>
          <t>HD현대중공업</t>
        </is>
      </c>
      <c r="C2579" t="inlineStr">
        <is>
          <t>329180</t>
        </is>
      </c>
      <c r="D2579" t="inlineStr">
        <is>
          <t>연결</t>
        </is>
      </c>
      <c r="E2579" t="inlineStr">
        <is>
          <t>2025Q2</t>
        </is>
      </c>
      <c r="F2579" s="2" t="n">
        <v>4147100</v>
      </c>
      <c r="G2579" t="n">
        <v>8.5</v>
      </c>
      <c r="H2579" t="n">
        <v>6.8</v>
      </c>
      <c r="I2579" s="2" t="n">
        <v>471500</v>
      </c>
      <c r="J2579" t="n">
        <v>8.699999999999999</v>
      </c>
      <c r="K2579" t="n">
        <v>141.1</v>
      </c>
      <c r="L2579" s="2" t="n">
        <v>210900</v>
      </c>
      <c r="M2579" t="n">
        <v>36.9</v>
      </c>
      <c r="N2579" t="inlineStr">
        <is>
          <t>20250731800226</t>
        </is>
      </c>
      <c r="O2579">
        <f>HYPERLINK("https://dart.fss.or.kr/dsaf001/main.do?rcpNo=20250731800226", "공시열람")</f>
        <v/>
      </c>
    </row>
    <row r="2580">
      <c r="A2580" t="inlineStr">
        <is>
          <t>2025-07-31</t>
        </is>
      </c>
      <c r="B2580" t="inlineStr">
        <is>
          <t>HD현대중공업</t>
        </is>
      </c>
      <c r="C2580" t="inlineStr">
        <is>
          <t>329180</t>
        </is>
      </c>
      <c r="D2580" t="inlineStr">
        <is>
          <t>별도</t>
        </is>
      </c>
      <c r="E2580" t="inlineStr">
        <is>
          <t>2025Q2</t>
        </is>
      </c>
      <c r="F2580" s="2" t="n">
        <v>4145000</v>
      </c>
      <c r="G2580" t="n">
        <v>8.5</v>
      </c>
      <c r="H2580" t="n">
        <v>6.8</v>
      </c>
      <c r="I2580" s="2" t="n">
        <v>469200</v>
      </c>
      <c r="J2580" t="n">
        <v>7.7</v>
      </c>
      <c r="K2580" t="n">
        <v>142.1</v>
      </c>
      <c r="L2580" s="2" t="n">
        <v>209100</v>
      </c>
      <c r="M2580" t="n">
        <v>37.3</v>
      </c>
      <c r="N2580" t="inlineStr">
        <is>
          <t>20250731800231</t>
        </is>
      </c>
      <c r="O2580">
        <f>HYPERLINK("https://dart.fss.or.kr/dsaf001/main.do?rcpNo=20250731800231", "공시열람")</f>
        <v/>
      </c>
    </row>
    <row r="2581">
      <c r="A2581" t="inlineStr">
        <is>
          <t>2025-07-31</t>
        </is>
      </c>
      <c r="B2581" t="inlineStr">
        <is>
          <t>아바텍</t>
        </is>
      </c>
      <c r="C2581" t="inlineStr">
        <is>
          <t>149950</t>
        </is>
      </c>
      <c r="D2581" t="inlineStr">
        <is>
          <t>별도</t>
        </is>
      </c>
      <c r="E2581" t="inlineStr">
        <is>
          <t>2025Q2</t>
        </is>
      </c>
      <c r="F2581" s="2" t="n">
        <v>18423</v>
      </c>
      <c r="G2581" t="inlineStr"/>
      <c r="H2581" t="inlineStr"/>
      <c r="I2581" s="2" t="n">
        <v>1320</v>
      </c>
      <c r="J2581" t="inlineStr"/>
      <c r="K2581" t="inlineStr"/>
      <c r="L2581" s="2" t="n">
        <v>1649</v>
      </c>
      <c r="M2581" t="inlineStr"/>
      <c r="N2581" t="inlineStr">
        <is>
          <t>20250731900237</t>
        </is>
      </c>
      <c r="O2581">
        <f>HYPERLINK("https://dart.fss.or.kr/dsaf001/main.do?rcpNo=20250731900237", "공시열람")</f>
        <v/>
      </c>
    </row>
    <row r="2582">
      <c r="A2582" t="inlineStr">
        <is>
          <t>2025-07-31</t>
        </is>
      </c>
      <c r="B2582" t="inlineStr">
        <is>
          <t>한화비전</t>
        </is>
      </c>
      <c r="C2582" t="inlineStr">
        <is>
          <t>489790</t>
        </is>
      </c>
      <c r="D2582" t="inlineStr">
        <is>
          <t>연결</t>
        </is>
      </c>
      <c r="E2582" t="inlineStr">
        <is>
          <t>2025Q2</t>
        </is>
      </c>
      <c r="F2582" s="2" t="n">
        <v>457162</v>
      </c>
      <c r="G2582" t="n">
        <v>1.2</v>
      </c>
      <c r="H2582" t="inlineStr"/>
      <c r="I2582" s="2" t="n">
        <v>56268</v>
      </c>
      <c r="J2582" t="n">
        <v>27</v>
      </c>
      <c r="K2582" t="inlineStr"/>
      <c r="L2582" s="2" t="n">
        <v>-10188</v>
      </c>
      <c r="M2582" t="inlineStr"/>
      <c r="N2582" t="inlineStr">
        <is>
          <t>20250731800115</t>
        </is>
      </c>
      <c r="O2582">
        <f>HYPERLINK("https://dart.fss.or.kr/dsaf001/main.do?rcpNo=20250731800115", "공시열람")</f>
        <v/>
      </c>
    </row>
    <row r="2583">
      <c r="A2583" t="inlineStr">
        <is>
          <t>2025-07-31</t>
        </is>
      </c>
      <c r="B2583" t="inlineStr">
        <is>
          <t>윈스테크넷</t>
        </is>
      </c>
      <c r="C2583" t="inlineStr">
        <is>
          <t>136540</t>
        </is>
      </c>
      <c r="D2583" t="inlineStr">
        <is>
          <t>연결</t>
        </is>
      </c>
      <c r="E2583" t="inlineStr">
        <is>
          <t>2025Q2</t>
        </is>
      </c>
      <c r="F2583" s="2" t="n">
        <v>21949</v>
      </c>
      <c r="G2583" t="inlineStr"/>
      <c r="H2583" t="inlineStr"/>
      <c r="I2583" s="2" t="n">
        <v>4675</v>
      </c>
      <c r="J2583" t="inlineStr"/>
      <c r="K2583" t="inlineStr"/>
      <c r="L2583" s="2" t="n">
        <v>3841</v>
      </c>
      <c r="M2583" t="inlineStr"/>
      <c r="N2583" t="inlineStr">
        <is>
          <t>20250731900247</t>
        </is>
      </c>
      <c r="O2583">
        <f>HYPERLINK("https://dart.fss.or.kr/dsaf001/main.do?rcpNo=20250731900247", "공시열람")</f>
        <v/>
      </c>
    </row>
    <row r="2584">
      <c r="A2584" t="inlineStr">
        <is>
          <t>2025-07-31</t>
        </is>
      </c>
      <c r="B2584" t="inlineStr">
        <is>
          <t>팬오션</t>
        </is>
      </c>
      <c r="C2584" t="inlineStr">
        <is>
          <t>028670</t>
        </is>
      </c>
      <c r="D2584" t="inlineStr">
        <is>
          <t>연결</t>
        </is>
      </c>
      <c r="E2584" t="inlineStr">
        <is>
          <t>2025Q2</t>
        </is>
      </c>
      <c r="F2584" s="2" t="n">
        <v>1293600</v>
      </c>
      <c r="G2584" t="n">
        <v>-7.2</v>
      </c>
      <c r="H2584" t="n">
        <v>4.9</v>
      </c>
      <c r="I2584" s="2" t="n">
        <v>123000</v>
      </c>
      <c r="J2584" t="n">
        <v>8.6</v>
      </c>
      <c r="K2584" t="n">
        <v>-9</v>
      </c>
      <c r="L2584" s="2" t="n">
        <v>122800</v>
      </c>
      <c r="M2584" t="n">
        <v>12</v>
      </c>
      <c r="N2584" t="inlineStr">
        <is>
          <t>20250731800114</t>
        </is>
      </c>
      <c r="O2584">
        <f>HYPERLINK("https://dart.fss.or.kr/dsaf001/main.do?rcpNo=20250731800114", "공시열람")</f>
        <v/>
      </c>
    </row>
    <row r="2585">
      <c r="A2585" t="inlineStr">
        <is>
          <t>2025-07-31</t>
        </is>
      </c>
      <c r="B2585" t="inlineStr">
        <is>
          <t>포스코DX</t>
        </is>
      </c>
      <c r="C2585" t="inlineStr">
        <is>
          <t>022100</t>
        </is>
      </c>
      <c r="D2585" t="inlineStr">
        <is>
          <t>연결</t>
        </is>
      </c>
      <c r="E2585" t="inlineStr">
        <is>
          <t>2025Q2</t>
        </is>
      </c>
      <c r="F2585" s="2" t="n">
        <v>272857</v>
      </c>
      <c r="G2585" t="n">
        <v>-8.1</v>
      </c>
      <c r="H2585" t="n">
        <v>-22.7</v>
      </c>
      <c r="I2585" s="2" t="n">
        <v>17082</v>
      </c>
      <c r="J2585" t="n">
        <v>-25.3</v>
      </c>
      <c r="K2585" t="n">
        <v>-29.8</v>
      </c>
      <c r="L2585" s="2" t="n">
        <v>14441</v>
      </c>
      <c r="M2585" t="n">
        <v>-29.2</v>
      </c>
      <c r="N2585" t="inlineStr">
        <is>
          <t>20250731800033</t>
        </is>
      </c>
      <c r="O2585">
        <f>HYPERLINK("https://dart.fss.or.kr/dsaf001/main.do?rcpNo=20250731800033", "공시열람")</f>
        <v/>
      </c>
    </row>
    <row r="2586">
      <c r="A2586" t="inlineStr">
        <is>
          <t>2025-07-31</t>
        </is>
      </c>
      <c r="B2586" t="inlineStr">
        <is>
          <t>NH투자증권</t>
        </is>
      </c>
      <c r="C2586" t="inlineStr">
        <is>
          <t>005940</t>
        </is>
      </c>
      <c r="D2586" t="inlineStr">
        <is>
          <t>연결</t>
        </is>
      </c>
      <c r="E2586" t="inlineStr">
        <is>
          <t>2025Q2</t>
        </is>
      </c>
      <c r="F2586" s="2" t="n">
        <v>4174260</v>
      </c>
      <c r="G2586" t="inlineStr"/>
      <c r="H2586" t="inlineStr"/>
      <c r="I2586" s="2" t="n">
        <v>321926</v>
      </c>
      <c r="J2586" t="inlineStr"/>
      <c r="K2586" t="inlineStr"/>
      <c r="L2586" s="2" t="n">
        <v>256890</v>
      </c>
      <c r="M2586" t="inlineStr"/>
      <c r="N2586" t="inlineStr">
        <is>
          <t>20250731800403</t>
        </is>
      </c>
      <c r="O2586">
        <f>HYPERLINK("https://dart.fss.or.kr/dsaf001/main.do?rcpNo=20250731800403", "공시열람")</f>
        <v/>
      </c>
    </row>
    <row r="2587">
      <c r="A2587" t="inlineStr">
        <is>
          <t>2025-07-31</t>
        </is>
      </c>
      <c r="B2587" t="inlineStr">
        <is>
          <t>동원시스템즈</t>
        </is>
      </c>
      <c r="C2587" t="inlineStr">
        <is>
          <t>014820</t>
        </is>
      </c>
      <c r="D2587" t="inlineStr">
        <is>
          <t>별도</t>
        </is>
      </c>
      <c r="E2587" t="inlineStr">
        <is>
          <t>2025Q2</t>
        </is>
      </c>
      <c r="F2587" s="2" t="n">
        <v>340736</v>
      </c>
      <c r="G2587" t="n">
        <v>9.550000000000001</v>
      </c>
      <c r="H2587" t="n">
        <v>7.14</v>
      </c>
      <c r="I2587" s="2" t="n">
        <v>22338</v>
      </c>
      <c r="J2587" t="n">
        <v>121.26</v>
      </c>
      <c r="K2587" t="n">
        <v>-17.68</v>
      </c>
      <c r="L2587" s="2" t="n">
        <v>31140</v>
      </c>
      <c r="M2587" t="n">
        <v>-36.04</v>
      </c>
      <c r="N2587" t="inlineStr">
        <is>
          <t>20250731800397</t>
        </is>
      </c>
      <c r="O2587">
        <f>HYPERLINK("https://dart.fss.or.kr/dsaf001/main.do?rcpNo=20250731800397", "공시열람")</f>
        <v/>
      </c>
    </row>
    <row r="2588">
      <c r="A2588" t="inlineStr">
        <is>
          <t>2025-07-31</t>
        </is>
      </c>
      <c r="B2588" t="inlineStr">
        <is>
          <t>삼성전기</t>
        </is>
      </c>
      <c r="C2588" t="inlineStr">
        <is>
          <t>009150</t>
        </is>
      </c>
      <c r="D2588" t="inlineStr">
        <is>
          <t>연결</t>
        </is>
      </c>
      <c r="E2588" t="inlineStr">
        <is>
          <t>2025Q2</t>
        </is>
      </c>
      <c r="F2588" s="2" t="n">
        <v>2784629</v>
      </c>
      <c r="G2588" t="inlineStr"/>
      <c r="H2588" t="inlineStr"/>
      <c r="I2588" s="2" t="n">
        <v>213008</v>
      </c>
      <c r="J2588" t="inlineStr"/>
      <c r="K2588" t="inlineStr"/>
      <c r="L2588" s="2" t="n">
        <v>137236</v>
      </c>
      <c r="M2588" t="inlineStr"/>
      <c r="N2588" t="inlineStr">
        <is>
          <t>20250731800024</t>
        </is>
      </c>
      <c r="O2588">
        <f>HYPERLINK("https://dart.fss.or.kr/dsaf001/main.do?rcpNo=20250731800024", "공시열람")</f>
        <v/>
      </c>
    </row>
    <row r="2589">
      <c r="A2589" t="inlineStr">
        <is>
          <t>2025-07-31</t>
        </is>
      </c>
      <c r="B2589" t="inlineStr">
        <is>
          <t>SK이노베이션</t>
        </is>
      </c>
      <c r="C2589" t="inlineStr">
        <is>
          <t>096770</t>
        </is>
      </c>
      <c r="D2589" t="inlineStr">
        <is>
          <t>연결</t>
        </is>
      </c>
      <c r="E2589" t="inlineStr">
        <is>
          <t>2025Q2</t>
        </is>
      </c>
      <c r="F2589" s="2" t="n">
        <v>19306626</v>
      </c>
      <c r="G2589" t="inlineStr"/>
      <c r="H2589" t="inlineStr"/>
      <c r="I2589" s="2" t="n">
        <v>-417568</v>
      </c>
      <c r="J2589" t="inlineStr"/>
      <c r="K2589" t="inlineStr"/>
      <c r="L2589" s="2" t="n">
        <v>-1032176</v>
      </c>
      <c r="M2589" t="inlineStr"/>
      <c r="N2589" t="inlineStr">
        <is>
          <t>20250731800040</t>
        </is>
      </c>
      <c r="O2589">
        <f>HYPERLINK("https://dart.fss.or.kr/dsaf001/main.do?rcpNo=20250731800040", "공시열람")</f>
        <v/>
      </c>
    </row>
    <row r="2590">
      <c r="A2590" t="inlineStr">
        <is>
          <t>2025-07-31</t>
        </is>
      </c>
      <c r="B2590" t="inlineStr">
        <is>
          <t>바이오니아</t>
        </is>
      </c>
      <c r="C2590" t="inlineStr">
        <is>
          <t>064550</t>
        </is>
      </c>
      <c r="D2590" t="inlineStr">
        <is>
          <t>연결</t>
        </is>
      </c>
      <c r="E2590" t="inlineStr">
        <is>
          <t>2025Q2</t>
        </is>
      </c>
      <c r="F2590" s="2" t="n">
        <v>88392</v>
      </c>
      <c r="G2590" t="inlineStr"/>
      <c r="H2590" t="inlineStr"/>
      <c r="I2590" s="2" t="n">
        <v>5554</v>
      </c>
      <c r="J2590" t="inlineStr"/>
      <c r="K2590" t="inlineStr"/>
      <c r="L2590" s="2" t="n">
        <v>603</v>
      </c>
      <c r="M2590" t="inlineStr"/>
      <c r="N2590" t="inlineStr">
        <is>
          <t>20250731900029</t>
        </is>
      </c>
      <c r="O2590">
        <f>HYPERLINK("https://dart.fss.or.kr/dsaf001/main.do?rcpNo=20250731900029", "공시열람")</f>
        <v/>
      </c>
    </row>
    <row r="2591">
      <c r="A2591" t="inlineStr">
        <is>
          <t>2025-07-31</t>
        </is>
      </c>
      <c r="B2591" t="inlineStr">
        <is>
          <t>삼성전자</t>
        </is>
      </c>
      <c r="C2591" t="inlineStr">
        <is>
          <t>005930</t>
        </is>
      </c>
      <c r="D2591" t="inlineStr">
        <is>
          <t>연결</t>
        </is>
      </c>
      <c r="E2591" t="inlineStr">
        <is>
          <t>2025Q2</t>
        </is>
      </c>
      <c r="F2591" s="2" t="n">
        <v>74566300</v>
      </c>
      <c r="G2591" t="n">
        <v>-5.78</v>
      </c>
      <c r="H2591" t="n">
        <v>0.67</v>
      </c>
      <c r="I2591" s="2" t="n">
        <v>4676100</v>
      </c>
      <c r="J2591" t="n">
        <v>-30.05</v>
      </c>
      <c r="K2591" t="n">
        <v>-55.23</v>
      </c>
      <c r="L2591" s="2" t="n">
        <v>5116400</v>
      </c>
      <c r="M2591" t="n">
        <v>-48.01</v>
      </c>
      <c r="N2591" t="inlineStr">
        <is>
          <t>20250731800027</t>
        </is>
      </c>
      <c r="O2591">
        <f>HYPERLINK("https://dart.fss.or.kr/dsaf001/main.do?rcpNo=20250731800027", "공시열람")</f>
        <v/>
      </c>
    </row>
    <row r="2592">
      <c r="A2592" t="inlineStr">
        <is>
          <t>2025-07-31</t>
        </is>
      </c>
      <c r="B2592" t="inlineStr">
        <is>
          <t>삼성전자</t>
        </is>
      </c>
      <c r="C2592" t="inlineStr">
        <is>
          <t>005930</t>
        </is>
      </c>
      <c r="D2592" t="inlineStr">
        <is>
          <t>연결</t>
        </is>
      </c>
      <c r="E2592" t="inlineStr">
        <is>
          <t>2025Q2</t>
        </is>
      </c>
      <c r="F2592" s="2" t="n">
        <v>75</v>
      </c>
      <c r="G2592" t="n">
        <v>-5.78</v>
      </c>
      <c r="H2592" t="n">
        <v>0.67</v>
      </c>
      <c r="I2592" s="2" t="n">
        <v>5</v>
      </c>
      <c r="J2592" t="n">
        <v>-30.05</v>
      </c>
      <c r="K2592" t="n">
        <v>-55.23</v>
      </c>
      <c r="L2592" s="2" t="inlineStr"/>
      <c r="M2592" t="inlineStr"/>
      <c r="N2592" t="inlineStr">
        <is>
          <t>20250731800034</t>
        </is>
      </c>
      <c r="O2592">
        <f>HYPERLINK("https://dart.fss.or.kr/dsaf001/main.do?rcpNo=20250731800034", "공시열람")</f>
        <v/>
      </c>
    </row>
    <row r="2593">
      <c r="A2593" t="inlineStr">
        <is>
          <t>2025-07-31</t>
        </is>
      </c>
      <c r="B2593" t="inlineStr">
        <is>
          <t>대웅제약</t>
        </is>
      </c>
      <c r="C2593" t="inlineStr">
        <is>
          <t>069620</t>
        </is>
      </c>
      <c r="D2593" t="inlineStr">
        <is>
          <t>별도</t>
        </is>
      </c>
      <c r="E2593" t="inlineStr">
        <is>
          <t>2025Q2</t>
        </is>
      </c>
      <c r="F2593" s="2" t="n">
        <v>363932</v>
      </c>
      <c r="G2593" t="inlineStr"/>
      <c r="H2593" t="inlineStr"/>
      <c r="I2593" s="2" t="n">
        <v>62509</v>
      </c>
      <c r="J2593" t="inlineStr"/>
      <c r="K2593" t="inlineStr"/>
      <c r="L2593" s="2" t="n">
        <v>48904</v>
      </c>
      <c r="M2593" t="inlineStr"/>
      <c r="N2593" t="inlineStr">
        <is>
          <t>20250731800042</t>
        </is>
      </c>
      <c r="O2593">
        <f>HYPERLINK("https://dart.fss.or.kr/dsaf001/main.do?rcpNo=20250731800042", "공시열람")</f>
        <v/>
      </c>
    </row>
    <row r="2594">
      <c r="A2594" t="inlineStr">
        <is>
          <t>2025-07-31</t>
        </is>
      </c>
      <c r="B2594" t="inlineStr">
        <is>
          <t>포스코스틸리온</t>
        </is>
      </c>
      <c r="C2594" t="inlineStr">
        <is>
          <t>058430</t>
        </is>
      </c>
      <c r="D2594" t="inlineStr">
        <is>
          <t>별도</t>
        </is>
      </c>
      <c r="E2594" t="inlineStr">
        <is>
          <t>2025Q2</t>
        </is>
      </c>
      <c r="F2594" s="2" t="n">
        <v>277000</v>
      </c>
      <c r="G2594" t="inlineStr"/>
      <c r="H2594" t="inlineStr"/>
      <c r="I2594" s="2" t="n">
        <v>4300</v>
      </c>
      <c r="J2594" t="inlineStr"/>
      <c r="K2594" t="inlineStr"/>
      <c r="L2594" s="2" t="n">
        <v>2900</v>
      </c>
      <c r="M2594" t="inlineStr"/>
      <c r="N2594" t="inlineStr">
        <is>
          <t>20250731800043</t>
        </is>
      </c>
      <c r="O2594">
        <f>HYPERLINK("https://dart.fss.or.kr/dsaf001/main.do?rcpNo=20250731800043", "공시열람")</f>
        <v/>
      </c>
    </row>
    <row r="2595">
      <c r="A2595" t="inlineStr">
        <is>
          <t>2025-07-31</t>
        </is>
      </c>
      <c r="B2595" t="inlineStr">
        <is>
          <t>포스코스틸리온</t>
        </is>
      </c>
      <c r="C2595" t="inlineStr">
        <is>
          <t>058430</t>
        </is>
      </c>
      <c r="D2595" t="inlineStr">
        <is>
          <t>연결</t>
        </is>
      </c>
      <c r="E2595" t="inlineStr">
        <is>
          <t>2025Q2</t>
        </is>
      </c>
      <c r="F2595" s="2" t="n">
        <v>284100</v>
      </c>
      <c r="G2595" t="inlineStr"/>
      <c r="H2595" t="inlineStr"/>
      <c r="I2595" s="2" t="n">
        <v>5500</v>
      </c>
      <c r="J2595" t="inlineStr"/>
      <c r="K2595" t="inlineStr"/>
      <c r="L2595" s="2" t="n">
        <v>4000</v>
      </c>
      <c r="M2595" t="inlineStr"/>
      <c r="N2595" t="inlineStr">
        <is>
          <t>20250731800044</t>
        </is>
      </c>
      <c r="O2595">
        <f>HYPERLINK("https://dart.fss.or.kr/dsaf001/main.do?rcpNo=20250731800044", "공시열람")</f>
        <v/>
      </c>
    </row>
    <row r="2596">
      <c r="A2596" t="inlineStr">
        <is>
          <t>2025-07-31</t>
        </is>
      </c>
      <c r="B2596" t="inlineStr">
        <is>
          <t>한화에어로스페이스</t>
        </is>
      </c>
      <c r="C2596" t="inlineStr">
        <is>
          <t>012450</t>
        </is>
      </c>
      <c r="D2596" t="inlineStr">
        <is>
          <t>연결</t>
        </is>
      </c>
      <c r="E2596" t="inlineStr">
        <is>
          <t>2025Q2</t>
        </is>
      </c>
      <c r="F2596" s="2" t="n">
        <v>6273500</v>
      </c>
      <c r="G2596" t="n">
        <v>14.4</v>
      </c>
      <c r="H2596" t="n">
        <v>168.7</v>
      </c>
      <c r="I2596" s="2" t="n">
        <v>864400</v>
      </c>
      <c r="J2596" t="n">
        <v>54.2</v>
      </c>
      <c r="K2596" t="n">
        <v>156.3</v>
      </c>
      <c r="L2596" s="2" t="n">
        <v>287700</v>
      </c>
      <c r="M2596" t="n">
        <v>79.90000000000001</v>
      </c>
      <c r="N2596" t="inlineStr">
        <is>
          <t>20250731800047</t>
        </is>
      </c>
      <c r="O2596">
        <f>HYPERLINK("https://dart.fss.or.kr/dsaf001/main.do?rcpNo=20250731800047", "공시열람")</f>
        <v/>
      </c>
    </row>
    <row r="2597">
      <c r="A2597" t="inlineStr">
        <is>
          <t>2025-07-30</t>
        </is>
      </c>
      <c r="B2597" t="inlineStr">
        <is>
          <t>세방전지</t>
        </is>
      </c>
      <c r="C2597" t="inlineStr">
        <is>
          <t>004490</t>
        </is>
      </c>
      <c r="D2597" t="inlineStr">
        <is>
          <t>별도</t>
        </is>
      </c>
      <c r="E2597" t="inlineStr">
        <is>
          <t>2025Q2</t>
        </is>
      </c>
      <c r="F2597" s="2" t="n">
        <v>425367</v>
      </c>
      <c r="G2597" t="n">
        <v>3.4</v>
      </c>
      <c r="H2597" t="n">
        <v>10.8</v>
      </c>
      <c r="I2597" s="2" t="n">
        <v>30021</v>
      </c>
      <c r="J2597" t="n">
        <v>-33</v>
      </c>
      <c r="K2597" t="n">
        <v>-24.8</v>
      </c>
      <c r="L2597" s="2" t="n">
        <v>19078</v>
      </c>
      <c r="M2597" t="n">
        <v>-54.1</v>
      </c>
      <c r="N2597" t="inlineStr">
        <is>
          <t>20250730800665</t>
        </is>
      </c>
      <c r="O2597">
        <f>HYPERLINK("https://dart.fss.or.kr/dsaf001/main.do?rcpNo=20250730800665", "공시열람")</f>
        <v/>
      </c>
    </row>
    <row r="2598">
      <c r="A2598" t="inlineStr">
        <is>
          <t>2025-07-30</t>
        </is>
      </c>
      <c r="B2598" t="inlineStr">
        <is>
          <t>대한유화</t>
        </is>
      </c>
      <c r="C2598" t="inlineStr">
        <is>
          <t>006650</t>
        </is>
      </c>
      <c r="D2598" t="inlineStr">
        <is>
          <t>연결</t>
        </is>
      </c>
      <c r="E2598" t="inlineStr">
        <is>
          <t>2025Q2</t>
        </is>
      </c>
      <c r="F2598" s="2" t="n">
        <v>846772</v>
      </c>
      <c r="G2598" t="n">
        <v>14.18</v>
      </c>
      <c r="H2598" t="n">
        <v>14.18</v>
      </c>
      <c r="I2598" s="2" t="n">
        <v>-4595</v>
      </c>
      <c r="J2598" t="n">
        <v>53.47</v>
      </c>
      <c r="K2598" t="n">
        <v>27.24</v>
      </c>
      <c r="L2598" s="2" t="n">
        <v>7868</v>
      </c>
      <c r="M2598" t="inlineStr"/>
      <c r="N2598" t="inlineStr">
        <is>
          <t>20250730800559</t>
        </is>
      </c>
      <c r="O2598">
        <f>HYPERLINK("https://dart.fss.or.kr/dsaf001/main.do?rcpNo=20250730800559", "공시열람")</f>
        <v/>
      </c>
    </row>
    <row r="2599">
      <c r="A2599" t="inlineStr">
        <is>
          <t>2025-07-30</t>
        </is>
      </c>
      <c r="B2599" t="inlineStr">
        <is>
          <t>SGC E&amp;C</t>
        </is>
      </c>
      <c r="C2599" t="inlineStr">
        <is>
          <t>016250</t>
        </is>
      </c>
      <c r="D2599" t="inlineStr">
        <is>
          <t>연결</t>
        </is>
      </c>
      <c r="E2599" t="inlineStr">
        <is>
          <t>2025Q2</t>
        </is>
      </c>
      <c r="F2599" s="2" t="n">
        <v>336035</v>
      </c>
      <c r="G2599" t="inlineStr"/>
      <c r="H2599" t="inlineStr"/>
      <c r="I2599" s="2" t="n">
        <v>14944</v>
      </c>
      <c r="J2599" t="inlineStr"/>
      <c r="K2599" t="inlineStr"/>
      <c r="L2599" s="2" t="inlineStr"/>
      <c r="M2599" t="inlineStr"/>
      <c r="N2599" t="inlineStr">
        <is>
          <t>20250730900476</t>
        </is>
      </c>
      <c r="O2599">
        <f>HYPERLINK("https://dart.fss.or.kr/dsaf001/main.do?rcpNo=20250730900476", "공시열람")</f>
        <v/>
      </c>
    </row>
    <row r="2600">
      <c r="A2600" t="inlineStr">
        <is>
          <t>2025-07-30</t>
        </is>
      </c>
      <c r="B2600" t="inlineStr">
        <is>
          <t>금호타이어</t>
        </is>
      </c>
      <c r="C2600" t="inlineStr">
        <is>
          <t>073240</t>
        </is>
      </c>
      <c r="D2600" t="inlineStr">
        <is>
          <t>연결</t>
        </is>
      </c>
      <c r="E2600" t="inlineStr">
        <is>
          <t>2025Q2</t>
        </is>
      </c>
      <c r="F2600" s="2" t="n">
        <v>1221253</v>
      </c>
      <c r="G2600" t="n">
        <v>1.2</v>
      </c>
      <c r="H2600" t="n">
        <v>7.9</v>
      </c>
      <c r="I2600" s="2" t="n">
        <v>175175</v>
      </c>
      <c r="J2600" t="n">
        <v>19.5</v>
      </c>
      <c r="K2600" t="n">
        <v>15.6</v>
      </c>
      <c r="L2600" s="2" t="n">
        <v>5539</v>
      </c>
      <c r="M2600" t="n">
        <v>-93.09999999999999</v>
      </c>
      <c r="N2600" t="inlineStr">
        <is>
          <t>20250730800416</t>
        </is>
      </c>
      <c r="O2600">
        <f>HYPERLINK("https://dart.fss.or.kr/dsaf001/main.do?rcpNo=20250730800416", "공시열람")</f>
        <v/>
      </c>
    </row>
    <row r="2601">
      <c r="A2601" t="inlineStr">
        <is>
          <t>2025-07-30</t>
        </is>
      </c>
      <c r="B2601" t="inlineStr">
        <is>
          <t>SK아이이테크놀로지</t>
        </is>
      </c>
      <c r="C2601" t="inlineStr">
        <is>
          <t>361610</t>
        </is>
      </c>
      <c r="D2601" t="inlineStr">
        <is>
          <t>연결</t>
        </is>
      </c>
      <c r="E2601" t="inlineStr">
        <is>
          <t>2025Q2</t>
        </is>
      </c>
      <c r="F2601" s="2" t="n">
        <v>82725</v>
      </c>
      <c r="G2601" t="inlineStr"/>
      <c r="H2601" t="inlineStr"/>
      <c r="I2601" s="2" t="n">
        <v>-53716</v>
      </c>
      <c r="J2601" t="inlineStr"/>
      <c r="K2601" t="inlineStr"/>
      <c r="L2601" s="2" t="n">
        <v>-19027</v>
      </c>
      <c r="M2601" t="inlineStr"/>
      <c r="N2601" t="inlineStr">
        <is>
          <t>20250730800514</t>
        </is>
      </c>
      <c r="O2601">
        <f>HYPERLINK("https://dart.fss.or.kr/dsaf001/main.do?rcpNo=20250730800514", "공시열람")</f>
        <v/>
      </c>
    </row>
    <row r="2602">
      <c r="A2602" t="inlineStr">
        <is>
          <t>2025-07-30</t>
        </is>
      </c>
      <c r="B2602" t="inlineStr">
        <is>
          <t>삼성물산</t>
        </is>
      </c>
      <c r="C2602" t="inlineStr">
        <is>
          <t>028260</t>
        </is>
      </c>
      <c r="D2602" t="inlineStr">
        <is>
          <t>연결</t>
        </is>
      </c>
      <c r="E2602" t="inlineStr">
        <is>
          <t>2025Q2</t>
        </is>
      </c>
      <c r="F2602" s="2" t="n">
        <v>10022076</v>
      </c>
      <c r="G2602" t="inlineStr"/>
      <c r="H2602" t="inlineStr"/>
      <c r="I2602" s="2" t="n">
        <v>752614</v>
      </c>
      <c r="J2602" t="inlineStr"/>
      <c r="K2602" t="inlineStr"/>
      <c r="L2602" s="2" t="n">
        <v>526524</v>
      </c>
      <c r="M2602" t="inlineStr"/>
      <c r="N2602" t="inlineStr">
        <is>
          <t>20250730800425</t>
        </is>
      </c>
      <c r="O2602">
        <f>HYPERLINK("https://dart.fss.or.kr/dsaf001/main.do?rcpNo=20250730800425", "공시열람")</f>
        <v/>
      </c>
    </row>
    <row r="2603">
      <c r="A2603" t="inlineStr">
        <is>
          <t>2025-07-30</t>
        </is>
      </c>
      <c r="B2603" t="inlineStr">
        <is>
          <t>제이브이엠</t>
        </is>
      </c>
      <c r="C2603" t="inlineStr">
        <is>
          <t>054950</t>
        </is>
      </c>
      <c r="D2603" t="inlineStr">
        <is>
          <t>연결</t>
        </is>
      </c>
      <c r="E2603" t="inlineStr">
        <is>
          <t>2025Q2</t>
        </is>
      </c>
      <c r="F2603" s="2" t="n">
        <v>47537</v>
      </c>
      <c r="G2603" t="inlineStr"/>
      <c r="H2603" t="inlineStr"/>
      <c r="I2603" s="2" t="n">
        <v>10903</v>
      </c>
      <c r="J2603" t="inlineStr"/>
      <c r="K2603" t="inlineStr"/>
      <c r="L2603" s="2" t="n">
        <v>8900</v>
      </c>
      <c r="M2603" t="inlineStr"/>
      <c r="N2603" t="inlineStr">
        <is>
          <t>20250730900458</t>
        </is>
      </c>
      <c r="O2603">
        <f>HYPERLINK("https://dart.fss.or.kr/dsaf001/main.do?rcpNo=20250730900458", "공시열람")</f>
        <v/>
      </c>
    </row>
    <row r="2604">
      <c r="A2604" t="inlineStr">
        <is>
          <t>2025-07-30</t>
        </is>
      </c>
      <c r="B2604" t="inlineStr">
        <is>
          <t>일동제약</t>
        </is>
      </c>
      <c r="C2604" t="inlineStr">
        <is>
          <t>249420</t>
        </is>
      </c>
      <c r="D2604" t="inlineStr">
        <is>
          <t>연결</t>
        </is>
      </c>
      <c r="E2604" t="inlineStr">
        <is>
          <t>2025Q2</t>
        </is>
      </c>
      <c r="F2604" s="2" t="n">
        <v>138480</v>
      </c>
      <c r="G2604" t="inlineStr"/>
      <c r="H2604" t="inlineStr"/>
      <c r="I2604" s="2" t="n">
        <v>596</v>
      </c>
      <c r="J2604" t="inlineStr"/>
      <c r="K2604" t="inlineStr"/>
      <c r="L2604" s="2" t="n">
        <v>-3895</v>
      </c>
      <c r="M2604" t="inlineStr"/>
      <c r="N2604" t="inlineStr">
        <is>
          <t>20250730800352</t>
        </is>
      </c>
      <c r="O2604">
        <f>HYPERLINK("https://dart.fss.or.kr/dsaf001/main.do?rcpNo=20250730800352", "공시열람")</f>
        <v/>
      </c>
    </row>
    <row r="2605">
      <c r="A2605" t="inlineStr">
        <is>
          <t>2025-07-30</t>
        </is>
      </c>
      <c r="B2605" t="inlineStr">
        <is>
          <t>엘앤에프</t>
        </is>
      </c>
      <c r="C2605" t="inlineStr">
        <is>
          <t>066970</t>
        </is>
      </c>
      <c r="D2605" t="inlineStr">
        <is>
          <t>연결</t>
        </is>
      </c>
      <c r="E2605" t="inlineStr">
        <is>
          <t>2025Q2</t>
        </is>
      </c>
      <c r="F2605" s="2" t="n">
        <v>520076</v>
      </c>
      <c r="G2605" t="n">
        <v>42.6</v>
      </c>
      <c r="H2605" t="n">
        <v>-6.3</v>
      </c>
      <c r="I2605" s="2" t="n">
        <v>-121188</v>
      </c>
      <c r="J2605" t="n">
        <v>13.6</v>
      </c>
      <c r="K2605" t="n">
        <v>-43.9</v>
      </c>
      <c r="L2605" s="2" t="n">
        <v>-112582</v>
      </c>
      <c r="M2605" t="n">
        <v>-51.3</v>
      </c>
      <c r="N2605" t="inlineStr">
        <is>
          <t>20250730800390</t>
        </is>
      </c>
      <c r="O2605">
        <f>HYPERLINK("https://dart.fss.or.kr/dsaf001/main.do?rcpNo=20250730800390", "공시열람")</f>
        <v/>
      </c>
    </row>
    <row r="2606">
      <c r="A2606" t="inlineStr">
        <is>
          <t>2025-07-30</t>
        </is>
      </c>
      <c r="B2606" t="inlineStr">
        <is>
          <t>주성엔지니어링</t>
        </is>
      </c>
      <c r="C2606" t="inlineStr">
        <is>
          <t>036930</t>
        </is>
      </c>
      <c r="D2606" t="inlineStr">
        <is>
          <t>연결</t>
        </is>
      </c>
      <c r="E2606" t="inlineStr">
        <is>
          <t>2025Q2</t>
        </is>
      </c>
      <c r="F2606" s="2" t="n">
        <v>78792</v>
      </c>
      <c r="G2606" t="inlineStr"/>
      <c r="H2606" t="inlineStr"/>
      <c r="I2606" s="2" t="n">
        <v>6575</v>
      </c>
      <c r="J2606" t="inlineStr"/>
      <c r="K2606" t="inlineStr"/>
      <c r="L2606" s="2" t="n">
        <v>5040</v>
      </c>
      <c r="M2606" t="inlineStr"/>
      <c r="N2606" t="inlineStr">
        <is>
          <t>20250730900374</t>
        </is>
      </c>
      <c r="O2606">
        <f>HYPERLINK("https://dart.fss.or.kr/dsaf001/main.do?rcpNo=20250730900374", "공시열람")</f>
        <v/>
      </c>
    </row>
    <row r="2607">
      <c r="A2607" t="inlineStr">
        <is>
          <t>2025-07-30</t>
        </is>
      </c>
      <c r="B2607" t="inlineStr">
        <is>
          <t>키움증권</t>
        </is>
      </c>
      <c r="C2607" t="inlineStr">
        <is>
          <t>039490</t>
        </is>
      </c>
      <c r="D2607" t="inlineStr">
        <is>
          <t>연결</t>
        </is>
      </c>
      <c r="E2607" t="inlineStr">
        <is>
          <t>2025Q2</t>
        </is>
      </c>
      <c r="F2607" s="2" t="n">
        <v>4505663</v>
      </c>
      <c r="G2607" t="n">
        <v>23.11</v>
      </c>
      <c r="H2607" t="n">
        <v>97.56999999999999</v>
      </c>
      <c r="I2607" s="2" t="n">
        <v>408297</v>
      </c>
      <c r="J2607" t="n">
        <v>25.45</v>
      </c>
      <c r="K2607" t="n">
        <v>30.73</v>
      </c>
      <c r="L2607" s="2" t="n">
        <v>310133</v>
      </c>
      <c r="M2607" t="n">
        <v>33.6</v>
      </c>
      <c r="N2607" t="inlineStr">
        <is>
          <t>20250730800012</t>
        </is>
      </c>
      <c r="O2607">
        <f>HYPERLINK("https://dart.fss.or.kr/dsaf001/main.do?rcpNo=20250730800012", "공시열람")</f>
        <v/>
      </c>
    </row>
    <row r="2608">
      <c r="A2608" t="inlineStr">
        <is>
          <t>2025-07-30</t>
        </is>
      </c>
      <c r="B2608" t="inlineStr">
        <is>
          <t>SOOP</t>
        </is>
      </c>
      <c r="C2608" t="inlineStr">
        <is>
          <t>067160</t>
        </is>
      </c>
      <c r="D2608" t="inlineStr">
        <is>
          <t>연결</t>
        </is>
      </c>
      <c r="E2608" t="inlineStr">
        <is>
          <t>2025Q2</t>
        </is>
      </c>
      <c r="F2608" s="2" t="n">
        <v>116883</v>
      </c>
      <c r="G2608" t="inlineStr"/>
      <c r="H2608" t="inlineStr"/>
      <c r="I2608" s="2" t="n">
        <v>30014</v>
      </c>
      <c r="J2608" t="inlineStr"/>
      <c r="K2608" t="inlineStr"/>
      <c r="L2608" s="2" t="n">
        <v>22517</v>
      </c>
      <c r="M2608" t="inlineStr"/>
      <c r="N2608" t="inlineStr">
        <is>
          <t>20250730900027</t>
        </is>
      </c>
      <c r="O2608">
        <f>HYPERLINK("https://dart.fss.or.kr/dsaf001/main.do?rcpNo=20250730900027", "공시열람")</f>
        <v/>
      </c>
    </row>
    <row r="2609">
      <c r="A2609" t="inlineStr">
        <is>
          <t>2025-07-30</t>
        </is>
      </c>
      <c r="B2609" t="inlineStr">
        <is>
          <t>GS건설</t>
        </is>
      </c>
      <c r="C2609" t="inlineStr">
        <is>
          <t>006360</t>
        </is>
      </c>
      <c r="D2609" t="inlineStr">
        <is>
          <t>연결</t>
        </is>
      </c>
      <c r="E2609" t="inlineStr">
        <is>
          <t>2025Q2</t>
        </is>
      </c>
      <c r="F2609" s="2" t="n">
        <v>3196053</v>
      </c>
      <c r="G2609" t="n">
        <v>4.35</v>
      </c>
      <c r="H2609" t="n">
        <v>-3.07</v>
      </c>
      <c r="I2609" s="2" t="n">
        <v>162061</v>
      </c>
      <c r="J2609" t="n">
        <v>130.28</v>
      </c>
      <c r="K2609" t="n">
        <v>73.45</v>
      </c>
      <c r="L2609" s="2" t="n">
        <v>-87061</v>
      </c>
      <c r="M2609" t="inlineStr"/>
      <c r="N2609" t="inlineStr">
        <is>
          <t>20250730800067</t>
        </is>
      </c>
      <c r="O2609">
        <f>HYPERLINK("https://dart.fss.or.kr/dsaf001/main.do?rcpNo=20250730800067", "공시열람")</f>
        <v/>
      </c>
    </row>
    <row r="2610">
      <c r="A2610" t="inlineStr">
        <is>
          <t>2025-07-30</t>
        </is>
      </c>
      <c r="B2610" t="inlineStr">
        <is>
          <t>KG스틸</t>
        </is>
      </c>
      <c r="C2610" t="inlineStr">
        <is>
          <t>016380</t>
        </is>
      </c>
      <c r="D2610" t="inlineStr">
        <is>
          <t>별도</t>
        </is>
      </c>
      <c r="E2610" t="inlineStr">
        <is>
          <t>2025Q2</t>
        </is>
      </c>
      <c r="F2610" s="2" t="n">
        <v>776200</v>
      </c>
      <c r="G2610" t="n">
        <v>2.96</v>
      </c>
      <c r="H2610" t="n">
        <v>-6.3</v>
      </c>
      <c r="I2610" s="2" t="n">
        <v>43800</v>
      </c>
      <c r="J2610" t="n">
        <v>-28.97</v>
      </c>
      <c r="K2610" t="n">
        <v>-41.23</v>
      </c>
      <c r="L2610" s="2" t="n">
        <v>48100</v>
      </c>
      <c r="M2610" t="n">
        <v>-9.710000000000001</v>
      </c>
      <c r="N2610" t="inlineStr">
        <is>
          <t>20250730800073</t>
        </is>
      </c>
      <c r="O2610">
        <f>HYPERLINK("https://dart.fss.or.kr/dsaf001/main.do?rcpNo=20250730800073", "공시열람")</f>
        <v/>
      </c>
    </row>
    <row r="2611">
      <c r="A2611" t="inlineStr">
        <is>
          <t>2025-07-30</t>
        </is>
      </c>
      <c r="B2611" t="inlineStr">
        <is>
          <t>KG스틸</t>
        </is>
      </c>
      <c r="C2611" t="inlineStr">
        <is>
          <t>016380</t>
        </is>
      </c>
      <c r="D2611" t="inlineStr">
        <is>
          <t>연결</t>
        </is>
      </c>
      <c r="E2611" t="inlineStr">
        <is>
          <t>2025Q2</t>
        </is>
      </c>
      <c r="F2611" s="2" t="n">
        <v>805100</v>
      </c>
      <c r="G2611" t="n">
        <v>-0.92</v>
      </c>
      <c r="H2611" t="n">
        <v>-6.22</v>
      </c>
      <c r="I2611" s="2" t="n">
        <v>36900</v>
      </c>
      <c r="J2611" t="n">
        <v>-43.39</v>
      </c>
      <c r="K2611" t="n">
        <v>-50.47</v>
      </c>
      <c r="L2611" s="2" t="n">
        <v>41700</v>
      </c>
      <c r="M2611" t="n">
        <v>10.17</v>
      </c>
      <c r="N2611" t="inlineStr">
        <is>
          <t>20250730800074</t>
        </is>
      </c>
      <c r="O2611">
        <f>HYPERLINK("https://dart.fss.or.kr/dsaf001/main.do?rcpNo=20250730800074", "공시열람")</f>
        <v/>
      </c>
    </row>
    <row r="2612">
      <c r="A2612" t="inlineStr">
        <is>
          <t>2025-07-30</t>
        </is>
      </c>
      <c r="B2612" t="inlineStr">
        <is>
          <t>ISC</t>
        </is>
      </c>
      <c r="C2612" t="inlineStr">
        <is>
          <t>095340</t>
        </is>
      </c>
      <c r="D2612" t="inlineStr">
        <is>
          <t>연결</t>
        </is>
      </c>
      <c r="E2612" t="inlineStr">
        <is>
          <t>2025Q2</t>
        </is>
      </c>
      <c r="F2612" s="2" t="n">
        <v>51660</v>
      </c>
      <c r="G2612" t="inlineStr"/>
      <c r="H2612" t="inlineStr"/>
      <c r="I2612" s="2" t="n">
        <v>13712</v>
      </c>
      <c r="J2612" t="inlineStr"/>
      <c r="K2612" t="inlineStr"/>
      <c r="L2612" s="2" t="n">
        <v>11549</v>
      </c>
      <c r="M2612" t="inlineStr"/>
      <c r="N2612" t="inlineStr">
        <is>
          <t>20250730900087</t>
        </is>
      </c>
      <c r="O2612">
        <f>HYPERLINK("https://dart.fss.or.kr/dsaf001/main.do?rcpNo=20250730900087", "공시열람")</f>
        <v/>
      </c>
    </row>
    <row r="2613">
      <c r="A2613" t="inlineStr">
        <is>
          <t>2025-07-30</t>
        </is>
      </c>
      <c r="B2613" t="inlineStr">
        <is>
          <t>가온그룹</t>
        </is>
      </c>
      <c r="C2613" t="inlineStr">
        <is>
          <t>078890</t>
        </is>
      </c>
      <c r="D2613" t="inlineStr">
        <is>
          <t>연결</t>
        </is>
      </c>
      <c r="E2613" t="inlineStr">
        <is>
          <t>2025Q2</t>
        </is>
      </c>
      <c r="F2613" s="2" t="n">
        <v>133336</v>
      </c>
      <c r="G2613" t="inlineStr"/>
      <c r="H2613" t="inlineStr"/>
      <c r="I2613" s="2" t="n">
        <v>1479</v>
      </c>
      <c r="J2613" t="inlineStr"/>
      <c r="K2613" t="inlineStr"/>
      <c r="L2613" s="2" t="n">
        <v>5396</v>
      </c>
      <c r="M2613" t="inlineStr"/>
      <c r="N2613" t="inlineStr">
        <is>
          <t>20250730900158</t>
        </is>
      </c>
      <c r="O2613">
        <f>HYPERLINK("https://dart.fss.or.kr/dsaf001/main.do?rcpNo=20250730900158", "공시열람")</f>
        <v/>
      </c>
    </row>
    <row r="2614">
      <c r="A2614" t="inlineStr">
        <is>
          <t>2025-07-30</t>
        </is>
      </c>
      <c r="B2614" t="inlineStr">
        <is>
          <t>HK이노엔</t>
        </is>
      </c>
      <c r="C2614" t="inlineStr">
        <is>
          <t>195940</t>
        </is>
      </c>
      <c r="D2614" t="inlineStr">
        <is>
          <t>별도</t>
        </is>
      </c>
      <c r="E2614" t="inlineStr">
        <is>
          <t>2025Q2</t>
        </is>
      </c>
      <c r="F2614" s="2" t="n">
        <v>263091</v>
      </c>
      <c r="G2614" t="inlineStr"/>
      <c r="H2614" t="inlineStr"/>
      <c r="I2614" s="2" t="n">
        <v>19533</v>
      </c>
      <c r="J2614" t="inlineStr"/>
      <c r="K2614" t="inlineStr"/>
      <c r="L2614" s="2" t="n">
        <v>12042</v>
      </c>
      <c r="M2614" t="inlineStr"/>
      <c r="N2614" t="inlineStr">
        <is>
          <t>20250730900176</t>
        </is>
      </c>
      <c r="O2614">
        <f>HYPERLINK("https://dart.fss.or.kr/dsaf001/main.do?rcpNo=20250730900176", "공시열람")</f>
        <v/>
      </c>
    </row>
    <row r="2615">
      <c r="A2615" t="inlineStr">
        <is>
          <t>2025-07-30</t>
        </is>
      </c>
      <c r="B2615" t="inlineStr">
        <is>
          <t>제이에스코퍼레이션</t>
        </is>
      </c>
      <c r="C2615" t="inlineStr">
        <is>
          <t>194370</t>
        </is>
      </c>
      <c r="D2615" t="inlineStr">
        <is>
          <t>연결</t>
        </is>
      </c>
      <c r="E2615" t="inlineStr">
        <is>
          <t>2025Q2</t>
        </is>
      </c>
      <c r="F2615" s="2" t="n">
        <v>317329</v>
      </c>
      <c r="G2615" t="n">
        <v>8.050000000000001</v>
      </c>
      <c r="H2615" t="n">
        <v>38.77</v>
      </c>
      <c r="I2615" s="2" t="n">
        <v>28118</v>
      </c>
      <c r="J2615" t="n">
        <v>-0.79</v>
      </c>
      <c r="K2615" t="n">
        <v>7.61</v>
      </c>
      <c r="L2615" s="2" t="n">
        <v>22893</v>
      </c>
      <c r="M2615" t="n">
        <v>-39.68</v>
      </c>
      <c r="N2615" t="inlineStr">
        <is>
          <t>20250730800193</t>
        </is>
      </c>
      <c r="O2615">
        <f>HYPERLINK("https://dart.fss.or.kr/dsaf001/main.do?rcpNo=20250730800193", "공시열람")</f>
        <v/>
      </c>
    </row>
    <row r="2616">
      <c r="A2616" t="inlineStr">
        <is>
          <t>2025-07-30</t>
        </is>
      </c>
      <c r="B2616" t="inlineStr">
        <is>
          <t>인지소프트</t>
        </is>
      </c>
      <c r="C2616" t="inlineStr">
        <is>
          <t>100030</t>
        </is>
      </c>
      <c r="D2616" t="inlineStr">
        <is>
          <t>연결</t>
        </is>
      </c>
      <c r="E2616" t="inlineStr">
        <is>
          <t>2025Q2</t>
        </is>
      </c>
      <c r="F2616" s="2" t="n">
        <v>5220</v>
      </c>
      <c r="G2616" t="inlineStr"/>
      <c r="H2616" t="inlineStr"/>
      <c r="I2616" s="2" t="n">
        <v>663</v>
      </c>
      <c r="J2616" t="inlineStr"/>
      <c r="K2616" t="inlineStr"/>
      <c r="L2616" s="2" t="n">
        <v>6298</v>
      </c>
      <c r="M2616" t="inlineStr"/>
      <c r="N2616" t="inlineStr">
        <is>
          <t>20250730900196</t>
        </is>
      </c>
      <c r="O2616">
        <f>HYPERLINK("https://dart.fss.or.kr/dsaf001/main.do?rcpNo=20250730900196", "공시열람")</f>
        <v/>
      </c>
    </row>
    <row r="2617">
      <c r="A2617" t="inlineStr">
        <is>
          <t>2025-07-30</t>
        </is>
      </c>
      <c r="B2617" t="inlineStr">
        <is>
          <t>한올바이오파마</t>
        </is>
      </c>
      <c r="C2617" t="inlineStr">
        <is>
          <t>009420</t>
        </is>
      </c>
      <c r="D2617" t="inlineStr">
        <is>
          <t>연결</t>
        </is>
      </c>
      <c r="E2617" t="inlineStr">
        <is>
          <t>2025Q2</t>
        </is>
      </c>
      <c r="F2617" s="2" t="n">
        <v>40682</v>
      </c>
      <c r="G2617" t="n">
        <v>12.5</v>
      </c>
      <c r="H2617" t="n">
        <v>28.8</v>
      </c>
      <c r="I2617" s="2" t="n">
        <v>1146</v>
      </c>
      <c r="J2617" t="inlineStr"/>
      <c r="K2617" t="inlineStr"/>
      <c r="L2617" s="2" t="n">
        <v>599</v>
      </c>
      <c r="M2617" t="inlineStr"/>
      <c r="N2617" t="inlineStr">
        <is>
          <t>20250730800223</t>
        </is>
      </c>
      <c r="O2617">
        <f>HYPERLINK("https://dart.fss.or.kr/dsaf001/main.do?rcpNo=20250730800223", "공시열람")</f>
        <v/>
      </c>
    </row>
    <row r="2618">
      <c r="A2618" t="inlineStr">
        <is>
          <t>2025-07-30</t>
        </is>
      </c>
      <c r="B2618" t="inlineStr">
        <is>
          <t>유한양행</t>
        </is>
      </c>
      <c r="C2618" t="inlineStr">
        <is>
          <t>000100</t>
        </is>
      </c>
      <c r="D2618" t="inlineStr">
        <is>
          <t>별도</t>
        </is>
      </c>
      <c r="E2618" t="inlineStr">
        <is>
          <t>2025Q2</t>
        </is>
      </c>
      <c r="F2618" s="2" t="n">
        <v>556169</v>
      </c>
      <c r="G2618" t="n">
        <v>18.5</v>
      </c>
      <c r="H2618" t="n">
        <v>8.1</v>
      </c>
      <c r="I2618" s="2" t="n">
        <v>45628</v>
      </c>
      <c r="J2618" t="n">
        <v>427.8</v>
      </c>
      <c r="K2618" t="n">
        <v>190.1</v>
      </c>
      <c r="L2618" s="2" t="n">
        <v>39000</v>
      </c>
      <c r="M2618" t="n">
        <v>59</v>
      </c>
      <c r="N2618" t="inlineStr">
        <is>
          <t>20250730800235</t>
        </is>
      </c>
      <c r="O2618">
        <f>HYPERLINK("https://dart.fss.or.kr/dsaf001/main.do?rcpNo=20250730800235", "공시열람")</f>
        <v/>
      </c>
    </row>
    <row r="2619">
      <c r="A2619" t="inlineStr">
        <is>
          <t>2025-07-30</t>
        </is>
      </c>
      <c r="B2619" t="inlineStr">
        <is>
          <t>SKC</t>
        </is>
      </c>
      <c r="C2619" t="inlineStr">
        <is>
          <t>011790</t>
        </is>
      </c>
      <c r="D2619" t="inlineStr">
        <is>
          <t>연결</t>
        </is>
      </c>
      <c r="E2619" t="inlineStr">
        <is>
          <t>2025Q2</t>
        </is>
      </c>
      <c r="F2619" s="2" t="n">
        <v>467300</v>
      </c>
      <c r="G2619" t="inlineStr"/>
      <c r="H2619" t="inlineStr"/>
      <c r="I2619" s="2" t="n">
        <v>-70200</v>
      </c>
      <c r="J2619" t="inlineStr"/>
      <c r="K2619" t="inlineStr"/>
      <c r="L2619" s="2" t="n">
        <v>-4000</v>
      </c>
      <c r="M2619" t="inlineStr"/>
      <c r="N2619" t="inlineStr">
        <is>
          <t>20250730800224</t>
        </is>
      </c>
      <c r="O2619">
        <f>HYPERLINK("https://dart.fss.or.kr/dsaf001/main.do?rcpNo=20250730800224", "공시열람")</f>
        <v/>
      </c>
    </row>
    <row r="2620">
      <c r="A2620" t="inlineStr">
        <is>
          <t>2025-07-30</t>
        </is>
      </c>
      <c r="B2620" t="inlineStr">
        <is>
          <t>아이엠비디엑스</t>
        </is>
      </c>
      <c r="C2620" t="inlineStr">
        <is>
          <t>461030</t>
        </is>
      </c>
      <c r="D2620" t="inlineStr">
        <is>
          <t>별도</t>
        </is>
      </c>
      <c r="E2620" t="inlineStr">
        <is>
          <t>2025Q2</t>
        </is>
      </c>
      <c r="F2620" s="2" t="n">
        <v>1510</v>
      </c>
      <c r="G2620" t="inlineStr"/>
      <c r="H2620" t="inlineStr"/>
      <c r="I2620" s="2" t="n">
        <v>-1913</v>
      </c>
      <c r="J2620" t="inlineStr"/>
      <c r="K2620" t="inlineStr"/>
      <c r="L2620" s="2" t="n">
        <v>-1881</v>
      </c>
      <c r="M2620" t="inlineStr"/>
      <c r="N2620" t="inlineStr">
        <is>
          <t>20250730900250</t>
        </is>
      </c>
      <c r="O2620">
        <f>HYPERLINK("https://dart.fss.or.kr/dsaf001/main.do?rcpNo=20250730900250", "공시열람")</f>
        <v/>
      </c>
    </row>
    <row r="2621">
      <c r="A2621" t="inlineStr">
        <is>
          <t>2025-07-30</t>
        </is>
      </c>
      <c r="B2621" t="inlineStr">
        <is>
          <t>롯데정밀화학</t>
        </is>
      </c>
      <c r="C2621" t="inlineStr">
        <is>
          <t>004000</t>
        </is>
      </c>
      <c r="D2621" t="inlineStr">
        <is>
          <t>연결</t>
        </is>
      </c>
      <c r="E2621" t="inlineStr">
        <is>
          <t>2025Q2</t>
        </is>
      </c>
      <c r="F2621" s="2" t="n">
        <v>424700</v>
      </c>
      <c r="G2621" t="n">
        <v>-4.7</v>
      </c>
      <c r="H2621" t="n">
        <v>0.6</v>
      </c>
      <c r="I2621" s="2" t="n">
        <v>8700</v>
      </c>
      <c r="J2621" t="n">
        <v>-53.7</v>
      </c>
      <c r="K2621" t="n">
        <v>-49.1</v>
      </c>
      <c r="L2621" s="2" t="n">
        <v>15500</v>
      </c>
      <c r="M2621" t="n">
        <v>-64.2</v>
      </c>
      <c r="N2621" t="inlineStr">
        <is>
          <t>20250730800247</t>
        </is>
      </c>
      <c r="O2621">
        <f>HYPERLINK("https://dart.fss.or.kr/dsaf001/main.do?rcpNo=20250730800247", "공시열람")</f>
        <v/>
      </c>
    </row>
    <row r="2622">
      <c r="A2622" t="inlineStr">
        <is>
          <t>2025-07-30</t>
        </is>
      </c>
      <c r="B2622" t="inlineStr">
        <is>
          <t>테라젠이텍스</t>
        </is>
      </c>
      <c r="C2622" t="inlineStr">
        <is>
          <t>066700</t>
        </is>
      </c>
      <c r="D2622" t="inlineStr">
        <is>
          <t>별도</t>
        </is>
      </c>
      <c r="E2622" t="inlineStr">
        <is>
          <t>2025Q2</t>
        </is>
      </c>
      <c r="F2622" s="2" t="n">
        <v>42633</v>
      </c>
      <c r="G2622" t="inlineStr"/>
      <c r="H2622" t="inlineStr"/>
      <c r="I2622" s="2" t="n">
        <v>682</v>
      </c>
      <c r="J2622" t="inlineStr"/>
      <c r="K2622" t="inlineStr"/>
      <c r="L2622" s="2" t="n">
        <v>3228</v>
      </c>
      <c r="M2622" t="inlineStr"/>
      <c r="N2622" t="inlineStr">
        <is>
          <t>20250730900286</t>
        </is>
      </c>
      <c r="O2622">
        <f>HYPERLINK("https://dart.fss.or.kr/dsaf001/main.do?rcpNo=20250730900286", "공시열람")</f>
        <v/>
      </c>
    </row>
    <row r="2623">
      <c r="A2623" t="inlineStr">
        <is>
          <t>2025-07-30</t>
        </is>
      </c>
      <c r="B2623" t="inlineStr">
        <is>
          <t>쎄트렉아이</t>
        </is>
      </c>
      <c r="C2623" t="inlineStr">
        <is>
          <t>099320</t>
        </is>
      </c>
      <c r="D2623" t="inlineStr">
        <is>
          <t>연결</t>
        </is>
      </c>
      <c r="E2623" t="inlineStr">
        <is>
          <t>2025Q2</t>
        </is>
      </c>
      <c r="F2623" s="2" t="n">
        <v>44484</v>
      </c>
      <c r="G2623" t="inlineStr"/>
      <c r="H2623" t="inlineStr"/>
      <c r="I2623" s="2" t="n">
        <v>2026</v>
      </c>
      <c r="J2623" t="inlineStr"/>
      <c r="K2623" t="inlineStr"/>
      <c r="L2623" s="2" t="n">
        <v>3340</v>
      </c>
      <c r="M2623" t="inlineStr"/>
      <c r="N2623" t="inlineStr">
        <is>
          <t>20250730900316</t>
        </is>
      </c>
      <c r="O2623">
        <f>HYPERLINK("https://dart.fss.or.kr/dsaf001/main.do?rcpNo=20250730900316", "공시열람")</f>
        <v/>
      </c>
    </row>
    <row r="2624">
      <c r="A2624" t="inlineStr">
        <is>
          <t>2025-07-30</t>
        </is>
      </c>
      <c r="B2624" t="inlineStr">
        <is>
          <t>넥센타이어</t>
        </is>
      </c>
      <c r="C2624" t="inlineStr">
        <is>
          <t>002350</t>
        </is>
      </c>
      <c r="D2624" t="inlineStr">
        <is>
          <t>연결</t>
        </is>
      </c>
      <c r="E2624" t="inlineStr">
        <is>
          <t>2025Q2</t>
        </is>
      </c>
      <c r="F2624" s="2" t="n">
        <v>804669</v>
      </c>
      <c r="G2624" t="inlineStr"/>
      <c r="H2624" t="inlineStr"/>
      <c r="I2624" s="2" t="n">
        <v>42631</v>
      </c>
      <c r="J2624" t="inlineStr"/>
      <c r="K2624" t="inlineStr"/>
      <c r="L2624" s="2" t="n">
        <v>19220</v>
      </c>
      <c r="M2624" t="inlineStr"/>
      <c r="N2624" t="inlineStr">
        <is>
          <t>20250730800308</t>
        </is>
      </c>
      <c r="O2624">
        <f>HYPERLINK("https://dart.fss.or.kr/dsaf001/main.do?rcpNo=20250730800308", "공시열람")</f>
        <v/>
      </c>
    </row>
    <row r="2625">
      <c r="A2625" t="inlineStr">
        <is>
          <t>2025-07-30</t>
        </is>
      </c>
      <c r="B2625" t="inlineStr">
        <is>
          <t>자이에스앤디</t>
        </is>
      </c>
      <c r="C2625" t="inlineStr">
        <is>
          <t>317400</t>
        </is>
      </c>
      <c r="D2625" t="inlineStr">
        <is>
          <t>연결</t>
        </is>
      </c>
      <c r="E2625" t="inlineStr">
        <is>
          <t>2025Q2</t>
        </is>
      </c>
      <c r="F2625" s="2" t="n">
        <v>336954</v>
      </c>
      <c r="G2625" t="n">
        <v>7.76</v>
      </c>
      <c r="H2625" t="n">
        <v>-21.92</v>
      </c>
      <c r="I2625" s="2" t="n">
        <v>-2719</v>
      </c>
      <c r="J2625" t="n">
        <v>74.34999999999999</v>
      </c>
      <c r="K2625" t="inlineStr"/>
      <c r="L2625" s="2" t="n">
        <v>4324</v>
      </c>
      <c r="M2625" t="n">
        <v>153.16</v>
      </c>
      <c r="N2625" t="inlineStr">
        <is>
          <t>20250730800333</t>
        </is>
      </c>
      <c r="O2625">
        <f>HYPERLINK("https://dart.fss.or.kr/dsaf001/main.do?rcpNo=20250730800333", "공시열람")</f>
        <v/>
      </c>
    </row>
    <row r="2626">
      <c r="A2626" t="inlineStr">
        <is>
          <t>2025-07-30</t>
        </is>
      </c>
      <c r="B2626" t="inlineStr">
        <is>
          <t>일동제약</t>
        </is>
      </c>
      <c r="C2626" t="inlineStr">
        <is>
          <t>249420</t>
        </is>
      </c>
      <c r="D2626" t="inlineStr">
        <is>
          <t>별도</t>
        </is>
      </c>
      <c r="E2626" t="inlineStr">
        <is>
          <t>2025Q2</t>
        </is>
      </c>
      <c r="F2626" s="2" t="n">
        <v>136422</v>
      </c>
      <c r="G2626" t="inlineStr"/>
      <c r="H2626" t="inlineStr"/>
      <c r="I2626" s="2" t="n">
        <v>3064</v>
      </c>
      <c r="J2626" t="inlineStr"/>
      <c r="K2626" t="inlineStr"/>
      <c r="L2626" s="2" t="n">
        <v>526</v>
      </c>
      <c r="M2626" t="inlineStr"/>
      <c r="N2626" t="inlineStr">
        <is>
          <t>20250730800343</t>
        </is>
      </c>
      <c r="O2626">
        <f>HYPERLINK("https://dart.fss.or.kr/dsaf001/main.do?rcpNo=20250730800343", "공시열람")</f>
        <v/>
      </c>
    </row>
    <row r="2627">
      <c r="A2627" t="inlineStr">
        <is>
          <t>2025-07-30</t>
        </is>
      </c>
      <c r="B2627" t="inlineStr">
        <is>
          <t>SGC에너지</t>
        </is>
      </c>
      <c r="C2627" t="inlineStr">
        <is>
          <t>005090</t>
        </is>
      </c>
      <c r="D2627" t="inlineStr">
        <is>
          <t>연결</t>
        </is>
      </c>
      <c r="E2627" t="inlineStr">
        <is>
          <t>2025Q2</t>
        </is>
      </c>
      <c r="F2627" s="2" t="n">
        <v>618500</v>
      </c>
      <c r="G2627" t="inlineStr"/>
      <c r="H2627" t="inlineStr"/>
      <c r="I2627" s="2" t="n">
        <v>34000</v>
      </c>
      <c r="J2627" t="inlineStr"/>
      <c r="K2627" t="inlineStr"/>
      <c r="L2627" s="2" t="n">
        <v>-5200</v>
      </c>
      <c r="M2627" t="inlineStr"/>
      <c r="N2627" t="inlineStr">
        <is>
          <t>20250730800334</t>
        </is>
      </c>
      <c r="O2627">
        <f>HYPERLINK("https://dart.fss.or.kr/dsaf001/main.do?rcpNo=20250730800334", "공시열람")</f>
        <v/>
      </c>
    </row>
    <row r="2628">
      <c r="A2628" t="inlineStr">
        <is>
          <t>2025-07-30</t>
        </is>
      </c>
      <c r="B2628" t="inlineStr">
        <is>
          <t>일동홀딩스</t>
        </is>
      </c>
      <c r="C2628" t="inlineStr">
        <is>
          <t>000230</t>
        </is>
      </c>
      <c r="D2628" t="inlineStr">
        <is>
          <t>연결</t>
        </is>
      </c>
      <c r="E2628" t="inlineStr">
        <is>
          <t>2025Q2</t>
        </is>
      </c>
      <c r="F2628" s="2" t="n">
        <v>154674</v>
      </c>
      <c r="G2628" t="inlineStr"/>
      <c r="H2628" t="inlineStr"/>
      <c r="I2628" s="2" t="n">
        <v>335</v>
      </c>
      <c r="J2628" t="inlineStr"/>
      <c r="K2628" t="inlineStr"/>
      <c r="L2628" s="2" t="n">
        <v>-12370</v>
      </c>
      <c r="M2628" t="inlineStr"/>
      <c r="N2628" t="inlineStr">
        <is>
          <t>20250730800360</t>
        </is>
      </c>
      <c r="O2628">
        <f>HYPERLINK("https://dart.fss.or.kr/dsaf001/main.do?rcpNo=20250730800360", "공시열람")</f>
        <v/>
      </c>
    </row>
    <row r="2629">
      <c r="A2629" t="inlineStr">
        <is>
          <t>2025-07-30</t>
        </is>
      </c>
      <c r="B2629" t="inlineStr">
        <is>
          <t>한화솔루션</t>
        </is>
      </c>
      <c r="C2629" t="inlineStr">
        <is>
          <t>009830</t>
        </is>
      </c>
      <c r="D2629" t="inlineStr">
        <is>
          <t>연결</t>
        </is>
      </c>
      <c r="E2629" t="inlineStr">
        <is>
          <t>2025Q2</t>
        </is>
      </c>
      <c r="F2629" s="2" t="n">
        <v>3117265</v>
      </c>
      <c r="G2629" t="n">
        <v>0.74</v>
      </c>
      <c r="H2629" t="n">
        <v>17.55</v>
      </c>
      <c r="I2629" s="2" t="n">
        <v>102067</v>
      </c>
      <c r="J2629" t="n">
        <v>236.69</v>
      </c>
      <c r="K2629" t="inlineStr"/>
      <c r="L2629" s="2" t="n">
        <v>-178439</v>
      </c>
      <c r="M2629" t="n">
        <v>46.03</v>
      </c>
      <c r="N2629" t="inlineStr">
        <is>
          <t>20250730800231</t>
        </is>
      </c>
      <c r="O2629">
        <f>HYPERLINK("https://dart.fss.or.kr/dsaf001/main.do?rcpNo=20250730800231", "공시열람")</f>
        <v/>
      </c>
    </row>
    <row r="2630">
      <c r="A2630" t="inlineStr">
        <is>
          <t>2025-07-29</t>
        </is>
      </c>
      <c r="B2630" t="inlineStr">
        <is>
          <t>화인베스틸</t>
        </is>
      </c>
      <c r="C2630" t="inlineStr">
        <is>
          <t>133820</t>
        </is>
      </c>
      <c r="D2630" t="inlineStr">
        <is>
          <t>별도</t>
        </is>
      </c>
      <c r="E2630" t="inlineStr">
        <is>
          <t>2025Q2</t>
        </is>
      </c>
      <c r="F2630" s="2" t="n">
        <v>46323</v>
      </c>
      <c r="G2630" t="n">
        <v>29.4</v>
      </c>
      <c r="H2630" t="n">
        <v>88.8</v>
      </c>
      <c r="I2630" s="2" t="n">
        <v>2281</v>
      </c>
      <c r="J2630" t="inlineStr"/>
      <c r="K2630" t="inlineStr"/>
      <c r="L2630" s="2" t="n">
        <v>6338</v>
      </c>
      <c r="M2630" t="inlineStr"/>
      <c r="N2630" t="inlineStr">
        <is>
          <t>20250729800178</t>
        </is>
      </c>
      <c r="O2630">
        <f>HYPERLINK("https://dart.fss.or.kr/dsaf001/main.do?rcpNo=20250729800178", "공시열람")</f>
        <v/>
      </c>
    </row>
    <row r="2631">
      <c r="A2631" t="inlineStr">
        <is>
          <t>2025-07-29</t>
        </is>
      </c>
      <c r="B2631" t="inlineStr">
        <is>
          <t>한화시스템</t>
        </is>
      </c>
      <c r="C2631" t="inlineStr">
        <is>
          <t>272210</t>
        </is>
      </c>
      <c r="D2631" t="inlineStr">
        <is>
          <t>연결</t>
        </is>
      </c>
      <c r="E2631" t="inlineStr">
        <is>
          <t>2025Q2</t>
        </is>
      </c>
      <c r="F2631" s="2" t="n">
        <v>768191</v>
      </c>
      <c r="G2631" t="n">
        <v>11.32</v>
      </c>
      <c r="H2631" t="n">
        <v>11.81</v>
      </c>
      <c r="I2631" s="2" t="n">
        <v>33451</v>
      </c>
      <c r="J2631" t="n">
        <v>-42.49</v>
      </c>
      <c r="K2631" t="n">
        <v>-60.37</v>
      </c>
      <c r="L2631" s="2" t="n">
        <v>47009</v>
      </c>
      <c r="M2631" t="n">
        <v>73.88</v>
      </c>
      <c r="N2631" t="inlineStr">
        <is>
          <t>20250729800165</t>
        </is>
      </c>
      <c r="O2631">
        <f>HYPERLINK("https://dart.fss.or.kr/dsaf001/main.do?rcpNo=20250729800165", "공시열람")</f>
        <v/>
      </c>
    </row>
    <row r="2632">
      <c r="A2632" t="inlineStr">
        <is>
          <t>2025-07-29</t>
        </is>
      </c>
      <c r="B2632" t="inlineStr">
        <is>
          <t>대덕전자</t>
        </is>
      </c>
      <c r="C2632" t="inlineStr">
        <is>
          <t>353200</t>
        </is>
      </c>
      <c r="D2632" t="inlineStr">
        <is>
          <t>연결</t>
        </is>
      </c>
      <c r="E2632" t="inlineStr">
        <is>
          <t>2025Q2</t>
        </is>
      </c>
      <c r="F2632" s="2" t="n">
        <v>245858</v>
      </c>
      <c r="G2632" t="n">
        <v>14.2</v>
      </c>
      <c r="H2632" t="n">
        <v>3.2</v>
      </c>
      <c r="I2632" s="2" t="n">
        <v>1866</v>
      </c>
      <c r="J2632" t="inlineStr"/>
      <c r="K2632" t="n">
        <v>-82.90000000000001</v>
      </c>
      <c r="L2632" s="2" t="n">
        <v>4409</v>
      </c>
      <c r="M2632" t="n">
        <v>-64</v>
      </c>
      <c r="N2632" t="inlineStr">
        <is>
          <t>20250729800287</t>
        </is>
      </c>
      <c r="O2632">
        <f>HYPERLINK("https://dart.fss.or.kr/dsaf001/main.do?rcpNo=20250729800287", "공시열람")</f>
        <v/>
      </c>
    </row>
    <row r="2633">
      <c r="A2633" t="inlineStr">
        <is>
          <t>2025-07-29</t>
        </is>
      </c>
      <c r="B2633" t="inlineStr">
        <is>
          <t>대교</t>
        </is>
      </c>
      <c r="C2633" t="inlineStr">
        <is>
          <t>019680</t>
        </is>
      </c>
      <c r="D2633" t="inlineStr">
        <is>
          <t>연결</t>
        </is>
      </c>
      <c r="E2633" t="inlineStr">
        <is>
          <t>2025Q2</t>
        </is>
      </c>
      <c r="F2633" s="2" t="n">
        <v>162500</v>
      </c>
      <c r="G2633" t="n">
        <v>-1.9</v>
      </c>
      <c r="H2633" t="n">
        <v>1.3</v>
      </c>
      <c r="I2633" s="2" t="n">
        <v>40</v>
      </c>
      <c r="J2633" t="n">
        <v>-95.09999999999999</v>
      </c>
      <c r="K2633" t="inlineStr"/>
      <c r="L2633" s="2" t="n">
        <v>-2800</v>
      </c>
      <c r="M2633" t="n">
        <v>36.7</v>
      </c>
      <c r="N2633" t="inlineStr">
        <is>
          <t>20250729800092</t>
        </is>
      </c>
      <c r="O2633">
        <f>HYPERLINK("https://dart.fss.or.kr/dsaf001/main.do?rcpNo=20250729800092", "공시열람")</f>
        <v/>
      </c>
    </row>
    <row r="2634">
      <c r="A2634" t="inlineStr">
        <is>
          <t>2025-07-29</t>
        </is>
      </c>
      <c r="B2634" t="inlineStr">
        <is>
          <t>크래프톤</t>
        </is>
      </c>
      <c r="C2634" t="inlineStr">
        <is>
          <t>259960</t>
        </is>
      </c>
      <c r="D2634" t="inlineStr">
        <is>
          <t>연결</t>
        </is>
      </c>
      <c r="E2634" t="inlineStr">
        <is>
          <t>2025Q2</t>
        </is>
      </c>
      <c r="F2634" s="2" t="n">
        <v>662000</v>
      </c>
      <c r="G2634" t="n">
        <v>-24.3</v>
      </c>
      <c r="H2634" t="n">
        <v>-6.4</v>
      </c>
      <c r="I2634" s="2" t="n">
        <v>246000</v>
      </c>
      <c r="J2634" t="n">
        <v>-46.2</v>
      </c>
      <c r="K2634" t="n">
        <v>-25.9</v>
      </c>
      <c r="L2634" s="2" t="n">
        <v>15500</v>
      </c>
      <c r="M2634" t="n">
        <v>-95.40000000000001</v>
      </c>
      <c r="N2634" t="inlineStr">
        <is>
          <t>20250729800281</t>
        </is>
      </c>
      <c r="O2634">
        <f>HYPERLINK("https://dart.fss.or.kr/dsaf001/main.do?rcpNo=20250729800281", "공시열람")</f>
        <v/>
      </c>
    </row>
    <row r="2635">
      <c r="A2635" t="inlineStr">
        <is>
          <t>2025-07-29</t>
        </is>
      </c>
      <c r="B2635" t="inlineStr">
        <is>
          <t>강원랜드</t>
        </is>
      </c>
      <c r="C2635" t="inlineStr">
        <is>
          <t>035250</t>
        </is>
      </c>
      <c r="D2635" t="inlineStr">
        <is>
          <t>별도</t>
        </is>
      </c>
      <c r="E2635" t="inlineStr">
        <is>
          <t>2025Q2</t>
        </is>
      </c>
      <c r="F2635" s="2" t="n">
        <v>360727</v>
      </c>
      <c r="G2635" t="inlineStr"/>
      <c r="H2635" t="inlineStr"/>
      <c r="I2635" s="2" t="n">
        <v>57874</v>
      </c>
      <c r="J2635" t="inlineStr"/>
      <c r="K2635" t="inlineStr"/>
      <c r="L2635" s="2" t="n">
        <v>60630</v>
      </c>
      <c r="M2635" t="inlineStr"/>
      <c r="N2635" t="inlineStr">
        <is>
          <t>20250729800268</t>
        </is>
      </c>
      <c r="O2635">
        <f>HYPERLINK("https://dart.fss.or.kr/dsaf001/main.do?rcpNo=20250729800268", "공시열람")</f>
        <v/>
      </c>
    </row>
    <row r="2636">
      <c r="A2636" t="inlineStr">
        <is>
          <t>2025-07-29</t>
        </is>
      </c>
      <c r="B2636" t="inlineStr">
        <is>
          <t>롯데이노베이트</t>
        </is>
      </c>
      <c r="C2636" t="inlineStr">
        <is>
          <t>286940</t>
        </is>
      </c>
      <c r="D2636" t="inlineStr">
        <is>
          <t>연결</t>
        </is>
      </c>
      <c r="E2636" t="inlineStr">
        <is>
          <t>2025Q2</t>
        </is>
      </c>
      <c r="F2636" s="2" t="n">
        <v>280758</v>
      </c>
      <c r="G2636" t="n">
        <v>-1.4</v>
      </c>
      <c r="H2636" t="n">
        <v>-2</v>
      </c>
      <c r="I2636" s="2" t="n">
        <v>8020</v>
      </c>
      <c r="J2636" t="n">
        <v>15.3</v>
      </c>
      <c r="K2636" t="n">
        <v>37.3</v>
      </c>
      <c r="L2636" s="2" t="n">
        <v>2634</v>
      </c>
      <c r="M2636" t="n">
        <v>10.6</v>
      </c>
      <c r="N2636" t="inlineStr">
        <is>
          <t>20250729800235</t>
        </is>
      </c>
      <c r="O2636">
        <f>HYPERLINK("https://dart.fss.or.kr/dsaf001/main.do?rcpNo=20250729800235", "공시열람")</f>
        <v/>
      </c>
    </row>
    <row r="2637">
      <c r="A2637" t="inlineStr">
        <is>
          <t>2025-07-29</t>
        </is>
      </c>
      <c r="B2637" t="inlineStr">
        <is>
          <t>한국항공우주</t>
        </is>
      </c>
      <c r="C2637" t="inlineStr">
        <is>
          <t>047810</t>
        </is>
      </c>
      <c r="D2637" t="inlineStr">
        <is>
          <t>연결</t>
        </is>
      </c>
      <c r="E2637" t="inlineStr">
        <is>
          <t>2025Q2</t>
        </is>
      </c>
      <c r="F2637" s="2" t="n">
        <v>828300</v>
      </c>
      <c r="G2637" t="n">
        <v>18.4</v>
      </c>
      <c r="H2637" t="n">
        <v>-7.1</v>
      </c>
      <c r="I2637" s="2" t="n">
        <v>85200</v>
      </c>
      <c r="J2637" t="n">
        <v>82.09999999999999</v>
      </c>
      <c r="K2637" t="n">
        <v>14.7</v>
      </c>
      <c r="L2637" s="2" t="n">
        <v>57100</v>
      </c>
      <c r="M2637" t="n">
        <v>3</v>
      </c>
      <c r="N2637" t="inlineStr">
        <is>
          <t>20250729800220</t>
        </is>
      </c>
      <c r="O2637">
        <f>HYPERLINK("https://dart.fss.or.kr/dsaf001/main.do?rcpNo=20250729800220", "공시열람")</f>
        <v/>
      </c>
    </row>
    <row r="2638">
      <c r="A2638" t="inlineStr">
        <is>
          <t>2025-07-29</t>
        </is>
      </c>
      <c r="B2638" t="inlineStr">
        <is>
          <t>에스앤에스텍</t>
        </is>
      </c>
      <c r="C2638" t="inlineStr">
        <is>
          <t>101490</t>
        </is>
      </c>
      <c r="D2638" t="inlineStr">
        <is>
          <t>연결</t>
        </is>
      </c>
      <c r="E2638" t="inlineStr">
        <is>
          <t>2025Q2</t>
        </is>
      </c>
      <c r="F2638" s="2" t="n">
        <v>60672</v>
      </c>
      <c r="G2638" t="inlineStr"/>
      <c r="H2638" t="inlineStr"/>
      <c r="I2638" s="2" t="n">
        <v>13293</v>
      </c>
      <c r="J2638" t="inlineStr"/>
      <c r="K2638" t="inlineStr"/>
      <c r="L2638" s="2" t="n">
        <v>10090</v>
      </c>
      <c r="M2638" t="inlineStr"/>
      <c r="N2638" t="inlineStr">
        <is>
          <t>20250729900128</t>
        </is>
      </c>
      <c r="O2638">
        <f>HYPERLINK("https://dart.fss.or.kr/dsaf001/main.do?rcpNo=20250729900128", "공시열람")</f>
        <v/>
      </c>
    </row>
    <row r="2639">
      <c r="A2639" t="inlineStr">
        <is>
          <t>2025-07-29</t>
        </is>
      </c>
      <c r="B2639" t="inlineStr">
        <is>
          <t>한화오션</t>
        </is>
      </c>
      <c r="C2639" t="inlineStr">
        <is>
          <t>042660</t>
        </is>
      </c>
      <c r="D2639" t="inlineStr">
        <is>
          <t>연결</t>
        </is>
      </c>
      <c r="E2639" t="inlineStr">
        <is>
          <t>2025Q2</t>
        </is>
      </c>
      <c r="F2639" s="2" t="n">
        <v>3294100</v>
      </c>
      <c r="G2639" t="n">
        <v>4.8</v>
      </c>
      <c r="H2639" t="n">
        <v>29.9</v>
      </c>
      <c r="I2639" s="2" t="n">
        <v>371700</v>
      </c>
      <c r="J2639" t="n">
        <v>43.7</v>
      </c>
      <c r="K2639" t="inlineStr"/>
      <c r="L2639" s="2" t="n">
        <v>148500</v>
      </c>
      <c r="M2639" t="inlineStr"/>
      <c r="N2639" t="inlineStr">
        <is>
          <t>20250729800155</t>
        </is>
      </c>
      <c r="O2639">
        <f>HYPERLINK("https://dart.fss.or.kr/dsaf001/main.do?rcpNo=20250729800155", "공시열람")</f>
        <v/>
      </c>
    </row>
    <row r="2640">
      <c r="A2640" t="inlineStr">
        <is>
          <t>2025-07-29</t>
        </is>
      </c>
      <c r="B2640" t="inlineStr">
        <is>
          <t>삼양엔씨켐</t>
        </is>
      </c>
      <c r="C2640" t="inlineStr">
        <is>
          <t>482630</t>
        </is>
      </c>
      <c r="D2640" t="inlineStr">
        <is>
          <t>별도</t>
        </is>
      </c>
      <c r="E2640" t="inlineStr">
        <is>
          <t>2025Q2</t>
        </is>
      </c>
      <c r="F2640" s="2" t="n">
        <v>30664</v>
      </c>
      <c r="G2640" t="inlineStr"/>
      <c r="H2640" t="inlineStr"/>
      <c r="I2640" s="2" t="n">
        <v>4291</v>
      </c>
      <c r="J2640" t="inlineStr"/>
      <c r="K2640" t="inlineStr"/>
      <c r="L2640" s="2" t="n">
        <v>3545</v>
      </c>
      <c r="M2640" t="inlineStr"/>
      <c r="N2640" t="inlineStr">
        <is>
          <t>20250729900057</t>
        </is>
      </c>
      <c r="O2640">
        <f>HYPERLINK("https://dart.fss.or.kr/dsaf001/main.do?rcpNo=20250729900057", "공시열람")</f>
        <v/>
      </c>
    </row>
    <row r="2641">
      <c r="A2641" t="inlineStr">
        <is>
          <t>2025-07-29</t>
        </is>
      </c>
      <c r="B2641" t="inlineStr">
        <is>
          <t>안랩</t>
        </is>
      </c>
      <c r="C2641" t="inlineStr">
        <is>
          <t>053800</t>
        </is>
      </c>
      <c r="D2641" t="inlineStr">
        <is>
          <t>연결</t>
        </is>
      </c>
      <c r="E2641" t="inlineStr">
        <is>
          <t>2025Q2</t>
        </is>
      </c>
      <c r="F2641" s="2" t="n">
        <v>62289</v>
      </c>
      <c r="G2641" t="inlineStr"/>
      <c r="H2641" t="inlineStr"/>
      <c r="I2641" s="2" t="n">
        <v>3459</v>
      </c>
      <c r="J2641" t="inlineStr"/>
      <c r="K2641" t="inlineStr"/>
      <c r="L2641" s="2" t="n">
        <v>13360</v>
      </c>
      <c r="M2641" t="inlineStr"/>
      <c r="N2641" t="inlineStr">
        <is>
          <t>20250729900047</t>
        </is>
      </c>
      <c r="O2641">
        <f>HYPERLINK("https://dart.fss.or.kr/dsaf001/main.do?rcpNo=20250729900047", "공시열람")</f>
        <v/>
      </c>
    </row>
    <row r="2642">
      <c r="A2642" t="inlineStr">
        <is>
          <t>2025-07-29</t>
        </is>
      </c>
      <c r="B2642" t="inlineStr">
        <is>
          <t>안랩</t>
        </is>
      </c>
      <c r="C2642" t="inlineStr">
        <is>
          <t>053800</t>
        </is>
      </c>
      <c r="D2642" t="inlineStr">
        <is>
          <t>별도</t>
        </is>
      </c>
      <c r="E2642" t="inlineStr">
        <is>
          <t>2025Q2</t>
        </is>
      </c>
      <c r="F2642" s="2" t="n">
        <v>54927</v>
      </c>
      <c r="G2642" t="inlineStr"/>
      <c r="H2642" t="inlineStr"/>
      <c r="I2642" s="2" t="n">
        <v>6646</v>
      </c>
      <c r="J2642" t="inlineStr"/>
      <c r="K2642" t="inlineStr"/>
      <c r="L2642" s="2" t="n">
        <v>15228</v>
      </c>
      <c r="M2642" t="inlineStr"/>
      <c r="N2642" t="inlineStr">
        <is>
          <t>20250729900046</t>
        </is>
      </c>
      <c r="O2642">
        <f>HYPERLINK("https://dart.fss.or.kr/dsaf001/main.do?rcpNo=20250729900046", "공시열람")</f>
        <v/>
      </c>
    </row>
    <row r="2643">
      <c r="A2643" t="inlineStr">
        <is>
          <t>2025-07-29</t>
        </is>
      </c>
      <c r="B2643" t="inlineStr">
        <is>
          <t>PI첨단소재</t>
        </is>
      </c>
      <c r="C2643" t="inlineStr">
        <is>
          <t>178920</t>
        </is>
      </c>
      <c r="D2643" t="inlineStr">
        <is>
          <t>별도</t>
        </is>
      </c>
      <c r="E2643" t="inlineStr">
        <is>
          <t>2025Q2</t>
        </is>
      </c>
      <c r="F2643" s="2" t="n">
        <v>72469</v>
      </c>
      <c r="G2643" t="inlineStr"/>
      <c r="H2643" t="inlineStr"/>
      <c r="I2643" s="2" t="n">
        <v>16170</v>
      </c>
      <c r="J2643" t="inlineStr"/>
      <c r="K2643" t="inlineStr"/>
      <c r="L2643" s="2" t="n">
        <v>11711</v>
      </c>
      <c r="M2643" t="inlineStr"/>
      <c r="N2643" t="inlineStr">
        <is>
          <t>20250729800018</t>
        </is>
      </c>
      <c r="O2643">
        <f>HYPERLINK("https://dart.fss.or.kr/dsaf001/main.do?rcpNo=20250729800018", "공시열람")</f>
        <v/>
      </c>
    </row>
    <row r="2644">
      <c r="A2644" t="inlineStr">
        <is>
          <t>2025-07-29</t>
        </is>
      </c>
      <c r="B2644" t="inlineStr">
        <is>
          <t>대우건설</t>
        </is>
      </c>
      <c r="C2644" t="inlineStr">
        <is>
          <t>047040</t>
        </is>
      </c>
      <c r="D2644" t="inlineStr">
        <is>
          <t>연결</t>
        </is>
      </c>
      <c r="E2644" t="inlineStr">
        <is>
          <t>2025Q2</t>
        </is>
      </c>
      <c r="F2644" s="2" t="n">
        <v>2273300</v>
      </c>
      <c r="G2644" t="n">
        <v>9.5</v>
      </c>
      <c r="H2644" t="n">
        <v>-19.4</v>
      </c>
      <c r="I2644" s="2" t="n">
        <v>82200</v>
      </c>
      <c r="J2644" t="n">
        <v>-45.7</v>
      </c>
      <c r="K2644" t="n">
        <v>-21.6</v>
      </c>
      <c r="L2644" s="2" t="n">
        <v>-43000</v>
      </c>
      <c r="M2644" t="inlineStr"/>
      <c r="N2644" t="inlineStr">
        <is>
          <t>20250729800029</t>
        </is>
      </c>
      <c r="O2644">
        <f>HYPERLINK("https://dart.fss.or.kr/dsaf001/main.do?rcpNo=20250729800029", "공시열람")</f>
        <v/>
      </c>
    </row>
    <row r="2645">
      <c r="A2645" t="inlineStr">
        <is>
          <t>2025-07-29</t>
        </is>
      </c>
      <c r="B2645" t="inlineStr">
        <is>
          <t>칩스앤미디어</t>
        </is>
      </c>
      <c r="C2645" t="inlineStr">
        <is>
          <t>094360</t>
        </is>
      </c>
      <c r="D2645" t="inlineStr">
        <is>
          <t>연결</t>
        </is>
      </c>
      <c r="E2645" t="inlineStr">
        <is>
          <t>2025Q2</t>
        </is>
      </c>
      <c r="F2645" s="2" t="n">
        <v>6613</v>
      </c>
      <c r="G2645" t="inlineStr"/>
      <c r="H2645" t="inlineStr"/>
      <c r="I2645" s="2" t="n">
        <v>1376</v>
      </c>
      <c r="J2645" t="inlineStr"/>
      <c r="K2645" t="inlineStr"/>
      <c r="L2645" s="2" t="n">
        <v>802</v>
      </c>
      <c r="M2645" t="inlineStr"/>
      <c r="N2645" t="inlineStr">
        <is>
          <t>20250729900045</t>
        </is>
      </c>
      <c r="O2645">
        <f>HYPERLINK("https://dart.fss.or.kr/dsaf001/main.do?rcpNo=20250729900045", "공시열람")</f>
        <v/>
      </c>
    </row>
    <row r="2646">
      <c r="A2646" t="inlineStr">
        <is>
          <t>2025-07-28</t>
        </is>
      </c>
      <c r="B2646" t="inlineStr">
        <is>
          <t>크라우드웍스</t>
        </is>
      </c>
      <c r="C2646" t="inlineStr">
        <is>
          <t>355390</t>
        </is>
      </c>
      <c r="D2646" t="inlineStr">
        <is>
          <t>연결</t>
        </is>
      </c>
      <c r="E2646" t="inlineStr">
        <is>
          <t>2025Q2</t>
        </is>
      </c>
      <c r="F2646" s="2" t="n">
        <v>1994</v>
      </c>
      <c r="G2646" t="inlineStr"/>
      <c r="H2646" t="inlineStr"/>
      <c r="I2646" s="2" t="n">
        <v>-3009</v>
      </c>
      <c r="J2646" t="inlineStr"/>
      <c r="K2646" t="inlineStr"/>
      <c r="L2646" s="2" t="n">
        <v>-5852</v>
      </c>
      <c r="M2646" t="inlineStr"/>
      <c r="N2646" t="inlineStr">
        <is>
          <t>20250728900459</t>
        </is>
      </c>
      <c r="O2646">
        <f>HYPERLINK("https://dart.fss.or.kr/dsaf001/main.do?rcpNo=20250728900459", "공시열람")</f>
        <v/>
      </c>
    </row>
    <row r="2647">
      <c r="A2647" t="inlineStr">
        <is>
          <t>2025-07-28</t>
        </is>
      </c>
      <c r="B2647" t="inlineStr">
        <is>
          <t>플리토</t>
        </is>
      </c>
      <c r="C2647" t="inlineStr">
        <is>
          <t>300080</t>
        </is>
      </c>
      <c r="D2647" t="inlineStr">
        <is>
          <t>연결</t>
        </is>
      </c>
      <c r="E2647" t="inlineStr">
        <is>
          <t>2025Q2</t>
        </is>
      </c>
      <c r="F2647" s="2" t="n">
        <v>9378</v>
      </c>
      <c r="G2647" t="inlineStr"/>
      <c r="H2647" t="inlineStr"/>
      <c r="I2647" s="2" t="n">
        <v>2430</v>
      </c>
      <c r="J2647" t="inlineStr"/>
      <c r="K2647" t="inlineStr"/>
      <c r="L2647" s="2" t="n">
        <v>2326</v>
      </c>
      <c r="M2647" t="inlineStr"/>
      <c r="N2647" t="inlineStr">
        <is>
          <t>20250728900040</t>
        </is>
      </c>
      <c r="O2647">
        <f>HYPERLINK("https://dart.fss.or.kr/dsaf001/main.do?rcpNo=20250728900040", "공시열람")</f>
        <v/>
      </c>
    </row>
    <row r="2648">
      <c r="A2648" t="inlineStr">
        <is>
          <t>2025-07-28</t>
        </is>
      </c>
      <c r="B2648" t="inlineStr">
        <is>
          <t>롯데하이마트</t>
        </is>
      </c>
      <c r="C2648" t="inlineStr">
        <is>
          <t>071840</t>
        </is>
      </c>
      <c r="D2648" t="inlineStr">
        <is>
          <t>별도</t>
        </is>
      </c>
      <c r="E2648" t="inlineStr">
        <is>
          <t>2025Q2</t>
        </is>
      </c>
      <c r="F2648" s="2" t="n">
        <v>594203</v>
      </c>
      <c r="G2648" t="n">
        <v>12.3</v>
      </c>
      <c r="H2648" t="n">
        <v>0.8</v>
      </c>
      <c r="I2648" s="2" t="n">
        <v>10491</v>
      </c>
      <c r="J2648" t="inlineStr"/>
      <c r="K2648" t="n">
        <v>277.2</v>
      </c>
      <c r="L2648" s="2" t="n">
        <v>11117</v>
      </c>
      <c r="M2648" t="n">
        <v>667.2</v>
      </c>
      <c r="N2648" t="inlineStr">
        <is>
          <t>20250728800054</t>
        </is>
      </c>
      <c r="O2648">
        <f>HYPERLINK("https://dart.fss.or.kr/dsaf001/main.do?rcpNo=20250728800054", "공시열람")</f>
        <v/>
      </c>
    </row>
    <row r="2649">
      <c r="A2649" t="inlineStr">
        <is>
          <t>2025-07-28</t>
        </is>
      </c>
      <c r="B2649" t="inlineStr">
        <is>
          <t>코나아이</t>
        </is>
      </c>
      <c r="C2649" t="inlineStr">
        <is>
          <t>052400</t>
        </is>
      </c>
      <c r="D2649" t="inlineStr">
        <is>
          <t>연결</t>
        </is>
      </c>
      <c r="E2649" t="inlineStr">
        <is>
          <t>2025Q2</t>
        </is>
      </c>
      <c r="F2649" s="2" t="n">
        <v>67214</v>
      </c>
      <c r="G2649" t="inlineStr"/>
      <c r="H2649" t="inlineStr"/>
      <c r="I2649" s="2" t="n">
        <v>17207</v>
      </c>
      <c r="J2649" t="inlineStr"/>
      <c r="K2649" t="inlineStr"/>
      <c r="L2649" s="2" t="n">
        <v>15567</v>
      </c>
      <c r="M2649" t="inlineStr"/>
      <c r="N2649" t="inlineStr">
        <is>
          <t>20250728900041</t>
        </is>
      </c>
      <c r="O2649">
        <f>HYPERLINK("https://dart.fss.or.kr/dsaf001/main.do?rcpNo=20250728900041", "공시열람")</f>
        <v/>
      </c>
    </row>
    <row r="2650">
      <c r="A2650" t="inlineStr">
        <is>
          <t>2025-07-28</t>
        </is>
      </c>
      <c r="B2650" t="inlineStr">
        <is>
          <t>샘씨엔에스</t>
        </is>
      </c>
      <c r="C2650" t="inlineStr">
        <is>
          <t>252990</t>
        </is>
      </c>
      <c r="D2650" t="inlineStr">
        <is>
          <t>별도</t>
        </is>
      </c>
      <c r="E2650" t="inlineStr">
        <is>
          <t>2025Q2</t>
        </is>
      </c>
      <c r="F2650" s="2" t="n">
        <v>18716</v>
      </c>
      <c r="G2650" t="inlineStr"/>
      <c r="H2650" t="inlineStr"/>
      <c r="I2650" s="2" t="n">
        <v>3454</v>
      </c>
      <c r="J2650" t="inlineStr"/>
      <c r="K2650" t="inlineStr"/>
      <c r="L2650" s="2" t="n">
        <v>3283</v>
      </c>
      <c r="M2650" t="inlineStr"/>
      <c r="N2650" t="inlineStr">
        <is>
          <t>20250728900082</t>
        </is>
      </c>
      <c r="O2650">
        <f>HYPERLINK("https://dart.fss.or.kr/dsaf001/main.do?rcpNo=20250728900082", "공시열람")</f>
        <v/>
      </c>
    </row>
    <row r="2651">
      <c r="A2651" t="inlineStr">
        <is>
          <t>2025-07-28</t>
        </is>
      </c>
      <c r="B2651" t="inlineStr">
        <is>
          <t>도이치모터스</t>
        </is>
      </c>
      <c r="C2651" t="inlineStr">
        <is>
          <t>067990</t>
        </is>
      </c>
      <c r="D2651" t="inlineStr">
        <is>
          <t>연결</t>
        </is>
      </c>
      <c r="E2651" t="inlineStr">
        <is>
          <t>2025Q2</t>
        </is>
      </c>
      <c r="F2651" s="2" t="n">
        <v>652936</v>
      </c>
      <c r="G2651" t="inlineStr"/>
      <c r="H2651" t="inlineStr"/>
      <c r="I2651" s="2" t="n">
        <v>13734</v>
      </c>
      <c r="J2651" t="inlineStr"/>
      <c r="K2651" t="inlineStr"/>
      <c r="L2651" s="2" t="n">
        <v>2797</v>
      </c>
      <c r="M2651" t="inlineStr"/>
      <c r="N2651" t="inlineStr">
        <is>
          <t>20250728900099</t>
        </is>
      </c>
      <c r="O2651">
        <f>HYPERLINK("https://dart.fss.or.kr/dsaf001/main.do?rcpNo=20250728900099", "공시열람")</f>
        <v/>
      </c>
    </row>
    <row r="2652">
      <c r="A2652" t="inlineStr">
        <is>
          <t>2025-07-28</t>
        </is>
      </c>
      <c r="B2652" t="inlineStr">
        <is>
          <t>유나이티드</t>
        </is>
      </c>
      <c r="C2652" t="inlineStr">
        <is>
          <t>033270</t>
        </is>
      </c>
      <c r="D2652" t="inlineStr">
        <is>
          <t>별도</t>
        </is>
      </c>
      <c r="E2652" t="inlineStr">
        <is>
          <t>2025Q2</t>
        </is>
      </c>
      <c r="F2652" s="2" t="n">
        <v>70374</v>
      </c>
      <c r="G2652" t="n">
        <v>-1.4</v>
      </c>
      <c r="H2652" t="n">
        <v>-0.9</v>
      </c>
      <c r="I2652" s="2" t="n">
        <v>10759</v>
      </c>
      <c r="J2652" t="n">
        <v>-21.9</v>
      </c>
      <c r="K2652" t="n">
        <v>-14.1</v>
      </c>
      <c r="L2652" s="2" t="n">
        <v>1180</v>
      </c>
      <c r="M2652" t="inlineStr"/>
      <c r="N2652" t="inlineStr">
        <is>
          <t>20250728800576</t>
        </is>
      </c>
      <c r="O2652">
        <f>HYPERLINK("https://dart.fss.or.kr/dsaf001/main.do?rcpNo=20250728800576", "공시열람")</f>
        <v/>
      </c>
    </row>
    <row r="2653">
      <c r="A2653" t="inlineStr">
        <is>
          <t>2025-07-28</t>
        </is>
      </c>
      <c r="B2653" t="inlineStr">
        <is>
          <t>블루엠텍</t>
        </is>
      </c>
      <c r="C2653" t="inlineStr">
        <is>
          <t>439580</t>
        </is>
      </c>
      <c r="D2653" t="inlineStr">
        <is>
          <t>연결</t>
        </is>
      </c>
      <c r="E2653" t="inlineStr">
        <is>
          <t>2025Q2</t>
        </is>
      </c>
      <c r="F2653" s="2" t="n">
        <v>45697</v>
      </c>
      <c r="G2653" t="inlineStr"/>
      <c r="H2653" t="inlineStr"/>
      <c r="I2653" s="2" t="n">
        <v>-800</v>
      </c>
      <c r="J2653" t="inlineStr"/>
      <c r="K2653" t="inlineStr"/>
      <c r="L2653" s="2" t="n">
        <v>-2569</v>
      </c>
      <c r="M2653" t="inlineStr"/>
      <c r="N2653" t="inlineStr">
        <is>
          <t>20250728900398</t>
        </is>
      </c>
      <c r="O2653">
        <f>HYPERLINK("https://dart.fss.or.kr/dsaf001/main.do?rcpNo=20250728900398", "공시열람")</f>
        <v/>
      </c>
    </row>
    <row r="2654">
      <c r="A2654" t="inlineStr">
        <is>
          <t>2025-07-28</t>
        </is>
      </c>
      <c r="B2654" t="inlineStr">
        <is>
          <t>플레이디</t>
        </is>
      </c>
      <c r="C2654" t="inlineStr">
        <is>
          <t>237820</t>
        </is>
      </c>
      <c r="D2654" t="inlineStr">
        <is>
          <t>별도</t>
        </is>
      </c>
      <c r="E2654" t="inlineStr">
        <is>
          <t>2025Q2</t>
        </is>
      </c>
      <c r="F2654" s="2" t="n">
        <v>9792</v>
      </c>
      <c r="G2654" t="inlineStr"/>
      <c r="H2654" t="inlineStr"/>
      <c r="I2654" s="2" t="n">
        <v>1697</v>
      </c>
      <c r="J2654" t="inlineStr"/>
      <c r="K2654" t="inlineStr"/>
      <c r="L2654" s="2" t="n">
        <v>1627</v>
      </c>
      <c r="M2654" t="inlineStr"/>
      <c r="N2654" t="inlineStr">
        <is>
          <t>20250728900436</t>
        </is>
      </c>
      <c r="O2654">
        <f>HYPERLINK("https://dart.fss.or.kr/dsaf001/main.do?rcpNo=20250728900436", "공시열람")</f>
        <v/>
      </c>
    </row>
    <row r="2655">
      <c r="A2655" t="inlineStr">
        <is>
          <t>2025-07-28</t>
        </is>
      </c>
      <c r="B2655" t="inlineStr">
        <is>
          <t>서울평가정보</t>
        </is>
      </c>
      <c r="C2655" t="inlineStr">
        <is>
          <t>036120</t>
        </is>
      </c>
      <c r="D2655" t="inlineStr">
        <is>
          <t>연결</t>
        </is>
      </c>
      <c r="E2655" t="inlineStr">
        <is>
          <t>2025Q2</t>
        </is>
      </c>
      <c r="F2655" s="2" t="n">
        <v>15454</v>
      </c>
      <c r="G2655" t="inlineStr"/>
      <c r="H2655" t="inlineStr"/>
      <c r="I2655" s="2" t="n">
        <v>6508</v>
      </c>
      <c r="J2655" t="inlineStr"/>
      <c r="K2655" t="inlineStr"/>
      <c r="L2655" s="2" t="n">
        <v>5182</v>
      </c>
      <c r="M2655" t="inlineStr"/>
      <c r="N2655" t="inlineStr">
        <is>
          <t>20250728900174</t>
        </is>
      </c>
      <c r="O2655">
        <f>HYPERLINK("https://dart.fss.or.kr/dsaf001/main.do?rcpNo=20250728900174", "공시열람")</f>
        <v/>
      </c>
    </row>
    <row r="2656">
      <c r="A2656" t="inlineStr">
        <is>
          <t>2025-07-28</t>
        </is>
      </c>
      <c r="B2656" t="inlineStr">
        <is>
          <t>RFHIC</t>
        </is>
      </c>
      <c r="C2656" t="inlineStr">
        <is>
          <t>218410</t>
        </is>
      </c>
      <c r="D2656" t="inlineStr">
        <is>
          <t>연결</t>
        </is>
      </c>
      <c r="E2656" t="inlineStr">
        <is>
          <t>2025Q2</t>
        </is>
      </c>
      <c r="F2656" s="2" t="n">
        <v>44639</v>
      </c>
      <c r="G2656" t="inlineStr"/>
      <c r="H2656" t="inlineStr"/>
      <c r="I2656" s="2" t="n">
        <v>8305</v>
      </c>
      <c r="J2656" t="inlineStr"/>
      <c r="K2656" t="inlineStr"/>
      <c r="L2656" s="2" t="n">
        <v>8393</v>
      </c>
      <c r="M2656" t="inlineStr"/>
      <c r="N2656" t="inlineStr">
        <is>
          <t>20250728900076</t>
        </is>
      </c>
      <c r="O2656">
        <f>HYPERLINK("https://dart.fss.or.kr/dsaf001/main.do?rcpNo=20250728900076", "공시열람")</f>
        <v/>
      </c>
    </row>
    <row r="2657">
      <c r="A2657" t="inlineStr">
        <is>
          <t>2025-07-28</t>
        </is>
      </c>
      <c r="B2657" t="inlineStr">
        <is>
          <t>iM금융지주</t>
        </is>
      </c>
      <c r="C2657" t="inlineStr">
        <is>
          <t>139130</t>
        </is>
      </c>
      <c r="D2657" t="inlineStr">
        <is>
          <t>연결</t>
        </is>
      </c>
      <c r="E2657" t="inlineStr">
        <is>
          <t>2025Q2</t>
        </is>
      </c>
      <c r="F2657" s="2" t="n">
        <v>2271840</v>
      </c>
      <c r="G2657" t="n">
        <v>23.8</v>
      </c>
      <c r="H2657" t="n">
        <v>12.4</v>
      </c>
      <c r="I2657" s="2" t="n">
        <v>198553</v>
      </c>
      <c r="J2657" t="n">
        <v>-5</v>
      </c>
      <c r="K2657" t="n">
        <v>493.3</v>
      </c>
      <c r="L2657" s="2" t="n">
        <v>159280</v>
      </c>
      <c r="M2657" t="n">
        <v>417.6</v>
      </c>
      <c r="N2657" t="inlineStr">
        <is>
          <t>20250728800364</t>
        </is>
      </c>
      <c r="O2657">
        <f>HYPERLINK("https://dart.fss.or.kr/dsaf001/main.do?rcpNo=20250728800364", "공시열람")</f>
        <v/>
      </c>
    </row>
    <row r="2658">
      <c r="A2658" t="inlineStr">
        <is>
          <t>2025-07-28</t>
        </is>
      </c>
      <c r="B2658" t="inlineStr">
        <is>
          <t>두산로보틱스</t>
        </is>
      </c>
      <c r="C2658" t="inlineStr">
        <is>
          <t>454910</t>
        </is>
      </c>
      <c r="D2658" t="inlineStr">
        <is>
          <t>연결</t>
        </is>
      </c>
      <c r="E2658" t="inlineStr">
        <is>
          <t>2025Q2</t>
        </is>
      </c>
      <c r="F2658" s="2" t="n">
        <v>4532</v>
      </c>
      <c r="G2658" t="n">
        <v>-14.15</v>
      </c>
      <c r="H2658" t="n">
        <v>-68.58</v>
      </c>
      <c r="I2658" s="2" t="n">
        <v>-15650</v>
      </c>
      <c r="J2658" t="n">
        <v>-29.27</v>
      </c>
      <c r="K2658" t="n">
        <v>-98.84999999999999</v>
      </c>
      <c r="L2658" s="2" t="n">
        <v>-16567</v>
      </c>
      <c r="M2658" t="n">
        <v>-347.06</v>
      </c>
      <c r="N2658" t="inlineStr">
        <is>
          <t>20250728800373</t>
        </is>
      </c>
      <c r="O2658">
        <f>HYPERLINK("https://dart.fss.or.kr/dsaf001/main.do?rcpNo=20250728800373", "공시열람")</f>
        <v/>
      </c>
    </row>
    <row r="2659">
      <c r="A2659" t="inlineStr">
        <is>
          <t>2025-07-28</t>
        </is>
      </c>
      <c r="B2659" t="inlineStr">
        <is>
          <t>iM금융지주</t>
        </is>
      </c>
      <c r="C2659" t="inlineStr">
        <is>
          <t>139130</t>
        </is>
      </c>
      <c r="D2659" t="inlineStr">
        <is>
          <t>연결</t>
        </is>
      </c>
      <c r="E2659" t="inlineStr">
        <is>
          <t>2025Q2</t>
        </is>
      </c>
      <c r="F2659" s="2" t="n">
        <v>1199404</v>
      </c>
      <c r="G2659" t="n">
        <v>14.1</v>
      </c>
      <c r="H2659" t="n">
        <v>4.5</v>
      </c>
      <c r="I2659" s="2" t="n">
        <v>163323</v>
      </c>
      <c r="J2659" t="n">
        <v>1.3</v>
      </c>
      <c r="K2659" t="n">
        <v>49.9</v>
      </c>
      <c r="L2659" s="2" t="n">
        <v>131284</v>
      </c>
      <c r="M2659" t="n">
        <v>44.9</v>
      </c>
      <c r="N2659" t="inlineStr">
        <is>
          <t>20250728800356</t>
        </is>
      </c>
      <c r="O2659">
        <f>HYPERLINK("https://dart.fss.or.kr/dsaf001/main.do?rcpNo=20250728800356", "공시열람")</f>
        <v/>
      </c>
    </row>
    <row r="2660">
      <c r="A2660" t="inlineStr">
        <is>
          <t>2025-07-28</t>
        </is>
      </c>
      <c r="B2660" t="inlineStr">
        <is>
          <t>iM금융지주</t>
        </is>
      </c>
      <c r="C2660" t="inlineStr">
        <is>
          <t>139130</t>
        </is>
      </c>
      <c r="D2660" t="inlineStr">
        <is>
          <t>연결</t>
        </is>
      </c>
      <c r="E2660" t="inlineStr">
        <is>
          <t>2025Q2</t>
        </is>
      </c>
      <c r="F2660" s="2" t="n">
        <v>716405</v>
      </c>
      <c r="G2660" t="n">
        <v>52.8</v>
      </c>
      <c r="H2660" t="n">
        <v>29.3</v>
      </c>
      <c r="I2660" s="2" t="n">
        <v>32873</v>
      </c>
      <c r="J2660" t="n">
        <v>-1.1</v>
      </c>
      <c r="K2660" t="inlineStr"/>
      <c r="L2660" s="2" t="n">
        <v>26755</v>
      </c>
      <c r="M2660" t="inlineStr"/>
      <c r="N2660" t="inlineStr">
        <is>
          <t>20250728800353</t>
        </is>
      </c>
      <c r="O2660">
        <f>HYPERLINK("https://dart.fss.or.kr/dsaf001/main.do?rcpNo=20250728800353", "공시열람")</f>
        <v/>
      </c>
    </row>
    <row r="2661">
      <c r="A2661" t="inlineStr">
        <is>
          <t>2025-07-28</t>
        </is>
      </c>
      <c r="B2661" t="inlineStr">
        <is>
          <t>에이치시티</t>
        </is>
      </c>
      <c r="C2661" t="inlineStr">
        <is>
          <t>072990</t>
        </is>
      </c>
      <c r="D2661" t="inlineStr">
        <is>
          <t>연결</t>
        </is>
      </c>
      <c r="E2661" t="inlineStr">
        <is>
          <t>2025Q2</t>
        </is>
      </c>
      <c r="F2661" s="2" t="n">
        <v>29187</v>
      </c>
      <c r="G2661" t="inlineStr"/>
      <c r="H2661" t="inlineStr"/>
      <c r="I2661" s="2" t="n">
        <v>4969</v>
      </c>
      <c r="J2661" t="inlineStr"/>
      <c r="K2661" t="inlineStr"/>
      <c r="L2661" s="2" t="n">
        <v>3303</v>
      </c>
      <c r="M2661" t="inlineStr"/>
      <c r="N2661" t="inlineStr">
        <is>
          <t>20250728900272</t>
        </is>
      </c>
      <c r="O2661">
        <f>HYPERLINK("https://dart.fss.or.kr/dsaf001/main.do?rcpNo=20250728900272", "공시열람")</f>
        <v/>
      </c>
    </row>
    <row r="2662">
      <c r="A2662" t="inlineStr">
        <is>
          <t>2025-07-28</t>
        </is>
      </c>
      <c r="B2662" t="inlineStr">
        <is>
          <t>RF머트리얼즈</t>
        </is>
      </c>
      <c r="C2662" t="inlineStr">
        <is>
          <t>327260</t>
        </is>
      </c>
      <c r="D2662" t="inlineStr">
        <is>
          <t>연결</t>
        </is>
      </c>
      <c r="E2662" t="inlineStr">
        <is>
          <t>2025Q2</t>
        </is>
      </c>
      <c r="F2662" s="2" t="n">
        <v>16563</v>
      </c>
      <c r="G2662" t="inlineStr"/>
      <c r="H2662" t="inlineStr"/>
      <c r="I2662" s="2" t="n">
        <v>1873</v>
      </c>
      <c r="J2662" t="inlineStr"/>
      <c r="K2662" t="inlineStr"/>
      <c r="L2662" s="2" t="n">
        <v>2172</v>
      </c>
      <c r="M2662" t="inlineStr"/>
      <c r="N2662" t="inlineStr">
        <is>
          <t>20250728900137</t>
        </is>
      </c>
      <c r="O2662">
        <f>HYPERLINK("https://dart.fss.or.kr/dsaf001/main.do?rcpNo=20250728900137", "공시열람")</f>
        <v/>
      </c>
    </row>
    <row r="2663">
      <c r="A2663" t="inlineStr">
        <is>
          <t>2025-07-28</t>
        </is>
      </c>
      <c r="B2663" t="inlineStr">
        <is>
          <t>현대오토에버</t>
        </is>
      </c>
      <c r="C2663" t="inlineStr">
        <is>
          <t>307950</t>
        </is>
      </c>
      <c r="D2663" t="inlineStr">
        <is>
          <t>연결</t>
        </is>
      </c>
      <c r="E2663" t="inlineStr">
        <is>
          <t>2025Q2</t>
        </is>
      </c>
      <c r="F2663" s="2" t="n">
        <v>1042052</v>
      </c>
      <c r="G2663" t="n">
        <v>25.1</v>
      </c>
      <c r="H2663" t="n">
        <v>13.5</v>
      </c>
      <c r="I2663" s="2" t="n">
        <v>81370</v>
      </c>
      <c r="J2663" t="n">
        <v>204.6</v>
      </c>
      <c r="K2663" t="n">
        <v>18.7</v>
      </c>
      <c r="L2663" s="2" t="n">
        <v>59732</v>
      </c>
      <c r="M2663" t="n">
        <v>13.4</v>
      </c>
      <c r="N2663" t="inlineStr">
        <is>
          <t>20250728800226</t>
        </is>
      </c>
      <c r="O2663">
        <f>HYPERLINK("https://dart.fss.or.kr/dsaf001/main.do?rcpNo=20250728800226", "공시열람")</f>
        <v/>
      </c>
    </row>
    <row r="2664">
      <c r="A2664" t="inlineStr">
        <is>
          <t>2025-07-28</t>
        </is>
      </c>
      <c r="B2664" t="inlineStr">
        <is>
          <t>HDC랩스</t>
        </is>
      </c>
      <c r="C2664" t="inlineStr">
        <is>
          <t>039570</t>
        </is>
      </c>
      <c r="D2664" t="inlineStr">
        <is>
          <t>연결</t>
        </is>
      </c>
      <c r="E2664" t="inlineStr">
        <is>
          <t>2025Q2</t>
        </is>
      </c>
      <c r="F2664" s="2" t="n">
        <v>169402</v>
      </c>
      <c r="G2664" t="n">
        <v>4.2</v>
      </c>
      <c r="H2664" t="n">
        <v>9.6</v>
      </c>
      <c r="I2664" s="2" t="n">
        <v>3678</v>
      </c>
      <c r="J2664" t="n">
        <v>23.9</v>
      </c>
      <c r="K2664" t="n">
        <v>81.5</v>
      </c>
      <c r="L2664" s="2" t="n">
        <v>4188</v>
      </c>
      <c r="M2664" t="n">
        <v>48.1</v>
      </c>
      <c r="N2664" t="inlineStr">
        <is>
          <t>20250728800031</t>
        </is>
      </c>
      <c r="O2664">
        <f>HYPERLINK("https://dart.fss.or.kr/dsaf001/main.do?rcpNo=20250728800031", "공시열람")</f>
        <v/>
      </c>
    </row>
    <row r="2665">
      <c r="A2665" t="inlineStr">
        <is>
          <t>2025-07-28</t>
        </is>
      </c>
      <c r="B2665" t="inlineStr">
        <is>
          <t>RF시스템즈</t>
        </is>
      </c>
      <c r="C2665" t="inlineStr">
        <is>
          <t>474610</t>
        </is>
      </c>
      <c r="D2665" t="inlineStr">
        <is>
          <t>별도</t>
        </is>
      </c>
      <c r="E2665" t="inlineStr">
        <is>
          <t>2025Q2</t>
        </is>
      </c>
      <c r="F2665" s="2" t="n">
        <v>10399</v>
      </c>
      <c r="G2665" t="inlineStr"/>
      <c r="H2665" t="inlineStr"/>
      <c r="I2665" s="2" t="n">
        <v>1582</v>
      </c>
      <c r="J2665" t="inlineStr"/>
      <c r="K2665" t="inlineStr"/>
      <c r="L2665" s="2" t="n">
        <v>1937</v>
      </c>
      <c r="M2665" t="inlineStr"/>
      <c r="N2665" t="inlineStr">
        <is>
          <t>20250728900139</t>
        </is>
      </c>
      <c r="O2665">
        <f>HYPERLINK("https://dart.fss.or.kr/dsaf001/main.do?rcpNo=20250728900139", "공시열람")</f>
        <v/>
      </c>
    </row>
    <row r="2666">
      <c r="A2666" t="inlineStr">
        <is>
          <t>2025-07-25</t>
        </is>
      </c>
      <c r="B2666" t="inlineStr">
        <is>
          <t>하나금융지주</t>
        </is>
      </c>
      <c r="C2666" t="inlineStr">
        <is>
          <t>086790</t>
        </is>
      </c>
      <c r="D2666" t="inlineStr">
        <is>
          <t>연결</t>
        </is>
      </c>
      <c r="E2666" t="inlineStr">
        <is>
          <t>2025Q2</t>
        </is>
      </c>
      <c r="F2666" s="2" t="n">
        <v>4437456</v>
      </c>
      <c r="G2666" t="n">
        <v>21.6</v>
      </c>
      <c r="H2666" t="n">
        <v>57.46</v>
      </c>
      <c r="I2666" s="2" t="n">
        <v>23059</v>
      </c>
      <c r="J2666" t="n">
        <v>-75.92</v>
      </c>
      <c r="K2666" t="n">
        <v>-55.43</v>
      </c>
      <c r="L2666" s="2" t="n">
        <v>31126</v>
      </c>
      <c r="M2666" t="n">
        <v>-25.01</v>
      </c>
      <c r="N2666" t="inlineStr">
        <is>
          <t>20250725800360</t>
        </is>
      </c>
      <c r="O2666">
        <f>HYPERLINK("https://dart.fss.or.kr/dsaf001/main.do?rcpNo=20250725800360", "공시열람")</f>
        <v/>
      </c>
    </row>
    <row r="2667">
      <c r="A2667" t="inlineStr">
        <is>
          <t>2025-07-25</t>
        </is>
      </c>
      <c r="B2667" t="inlineStr">
        <is>
          <t>신한지주</t>
        </is>
      </c>
      <c r="C2667" t="inlineStr">
        <is>
          <t>055550</t>
        </is>
      </c>
      <c r="D2667" t="inlineStr">
        <is>
          <t>연결</t>
        </is>
      </c>
      <c r="E2667" t="inlineStr">
        <is>
          <t>2025Q2</t>
        </is>
      </c>
      <c r="F2667" s="2" t="n">
        <v>23224017</v>
      </c>
      <c r="G2667" t="n">
        <v>44.1</v>
      </c>
      <c r="H2667" t="n">
        <v>29.22</v>
      </c>
      <c r="I2667" s="2" t="n">
        <v>2014257</v>
      </c>
      <c r="J2667" t="n">
        <v>3.6</v>
      </c>
      <c r="K2667" t="n">
        <v>8.73</v>
      </c>
      <c r="L2667" s="2" t="n">
        <v>1577234</v>
      </c>
      <c r="M2667" t="n">
        <v>8.699999999999999</v>
      </c>
      <c r="N2667" t="inlineStr">
        <is>
          <t>20250725800246</t>
        </is>
      </c>
      <c r="O2667">
        <f>HYPERLINK("https://dart.fss.or.kr/dsaf001/main.do?rcpNo=20250725800246", "공시열람")</f>
        <v/>
      </c>
    </row>
    <row r="2668">
      <c r="A2668" t="inlineStr">
        <is>
          <t>2025-07-25</t>
        </is>
      </c>
      <c r="B2668" t="inlineStr">
        <is>
          <t>삼성카드</t>
        </is>
      </c>
      <c r="C2668" t="inlineStr">
        <is>
          <t>029780</t>
        </is>
      </c>
      <c r="D2668" t="inlineStr">
        <is>
          <t>연결</t>
        </is>
      </c>
      <c r="E2668" t="inlineStr">
        <is>
          <t>2025Q2</t>
        </is>
      </c>
      <c r="F2668" s="2" t="n">
        <v>1257200</v>
      </c>
      <c r="G2668" t="n">
        <v>17.8</v>
      </c>
      <c r="H2668" t="n">
        <v>15.4</v>
      </c>
      <c r="I2668" s="2" t="n">
        <v>200500</v>
      </c>
      <c r="J2668" t="n">
        <v>-18.1</v>
      </c>
      <c r="K2668" t="n">
        <v>-19.4</v>
      </c>
      <c r="L2668" s="2" t="n">
        <v>151200</v>
      </c>
      <c r="M2668" t="n">
        <v>-18.2</v>
      </c>
      <c r="N2668" t="inlineStr">
        <is>
          <t>20250725800048</t>
        </is>
      </c>
      <c r="O2668">
        <f>HYPERLINK("https://dart.fss.or.kr/dsaf001/main.do?rcpNo=20250725800048", "공시열람")</f>
        <v/>
      </c>
    </row>
    <row r="2669">
      <c r="A2669" t="inlineStr">
        <is>
          <t>2025-07-25</t>
        </is>
      </c>
      <c r="B2669" t="inlineStr">
        <is>
          <t>LG에너지솔루션</t>
        </is>
      </c>
      <c r="C2669" t="inlineStr">
        <is>
          <t>373220</t>
        </is>
      </c>
      <c r="D2669" t="inlineStr">
        <is>
          <t>연결</t>
        </is>
      </c>
      <c r="E2669" t="inlineStr">
        <is>
          <t>2025Q2</t>
        </is>
      </c>
      <c r="F2669" s="2" t="n">
        <v>5565400</v>
      </c>
      <c r="G2669" t="n">
        <v>-11.2</v>
      </c>
      <c r="H2669" t="n">
        <v>-9.699999999999999</v>
      </c>
      <c r="I2669" s="2" t="n">
        <v>492200</v>
      </c>
      <c r="J2669" t="n">
        <v>31.4</v>
      </c>
      <c r="K2669" t="n">
        <v>152</v>
      </c>
      <c r="L2669" s="2" t="n">
        <v>90600</v>
      </c>
      <c r="M2669" t="inlineStr"/>
      <c r="N2669" t="inlineStr">
        <is>
          <t>20250725800065</t>
        </is>
      </c>
      <c r="O2669">
        <f>HYPERLINK("https://dart.fss.or.kr/dsaf001/main.do?rcpNo=20250725800065", "공시열람")</f>
        <v/>
      </c>
    </row>
    <row r="2670">
      <c r="A2670" t="inlineStr">
        <is>
          <t>2025-07-25</t>
        </is>
      </c>
      <c r="B2670" t="inlineStr">
        <is>
          <t>KG모빌리티</t>
        </is>
      </c>
      <c r="C2670" t="inlineStr">
        <is>
          <t>003620</t>
        </is>
      </c>
      <c r="D2670" t="inlineStr">
        <is>
          <t>별도</t>
        </is>
      </c>
      <c r="E2670" t="inlineStr">
        <is>
          <t>2025Q2</t>
        </is>
      </c>
      <c r="F2670" s="2" t="n">
        <v>1036200</v>
      </c>
      <c r="G2670" t="n">
        <v>14.24</v>
      </c>
      <c r="H2670" t="n">
        <v>8.109999999999999</v>
      </c>
      <c r="I2670" s="2" t="n">
        <v>17900</v>
      </c>
      <c r="J2670" t="n">
        <v>68.87</v>
      </c>
      <c r="K2670" t="n">
        <v>70.48</v>
      </c>
      <c r="L2670" s="2" t="n">
        <v>2500</v>
      </c>
      <c r="M2670" t="n">
        <v>-92.06</v>
      </c>
      <c r="N2670" t="inlineStr">
        <is>
          <t>20250725800073</t>
        </is>
      </c>
      <c r="O2670">
        <f>HYPERLINK("https://dart.fss.or.kr/dsaf001/main.do?rcpNo=20250725800073", "공시열람")</f>
        <v/>
      </c>
    </row>
    <row r="2671">
      <c r="A2671" t="inlineStr">
        <is>
          <t>2025-07-25</t>
        </is>
      </c>
      <c r="B2671" t="inlineStr">
        <is>
          <t>NI스틸</t>
        </is>
      </c>
      <c r="C2671" t="inlineStr">
        <is>
          <t>008260</t>
        </is>
      </c>
      <c r="D2671" t="inlineStr">
        <is>
          <t>별도</t>
        </is>
      </c>
      <c r="E2671" t="inlineStr">
        <is>
          <t>2025Q2</t>
        </is>
      </c>
      <c r="F2671" s="2" t="n">
        <v>63014</v>
      </c>
      <c r="G2671" t="n">
        <v>16.9</v>
      </c>
      <c r="H2671" t="n">
        <v>-21.1</v>
      </c>
      <c r="I2671" s="2" t="n">
        <v>7570</v>
      </c>
      <c r="J2671" t="n">
        <v>13.2</v>
      </c>
      <c r="K2671" t="n">
        <v>-36</v>
      </c>
      <c r="L2671" s="2" t="n">
        <v>5149</v>
      </c>
      <c r="M2671" t="n">
        <v>-45.6</v>
      </c>
      <c r="N2671" t="inlineStr">
        <is>
          <t>20250725800083</t>
        </is>
      </c>
      <c r="O2671">
        <f>HYPERLINK("https://dart.fss.or.kr/dsaf001/main.do?rcpNo=20250725800083", "공시열람")</f>
        <v/>
      </c>
    </row>
    <row r="2672">
      <c r="A2672" t="inlineStr">
        <is>
          <t>2025-07-25</t>
        </is>
      </c>
      <c r="B2672" t="inlineStr">
        <is>
          <t>현대모비스</t>
        </is>
      </c>
      <c r="C2672" t="inlineStr">
        <is>
          <t>012330</t>
        </is>
      </c>
      <c r="D2672" t="inlineStr">
        <is>
          <t>연결</t>
        </is>
      </c>
      <c r="E2672" t="inlineStr">
        <is>
          <t>2025Q2</t>
        </is>
      </c>
      <c r="F2672" s="2" t="n">
        <v>15936241</v>
      </c>
      <c r="G2672" t="n">
        <v>8.029999999999999</v>
      </c>
      <c r="H2672" t="n">
        <v>8.74</v>
      </c>
      <c r="I2672" s="2" t="n">
        <v>870000</v>
      </c>
      <c r="J2672" t="n">
        <v>12.01</v>
      </c>
      <c r="K2672" t="n">
        <v>36.77</v>
      </c>
      <c r="L2672" s="2" t="n">
        <v>934408</v>
      </c>
      <c r="M2672" t="n">
        <v>-6.34</v>
      </c>
      <c r="N2672" t="inlineStr">
        <is>
          <t>20250725800089</t>
        </is>
      </c>
      <c r="O2672">
        <f>HYPERLINK("https://dart.fss.or.kr/dsaf001/main.do?rcpNo=20250725800089", "공시열람")</f>
        <v/>
      </c>
    </row>
    <row r="2673">
      <c r="A2673" t="inlineStr">
        <is>
          <t>2025-07-25</t>
        </is>
      </c>
      <c r="B2673" t="inlineStr">
        <is>
          <t>제일기획</t>
        </is>
      </c>
      <c r="C2673" t="inlineStr">
        <is>
          <t>030000</t>
        </is>
      </c>
      <c r="D2673" t="inlineStr">
        <is>
          <t>연결</t>
        </is>
      </c>
      <c r="E2673" t="inlineStr">
        <is>
          <t>2025Q2</t>
        </is>
      </c>
      <c r="F2673" s="2" t="n">
        <v>1118834</v>
      </c>
      <c r="G2673" t="n">
        <v>7.64</v>
      </c>
      <c r="H2673" t="n">
        <v>2.7</v>
      </c>
      <c r="I2673" s="2" t="n">
        <v>92118</v>
      </c>
      <c r="J2673" t="n">
        <v>57.49</v>
      </c>
      <c r="K2673" t="n">
        <v>4.43</v>
      </c>
      <c r="L2673" s="2" t="n">
        <v>51245</v>
      </c>
      <c r="M2673" t="n">
        <v>-21.55</v>
      </c>
      <c r="N2673" t="inlineStr">
        <is>
          <t>20250725800200</t>
        </is>
      </c>
      <c r="O2673">
        <f>HYPERLINK("https://dart.fss.or.kr/dsaf001/main.do?rcpNo=20250725800200", "공시열람")</f>
        <v/>
      </c>
    </row>
    <row r="2674">
      <c r="A2674" t="inlineStr">
        <is>
          <t>2025-07-25</t>
        </is>
      </c>
      <c r="B2674" t="inlineStr">
        <is>
          <t>동국제강</t>
        </is>
      </c>
      <c r="C2674" t="inlineStr">
        <is>
          <t>460860</t>
        </is>
      </c>
      <c r="D2674" t="inlineStr">
        <is>
          <t>별도</t>
        </is>
      </c>
      <c r="E2674" t="inlineStr">
        <is>
          <t>2025Q2</t>
        </is>
      </c>
      <c r="F2674" s="2" t="n">
        <v>893659</v>
      </c>
      <c r="G2674" t="n">
        <v>23.17</v>
      </c>
      <c r="H2674" t="n">
        <v>-4.95</v>
      </c>
      <c r="I2674" s="2" t="n">
        <v>29915</v>
      </c>
      <c r="J2674" t="n">
        <v>603.0700000000001</v>
      </c>
      <c r="K2674" t="n">
        <v>-26.08</v>
      </c>
      <c r="L2674" s="2" t="n">
        <v>9184</v>
      </c>
      <c r="M2674" t="n">
        <v>-60.33</v>
      </c>
      <c r="N2674" t="inlineStr">
        <is>
          <t>20250725800211</t>
        </is>
      </c>
      <c r="O2674">
        <f>HYPERLINK("https://dart.fss.or.kr/dsaf001/main.do?rcpNo=20250725800211", "공시열람")</f>
        <v/>
      </c>
    </row>
    <row r="2675">
      <c r="A2675" t="inlineStr">
        <is>
          <t>2025-07-25</t>
        </is>
      </c>
      <c r="B2675" t="inlineStr">
        <is>
          <t>S-Oil</t>
        </is>
      </c>
      <c r="C2675" t="inlineStr">
        <is>
          <t>010950</t>
        </is>
      </c>
      <c r="D2675" t="inlineStr">
        <is>
          <t>연결</t>
        </is>
      </c>
      <c r="E2675" t="inlineStr">
        <is>
          <t>2025Q2</t>
        </is>
      </c>
      <c r="F2675" s="2" t="n">
        <v>8048504</v>
      </c>
      <c r="G2675" t="inlineStr"/>
      <c r="H2675" t="inlineStr"/>
      <c r="I2675" s="2" t="n">
        <v>-343971</v>
      </c>
      <c r="J2675" t="inlineStr"/>
      <c r="K2675" t="inlineStr"/>
      <c r="L2675" s="2" t="n">
        <v>-66782</v>
      </c>
      <c r="M2675" t="inlineStr"/>
      <c r="N2675" t="inlineStr">
        <is>
          <t>20250725800218</t>
        </is>
      </c>
      <c r="O2675">
        <f>HYPERLINK("https://dart.fss.or.kr/dsaf001/main.do?rcpNo=20250725800218", "공시열람")</f>
        <v/>
      </c>
    </row>
    <row r="2676">
      <c r="A2676" t="inlineStr">
        <is>
          <t>2025-07-25</t>
        </is>
      </c>
      <c r="B2676" t="inlineStr">
        <is>
          <t>효성 ITX</t>
        </is>
      </c>
      <c r="C2676" t="inlineStr">
        <is>
          <t>094280</t>
        </is>
      </c>
      <c r="D2676" t="inlineStr">
        <is>
          <t>연결</t>
        </is>
      </c>
      <c r="E2676" t="inlineStr">
        <is>
          <t>2025Q2</t>
        </is>
      </c>
      <c r="F2676" s="2" t="n">
        <v>127065</v>
      </c>
      <c r="G2676" t="n">
        <v>4.09</v>
      </c>
      <c r="H2676" t="n">
        <v>5.65</v>
      </c>
      <c r="I2676" s="2" t="n">
        <v>4397</v>
      </c>
      <c r="J2676" t="n">
        <v>18.49</v>
      </c>
      <c r="K2676" t="n">
        <v>-0.72</v>
      </c>
      <c r="L2676" s="2" t="n">
        <v>3539</v>
      </c>
      <c r="M2676" t="n">
        <v>14.19</v>
      </c>
      <c r="N2676" t="inlineStr">
        <is>
          <t>20250725800232</t>
        </is>
      </c>
      <c r="O2676">
        <f>HYPERLINK("https://dart.fss.or.kr/dsaf001/main.do?rcpNo=20250725800232", "공시열람")</f>
        <v/>
      </c>
    </row>
    <row r="2677">
      <c r="A2677" t="inlineStr">
        <is>
          <t>2025-07-25</t>
        </is>
      </c>
      <c r="B2677" t="inlineStr">
        <is>
          <t>동국씨엠</t>
        </is>
      </c>
      <c r="C2677" t="inlineStr">
        <is>
          <t>460850</t>
        </is>
      </c>
      <c r="D2677" t="inlineStr">
        <is>
          <t>별도</t>
        </is>
      </c>
      <c r="E2677" t="inlineStr">
        <is>
          <t>2025Q2</t>
        </is>
      </c>
      <c r="F2677" s="2" t="n">
        <v>501802</v>
      </c>
      <c r="G2677" t="n">
        <v>-4.7</v>
      </c>
      <c r="H2677" t="n">
        <v>-10.84</v>
      </c>
      <c r="I2677" s="2" t="n">
        <v>-14983</v>
      </c>
      <c r="J2677" t="inlineStr"/>
      <c r="K2677" t="inlineStr"/>
      <c r="L2677" s="2" t="n">
        <v>-27608</v>
      </c>
      <c r="M2677" t="inlineStr"/>
      <c r="N2677" t="inlineStr">
        <is>
          <t>20250725800228</t>
        </is>
      </c>
      <c r="O2677">
        <f>HYPERLINK("https://dart.fss.or.kr/dsaf001/main.do?rcpNo=20250725800228", "공시열람")</f>
        <v/>
      </c>
    </row>
    <row r="2678">
      <c r="A2678" t="inlineStr">
        <is>
          <t>2025-07-25</t>
        </is>
      </c>
      <c r="B2678" t="inlineStr">
        <is>
          <t>신한지주</t>
        </is>
      </c>
      <c r="C2678" t="inlineStr">
        <is>
          <t>055550</t>
        </is>
      </c>
      <c r="D2678" t="inlineStr">
        <is>
          <t>연결</t>
        </is>
      </c>
      <c r="E2678" t="inlineStr">
        <is>
          <t>2025Q2</t>
        </is>
      </c>
      <c r="F2678" s="2" t="n">
        <v>15495332</v>
      </c>
      <c r="G2678" t="n">
        <v>59.9</v>
      </c>
      <c r="H2678" t="n">
        <v>38.48</v>
      </c>
      <c r="I2678" s="2" t="n">
        <v>1471353</v>
      </c>
      <c r="J2678" t="n">
        <v>0.77</v>
      </c>
      <c r="K2678" t="n">
        <v>8.85</v>
      </c>
      <c r="L2678" s="2" t="n">
        <v>1138961</v>
      </c>
      <c r="M2678" t="n">
        <v>1.25</v>
      </c>
      <c r="N2678" t="inlineStr">
        <is>
          <t>20250725800257</t>
        </is>
      </c>
      <c r="O2678">
        <f>HYPERLINK("https://dart.fss.or.kr/dsaf001/main.do?rcpNo=20250725800257", "공시열람")</f>
        <v/>
      </c>
    </row>
    <row r="2679">
      <c r="A2679" t="inlineStr">
        <is>
          <t>2025-07-25</t>
        </is>
      </c>
      <c r="B2679" t="inlineStr">
        <is>
          <t>현대위아</t>
        </is>
      </c>
      <c r="C2679" t="inlineStr">
        <is>
          <t>011210</t>
        </is>
      </c>
      <c r="D2679" t="inlineStr">
        <is>
          <t>연결</t>
        </is>
      </c>
      <c r="E2679" t="inlineStr">
        <is>
          <t>2025Q2</t>
        </is>
      </c>
      <c r="F2679" s="2" t="n">
        <v>2178558</v>
      </c>
      <c r="G2679" t="n">
        <v>5.7</v>
      </c>
      <c r="H2679" t="n">
        <v>3</v>
      </c>
      <c r="I2679" s="2" t="n">
        <v>56331</v>
      </c>
      <c r="J2679" t="n">
        <v>16</v>
      </c>
      <c r="K2679" t="n">
        <v>2.1</v>
      </c>
      <c r="L2679" s="2" t="n">
        <v>17318</v>
      </c>
      <c r="M2679" t="n">
        <v>-62.1</v>
      </c>
      <c r="N2679" t="inlineStr">
        <is>
          <t>20250725800387</t>
        </is>
      </c>
      <c r="O2679">
        <f>HYPERLINK("https://dart.fss.or.kr/dsaf001/main.do?rcpNo=20250725800387", "공시열람")</f>
        <v/>
      </c>
    </row>
    <row r="2680">
      <c r="A2680" t="inlineStr">
        <is>
          <t>2025-07-25</t>
        </is>
      </c>
      <c r="B2680" t="inlineStr">
        <is>
          <t>신한지주</t>
        </is>
      </c>
      <c r="C2680" t="inlineStr">
        <is>
          <t>055550</t>
        </is>
      </c>
      <c r="D2680" t="inlineStr">
        <is>
          <t>연결</t>
        </is>
      </c>
      <c r="E2680" t="inlineStr">
        <is>
          <t>2025Q2</t>
        </is>
      </c>
      <c r="F2680" s="2" t="n">
        <v>1752588</v>
      </c>
      <c r="G2680" t="n">
        <v>19.29</v>
      </c>
      <c r="H2680" t="n">
        <v>13.28</v>
      </c>
      <c r="I2680" s="2" t="n">
        <v>138923</v>
      </c>
      <c r="J2680" t="n">
        <v>-22.12</v>
      </c>
      <c r="K2680" t="n">
        <v>-43.86</v>
      </c>
      <c r="L2680" s="2" t="n">
        <v>112387</v>
      </c>
      <c r="M2680" t="n">
        <v>-42.41</v>
      </c>
      <c r="N2680" t="inlineStr">
        <is>
          <t>20250725800258</t>
        </is>
      </c>
      <c r="O2680">
        <f>HYPERLINK("https://dart.fss.or.kr/dsaf001/main.do?rcpNo=20250725800258", "공시열람")</f>
        <v/>
      </c>
    </row>
    <row r="2681">
      <c r="A2681" t="inlineStr">
        <is>
          <t>2025-07-25</t>
        </is>
      </c>
      <c r="B2681" t="inlineStr">
        <is>
          <t>신한지주</t>
        </is>
      </c>
      <c r="C2681" t="inlineStr">
        <is>
          <t>055550</t>
        </is>
      </c>
      <c r="D2681" t="inlineStr">
        <is>
          <t>연결</t>
        </is>
      </c>
      <c r="E2681" t="inlineStr">
        <is>
          <t>2025Q2</t>
        </is>
      </c>
      <c r="F2681" s="2" t="n">
        <v>2234585</v>
      </c>
      <c r="G2681" t="n">
        <v>28</v>
      </c>
      <c r="H2681" t="n">
        <v>30.89</v>
      </c>
      <c r="I2681" s="2" t="n">
        <v>235933</v>
      </c>
      <c r="J2681" t="n">
        <v>1.97</v>
      </c>
      <c r="K2681" t="n">
        <v>8.17</v>
      </c>
      <c r="L2681" s="2" t="n">
        <v>179176</v>
      </c>
      <c r="M2681" t="n">
        <v>12.89</v>
      </c>
      <c r="N2681" t="inlineStr">
        <is>
          <t>20250725800259</t>
        </is>
      </c>
      <c r="O2681">
        <f>HYPERLINK("https://dart.fss.or.kr/dsaf001/main.do?rcpNo=20250725800259", "공시열람")</f>
        <v/>
      </c>
    </row>
    <row r="2682">
      <c r="A2682" t="inlineStr">
        <is>
          <t>2025-07-25</t>
        </is>
      </c>
      <c r="B2682" t="inlineStr">
        <is>
          <t>기아</t>
        </is>
      </c>
      <c r="C2682" t="inlineStr">
        <is>
          <t>000270</t>
        </is>
      </c>
      <c r="D2682" t="inlineStr">
        <is>
          <t>연결</t>
        </is>
      </c>
      <c r="E2682" t="inlineStr">
        <is>
          <t>2025Q2</t>
        </is>
      </c>
      <c r="F2682" s="2" t="n">
        <v>29349635</v>
      </c>
      <c r="G2682" t="n">
        <v>4.8</v>
      </c>
      <c r="H2682" t="n">
        <v>6.5</v>
      </c>
      <c r="I2682" s="2" t="n">
        <v>2764766</v>
      </c>
      <c r="J2682" t="n">
        <v>-8.1</v>
      </c>
      <c r="K2682" t="n">
        <v>-24.1</v>
      </c>
      <c r="L2682" s="2" t="n">
        <v>2268222</v>
      </c>
      <c r="M2682" t="n">
        <v>-23.3</v>
      </c>
      <c r="N2682" t="inlineStr">
        <is>
          <t>20250725800274</t>
        </is>
      </c>
      <c r="O2682">
        <f>HYPERLINK("https://dart.fss.or.kr/dsaf001/main.do?rcpNo=20250725800274", "공시열람")</f>
        <v/>
      </c>
    </row>
    <row r="2683">
      <c r="A2683" t="inlineStr">
        <is>
          <t>2025-07-25</t>
        </is>
      </c>
      <c r="B2683" t="inlineStr">
        <is>
          <t>LG전자</t>
        </is>
      </c>
      <c r="C2683" t="inlineStr">
        <is>
          <t>066570</t>
        </is>
      </c>
      <c r="D2683" t="inlineStr">
        <is>
          <t>연결</t>
        </is>
      </c>
      <c r="E2683" t="inlineStr">
        <is>
          <t>2025Q2</t>
        </is>
      </c>
      <c r="F2683" s="2" t="n">
        <v>20735200</v>
      </c>
      <c r="G2683" t="inlineStr"/>
      <c r="H2683" t="inlineStr"/>
      <c r="I2683" s="2" t="n">
        <v>639400</v>
      </c>
      <c r="J2683" t="inlineStr"/>
      <c r="K2683" t="inlineStr"/>
      <c r="L2683" s="2" t="n">
        <v>609700</v>
      </c>
      <c r="M2683" t="inlineStr"/>
      <c r="N2683" t="inlineStr">
        <is>
          <t>20250725800293</t>
        </is>
      </c>
      <c r="O2683">
        <f>HYPERLINK("https://dart.fss.or.kr/dsaf001/main.do?rcpNo=20250725800293", "공시열람")</f>
        <v/>
      </c>
    </row>
    <row r="2684">
      <c r="A2684" t="inlineStr">
        <is>
          <t>2025-07-25</t>
        </is>
      </c>
      <c r="B2684" t="inlineStr">
        <is>
          <t>송원산업</t>
        </is>
      </c>
      <c r="C2684" t="inlineStr">
        <is>
          <t>004430</t>
        </is>
      </c>
      <c r="D2684" t="inlineStr">
        <is>
          <t>연결</t>
        </is>
      </c>
      <c r="E2684" t="inlineStr">
        <is>
          <t>2025Q2</t>
        </is>
      </c>
      <c r="F2684" s="2" t="n">
        <v>265408</v>
      </c>
      <c r="G2684" t="inlineStr"/>
      <c r="H2684" t="inlineStr"/>
      <c r="I2684" s="2" t="n">
        <v>8592</v>
      </c>
      <c r="J2684" t="inlineStr"/>
      <c r="K2684" t="inlineStr"/>
      <c r="L2684" s="2" t="n">
        <v>-1481</v>
      </c>
      <c r="M2684" t="inlineStr"/>
      <c r="N2684" t="inlineStr">
        <is>
          <t>20250725800300</t>
        </is>
      </c>
      <c r="O2684">
        <f>HYPERLINK("https://dart.fss.or.kr/dsaf001/main.do?rcpNo=20250725800300", "공시열람")</f>
        <v/>
      </c>
    </row>
    <row r="2685">
      <c r="A2685" t="inlineStr">
        <is>
          <t>2025-07-25</t>
        </is>
      </c>
      <c r="B2685" t="inlineStr">
        <is>
          <t>하나금융지주</t>
        </is>
      </c>
      <c r="C2685" t="inlineStr">
        <is>
          <t>086790</t>
        </is>
      </c>
      <c r="D2685" t="inlineStr">
        <is>
          <t>연결</t>
        </is>
      </c>
      <c r="E2685" t="inlineStr">
        <is>
          <t>2025Q2</t>
        </is>
      </c>
      <c r="F2685" s="2" t="n">
        <v>23977916</v>
      </c>
      <c r="G2685" t="n">
        <v>41.7</v>
      </c>
      <c r="H2685" t="n">
        <v>21.64</v>
      </c>
      <c r="I2685" s="2" t="n">
        <v>1493322</v>
      </c>
      <c r="J2685" t="n">
        <v>0.3</v>
      </c>
      <c r="K2685" t="n">
        <v>9.880000000000001</v>
      </c>
      <c r="L2685" s="2" t="n">
        <v>1184800</v>
      </c>
      <c r="M2685" t="n">
        <v>13.32</v>
      </c>
      <c r="N2685" t="inlineStr">
        <is>
          <t>20250725800355</t>
        </is>
      </c>
      <c r="O2685">
        <f>HYPERLINK("https://dart.fss.or.kr/dsaf001/main.do?rcpNo=20250725800355", "공시열람")</f>
        <v/>
      </c>
    </row>
    <row r="2686">
      <c r="A2686" t="inlineStr">
        <is>
          <t>2025-07-25</t>
        </is>
      </c>
      <c r="B2686" t="inlineStr">
        <is>
          <t>하나금융지주</t>
        </is>
      </c>
      <c r="C2686" t="inlineStr">
        <is>
          <t>086790</t>
        </is>
      </c>
      <c r="D2686" t="inlineStr">
        <is>
          <t>연결</t>
        </is>
      </c>
      <c r="E2686" t="inlineStr">
        <is>
          <t>2025Q2</t>
        </is>
      </c>
      <c r="F2686" s="2" t="n">
        <v>17866836</v>
      </c>
      <c r="G2686" t="n">
        <v>53.16</v>
      </c>
      <c r="H2686" t="n">
        <v>16.01</v>
      </c>
      <c r="I2686" s="2" t="n">
        <v>1387589</v>
      </c>
      <c r="J2686" t="n">
        <v>8.720000000000001</v>
      </c>
      <c r="K2686" t="n">
        <v>14.94</v>
      </c>
      <c r="L2686" s="2" t="n">
        <v>1096616</v>
      </c>
      <c r="M2686" t="n">
        <v>20.36</v>
      </c>
      <c r="N2686" t="inlineStr">
        <is>
          <t>20250725800358</t>
        </is>
      </c>
      <c r="O2686">
        <f>HYPERLINK("https://dart.fss.or.kr/dsaf001/main.do?rcpNo=20250725800358", "공시열람")</f>
        <v/>
      </c>
    </row>
    <row r="2687">
      <c r="A2687" t="inlineStr">
        <is>
          <t>2025-07-25</t>
        </is>
      </c>
      <c r="B2687" t="inlineStr">
        <is>
          <t>한미반도체</t>
        </is>
      </c>
      <c r="C2687" t="inlineStr">
        <is>
          <t>042700</t>
        </is>
      </c>
      <c r="D2687" t="inlineStr">
        <is>
          <t>연결</t>
        </is>
      </c>
      <c r="E2687" t="inlineStr">
        <is>
          <t>2025Q2</t>
        </is>
      </c>
      <c r="F2687" s="2" t="n">
        <v>180047</v>
      </c>
      <c r="G2687" t="n">
        <v>22.2</v>
      </c>
      <c r="H2687" t="n">
        <v>45.8</v>
      </c>
      <c r="I2687" s="2" t="n">
        <v>86308</v>
      </c>
      <c r="J2687" t="n">
        <v>23.9</v>
      </c>
      <c r="K2687" t="n">
        <v>55.7</v>
      </c>
      <c r="L2687" s="2" t="inlineStr"/>
      <c r="M2687" t="inlineStr"/>
      <c r="N2687" t="inlineStr">
        <is>
          <t>20250725800047</t>
        </is>
      </c>
      <c r="O2687">
        <f>HYPERLINK("https://dart.fss.or.kr/dsaf001/main.do?rcpNo=20250725800047", "공시열람")</f>
        <v/>
      </c>
    </row>
    <row r="2688">
      <c r="A2688" t="inlineStr">
        <is>
          <t>2025-07-25</t>
        </is>
      </c>
      <c r="B2688" t="inlineStr">
        <is>
          <t>에스원</t>
        </is>
      </c>
      <c r="C2688" t="inlineStr">
        <is>
          <t>012750</t>
        </is>
      </c>
      <c r="D2688" t="inlineStr">
        <is>
          <t>연결</t>
        </is>
      </c>
      <c r="E2688" t="inlineStr">
        <is>
          <t>2025Q2</t>
        </is>
      </c>
      <c r="F2688" s="2" t="n">
        <v>732658</v>
      </c>
      <c r="G2688" t="n">
        <v>8.68</v>
      </c>
      <c r="H2688" t="n">
        <v>5.32</v>
      </c>
      <c r="I2688" s="2" t="n">
        <v>61557</v>
      </c>
      <c r="J2688" t="n">
        <v>11.82</v>
      </c>
      <c r="K2688" t="n">
        <v>17.63</v>
      </c>
      <c r="L2688" s="2" t="n">
        <v>52090</v>
      </c>
      <c r="M2688" t="n">
        <v>20.21</v>
      </c>
      <c r="N2688" t="inlineStr">
        <is>
          <t>20250725800455</t>
        </is>
      </c>
      <c r="O2688">
        <f>HYPERLINK("https://dart.fss.or.kr/dsaf001/main.do?rcpNo=20250725800455", "공시열람")</f>
        <v/>
      </c>
    </row>
    <row r="2689">
      <c r="A2689" t="inlineStr">
        <is>
          <t>2025-07-25</t>
        </is>
      </c>
      <c r="B2689" t="inlineStr">
        <is>
          <t>두산밥캣</t>
        </is>
      </c>
      <c r="C2689" t="inlineStr">
        <is>
          <t>241560</t>
        </is>
      </c>
      <c r="D2689" t="inlineStr">
        <is>
          <t>연결</t>
        </is>
      </c>
      <c r="E2689" t="inlineStr">
        <is>
          <t>2025Q2</t>
        </is>
      </c>
      <c r="F2689" s="2" t="n">
        <v>2201400</v>
      </c>
      <c r="G2689" t="n">
        <v>4.9</v>
      </c>
      <c r="H2689" t="n">
        <v>-1.6</v>
      </c>
      <c r="I2689" s="2" t="n">
        <v>204200</v>
      </c>
      <c r="J2689" t="n">
        <v>2.1</v>
      </c>
      <c r="K2689" t="n">
        <v>-14.8</v>
      </c>
      <c r="L2689" s="2" t="n">
        <v>121800</v>
      </c>
      <c r="M2689" t="n">
        <v>-22.9</v>
      </c>
      <c r="N2689" t="inlineStr">
        <is>
          <t>20250725800385</t>
        </is>
      </c>
      <c r="O2689">
        <f>HYPERLINK("https://dart.fss.or.kr/dsaf001/main.do?rcpNo=20250725800385", "공시열람")</f>
        <v/>
      </c>
    </row>
    <row r="2690">
      <c r="A2690" t="inlineStr">
        <is>
          <t>2025-07-25</t>
        </is>
      </c>
      <c r="B2690" t="inlineStr">
        <is>
          <t>한미약품</t>
        </is>
      </c>
      <c r="C2690" t="inlineStr">
        <is>
          <t>128940</t>
        </is>
      </c>
      <c r="D2690" t="inlineStr">
        <is>
          <t>연결</t>
        </is>
      </c>
      <c r="E2690" t="inlineStr">
        <is>
          <t>2025Q2</t>
        </is>
      </c>
      <c r="F2690" s="2" t="n">
        <v>361277</v>
      </c>
      <c r="G2690" t="inlineStr"/>
      <c r="H2690" t="inlineStr"/>
      <c r="I2690" s="2" t="n">
        <v>60438</v>
      </c>
      <c r="J2690" t="inlineStr"/>
      <c r="K2690" t="inlineStr"/>
      <c r="L2690" s="2" t="n">
        <v>43012</v>
      </c>
      <c r="M2690" t="inlineStr"/>
      <c r="N2690" t="inlineStr">
        <is>
          <t>20250725800354</t>
        </is>
      </c>
      <c r="O2690">
        <f>HYPERLINK("https://dart.fss.or.kr/dsaf001/main.do?rcpNo=20250725800354", "공시열람")</f>
        <v/>
      </c>
    </row>
    <row r="2691">
      <c r="A2691" t="inlineStr">
        <is>
          <t>2025-07-25</t>
        </is>
      </c>
      <c r="B2691" t="inlineStr">
        <is>
          <t>IPARK현대산업개발</t>
        </is>
      </c>
      <c r="C2691" t="inlineStr">
        <is>
          <t>294870</t>
        </is>
      </c>
      <c r="D2691" t="inlineStr">
        <is>
          <t>연결</t>
        </is>
      </c>
      <c r="E2691" t="inlineStr">
        <is>
          <t>2025Q2</t>
        </is>
      </c>
      <c r="F2691" s="2" t="n">
        <v>1163210</v>
      </c>
      <c r="G2691" t="inlineStr"/>
      <c r="H2691" t="inlineStr"/>
      <c r="I2691" s="2" t="n">
        <v>80278</v>
      </c>
      <c r="J2691" t="inlineStr"/>
      <c r="K2691" t="inlineStr"/>
      <c r="L2691" s="2" t="n">
        <v>52692</v>
      </c>
      <c r="M2691" t="inlineStr"/>
      <c r="N2691" t="inlineStr">
        <is>
          <t>20250725800052</t>
        </is>
      </c>
      <c r="O2691">
        <f>HYPERLINK("https://dart.fss.or.kr/dsaf001/main.do?rcpNo=20250725800052", "공시열람")</f>
        <v/>
      </c>
    </row>
    <row r="2692">
      <c r="A2692" t="inlineStr">
        <is>
          <t>2025-07-25</t>
        </is>
      </c>
      <c r="B2692" t="inlineStr">
        <is>
          <t>종근당바이오</t>
        </is>
      </c>
      <c r="C2692" t="inlineStr">
        <is>
          <t>063160</t>
        </is>
      </c>
      <c r="D2692" t="inlineStr">
        <is>
          <t>별도</t>
        </is>
      </c>
      <c r="E2692" t="inlineStr">
        <is>
          <t>2025Q2</t>
        </is>
      </c>
      <c r="F2692" s="2" t="n">
        <v>41211</v>
      </c>
      <c r="G2692" t="inlineStr"/>
      <c r="H2692" t="inlineStr"/>
      <c r="I2692" s="2" t="n">
        <v>2877</v>
      </c>
      <c r="J2692" t="inlineStr"/>
      <c r="K2692" t="inlineStr"/>
      <c r="L2692" s="2" t="n">
        <v>-480</v>
      </c>
      <c r="M2692" t="inlineStr"/>
      <c r="N2692" t="inlineStr">
        <is>
          <t>20250725800547</t>
        </is>
      </c>
      <c r="O2692">
        <f>HYPERLINK("https://dart.fss.or.kr/dsaf001/main.do?rcpNo=20250725800547", "공시열람")</f>
        <v/>
      </c>
    </row>
    <row r="2693">
      <c r="A2693" t="inlineStr">
        <is>
          <t>2025-07-25</t>
        </is>
      </c>
      <c r="B2693" t="inlineStr">
        <is>
          <t>코렌텍</t>
        </is>
      </c>
      <c r="C2693" t="inlineStr">
        <is>
          <t>104540</t>
        </is>
      </c>
      <c r="D2693" t="inlineStr">
        <is>
          <t>연결</t>
        </is>
      </c>
      <c r="E2693" t="inlineStr">
        <is>
          <t>2025Q2</t>
        </is>
      </c>
      <c r="F2693" s="2" t="n">
        <v>23419</v>
      </c>
      <c r="G2693" t="inlineStr"/>
      <c r="H2693" t="inlineStr"/>
      <c r="I2693" s="2" t="n">
        <v>1393</v>
      </c>
      <c r="J2693" t="inlineStr"/>
      <c r="K2693" t="inlineStr"/>
      <c r="L2693" s="2" t="n">
        <v>-998</v>
      </c>
      <c r="M2693" t="inlineStr"/>
      <c r="N2693" t="inlineStr">
        <is>
          <t>20250725900594</t>
        </is>
      </c>
      <c r="O2693">
        <f>HYPERLINK("https://dart.fss.or.kr/dsaf001/main.do?rcpNo=20250725900594", "공시열람")</f>
        <v/>
      </c>
    </row>
    <row r="2694">
      <c r="A2694" t="inlineStr">
        <is>
          <t>2025-07-25</t>
        </is>
      </c>
      <c r="B2694" t="inlineStr">
        <is>
          <t>두산에너빌리티</t>
        </is>
      </c>
      <c r="C2694" t="inlineStr">
        <is>
          <t>034020</t>
        </is>
      </c>
      <c r="D2694" t="inlineStr">
        <is>
          <t>연결</t>
        </is>
      </c>
      <c r="E2694" t="inlineStr">
        <is>
          <t>2025Q2</t>
        </is>
      </c>
      <c r="F2694" s="2" t="n">
        <v>4569021</v>
      </c>
      <c r="G2694" t="inlineStr"/>
      <c r="H2694" t="inlineStr"/>
      <c r="I2694" s="2" t="n">
        <v>271106</v>
      </c>
      <c r="J2694" t="inlineStr"/>
      <c r="K2694" t="inlineStr"/>
      <c r="L2694" s="2" t="n">
        <v>197809</v>
      </c>
      <c r="M2694" t="inlineStr"/>
      <c r="N2694" t="inlineStr">
        <is>
          <t>20250725800470</t>
        </is>
      </c>
      <c r="O2694">
        <f>HYPERLINK("https://dart.fss.or.kr/dsaf001/main.do?rcpNo=20250725800470", "공시열람")</f>
        <v/>
      </c>
    </row>
    <row r="2695">
      <c r="A2695" t="inlineStr">
        <is>
          <t>2025-07-25</t>
        </is>
      </c>
      <c r="B2695" t="inlineStr">
        <is>
          <t>HL만도</t>
        </is>
      </c>
      <c r="C2695" t="inlineStr">
        <is>
          <t>204320</t>
        </is>
      </c>
      <c r="D2695" t="inlineStr">
        <is>
          <t>연결</t>
        </is>
      </c>
      <c r="E2695" t="inlineStr">
        <is>
          <t>2025Q2</t>
        </is>
      </c>
      <c r="F2695" s="2" t="n">
        <v>2400874</v>
      </c>
      <c r="G2695" t="n">
        <v>5.7</v>
      </c>
      <c r="H2695" t="n">
        <v>11.8</v>
      </c>
      <c r="I2695" s="2" t="n">
        <v>104101</v>
      </c>
      <c r="J2695" t="n">
        <v>31.5</v>
      </c>
      <c r="K2695" t="n">
        <v>16.2</v>
      </c>
      <c r="L2695" s="2" t="n">
        <v>9906</v>
      </c>
      <c r="M2695" t="n">
        <v>-16.6</v>
      </c>
      <c r="N2695" t="inlineStr">
        <is>
          <t>20250725800454</t>
        </is>
      </c>
      <c r="O2695">
        <f>HYPERLINK("https://dart.fss.or.kr/dsaf001/main.do?rcpNo=20250725800454", "공시열람")</f>
        <v/>
      </c>
    </row>
    <row r="2696">
      <c r="A2696" t="inlineStr">
        <is>
          <t>2025-07-25</t>
        </is>
      </c>
      <c r="B2696" t="inlineStr">
        <is>
          <t>호텔신라</t>
        </is>
      </c>
      <c r="C2696" t="inlineStr">
        <is>
          <t>008770</t>
        </is>
      </c>
      <c r="D2696" t="inlineStr">
        <is>
          <t>연결</t>
        </is>
      </c>
      <c r="E2696" t="inlineStr">
        <is>
          <t>2025Q2</t>
        </is>
      </c>
      <c r="F2696" s="2" t="n">
        <v>1025447</v>
      </c>
      <c r="G2696" t="n">
        <v>5.5</v>
      </c>
      <c r="H2696" t="n">
        <v>2.3</v>
      </c>
      <c r="I2696" s="2" t="n">
        <v>8660</v>
      </c>
      <c r="J2696" t="inlineStr"/>
      <c r="K2696" t="n">
        <v>-68.7</v>
      </c>
      <c r="L2696" s="2" t="n">
        <v>-883</v>
      </c>
      <c r="M2696" t="inlineStr"/>
      <c r="N2696" t="inlineStr">
        <is>
          <t>20250725800472</t>
        </is>
      </c>
      <c r="O2696">
        <f>HYPERLINK("https://dart.fss.or.kr/dsaf001/main.do?rcpNo=20250725800472", "공시열람")</f>
        <v/>
      </c>
    </row>
    <row r="2697">
      <c r="A2697" t="inlineStr">
        <is>
          <t>2025-07-25</t>
        </is>
      </c>
      <c r="B2697" t="inlineStr">
        <is>
          <t>우리금융지주</t>
        </is>
      </c>
      <c r="C2697" t="inlineStr">
        <is>
          <t>316140</t>
        </is>
      </c>
      <c r="D2697" t="inlineStr">
        <is>
          <t>연결</t>
        </is>
      </c>
      <c r="E2697" t="inlineStr">
        <is>
          <t>2025Q2</t>
        </is>
      </c>
      <c r="F2697" s="2" t="n">
        <v>12254598</v>
      </c>
      <c r="G2697" t="n">
        <v>44.81</v>
      </c>
      <c r="H2697" t="n">
        <v>27.02</v>
      </c>
      <c r="I2697" s="2" t="n">
        <v>1100838</v>
      </c>
      <c r="J2697" t="n">
        <v>35.06</v>
      </c>
      <c r="K2697" t="n">
        <v>-4.91</v>
      </c>
      <c r="L2697" s="2" t="n">
        <v>916189</v>
      </c>
      <c r="M2697" t="n">
        <v>3.31</v>
      </c>
      <c r="N2697" t="inlineStr">
        <is>
          <t>20250725800486</t>
        </is>
      </c>
      <c r="O2697">
        <f>HYPERLINK("https://dart.fss.or.kr/dsaf001/main.do?rcpNo=20250725800486", "공시열람")</f>
        <v/>
      </c>
    </row>
    <row r="2698">
      <c r="A2698" t="inlineStr">
        <is>
          <t>2025-07-25</t>
        </is>
      </c>
      <c r="B2698" t="inlineStr">
        <is>
          <t>우리금융지주</t>
        </is>
      </c>
      <c r="C2698" t="inlineStr">
        <is>
          <t>316140</t>
        </is>
      </c>
      <c r="D2698" t="inlineStr">
        <is>
          <t>연결</t>
        </is>
      </c>
      <c r="E2698" t="inlineStr">
        <is>
          <t>2025Q2</t>
        </is>
      </c>
      <c r="F2698" s="2" t="n">
        <v>13570261</v>
      </c>
      <c r="G2698" t="n">
        <v>40.5</v>
      </c>
      <c r="H2698" t="n">
        <v>24.65</v>
      </c>
      <c r="I2698" s="2" t="n">
        <v>1107250</v>
      </c>
      <c r="J2698" t="n">
        <v>27.38</v>
      </c>
      <c r="K2698" t="n">
        <v>-11.65</v>
      </c>
      <c r="L2698" s="2" t="n">
        <v>938987</v>
      </c>
      <c r="M2698" t="n">
        <v>-2.34</v>
      </c>
      <c r="N2698" t="inlineStr">
        <is>
          <t>20250725800492</t>
        </is>
      </c>
      <c r="O2698">
        <f>HYPERLINK("https://dart.fss.or.kr/dsaf001/main.do?rcpNo=20250725800492", "공시열람")</f>
        <v/>
      </c>
    </row>
    <row r="2699">
      <c r="A2699" t="inlineStr">
        <is>
          <t>2025-07-25</t>
        </is>
      </c>
      <c r="B2699" t="inlineStr">
        <is>
          <t>두산퓨얼셀</t>
        </is>
      </c>
      <c r="C2699" t="inlineStr">
        <is>
          <t>336260</t>
        </is>
      </c>
      <c r="D2699" t="inlineStr">
        <is>
          <t>연결</t>
        </is>
      </c>
      <c r="E2699" t="inlineStr">
        <is>
          <t>2025Q2</t>
        </is>
      </c>
      <c r="F2699" s="2" t="n">
        <v>128467</v>
      </c>
      <c r="G2699" t="inlineStr"/>
      <c r="H2699" t="inlineStr"/>
      <c r="I2699" s="2" t="n">
        <v>-1914</v>
      </c>
      <c r="J2699" t="inlineStr"/>
      <c r="K2699" t="inlineStr"/>
      <c r="L2699" s="2" t="n">
        <v>-2579</v>
      </c>
      <c r="M2699" t="inlineStr"/>
      <c r="N2699" t="inlineStr">
        <is>
          <t>20250725800500</t>
        </is>
      </c>
      <c r="O2699">
        <f>HYPERLINK("https://dart.fss.or.kr/dsaf001/main.do?rcpNo=20250725800500", "공시열람")</f>
        <v/>
      </c>
    </row>
    <row r="2700">
      <c r="A2700" t="inlineStr">
        <is>
          <t>2025-07-25</t>
        </is>
      </c>
      <c r="B2700" t="inlineStr">
        <is>
          <t>효성중공업</t>
        </is>
      </c>
      <c r="C2700" t="inlineStr">
        <is>
          <t>298040</t>
        </is>
      </c>
      <c r="D2700" t="inlineStr">
        <is>
          <t>연결</t>
        </is>
      </c>
      <c r="E2700" t="inlineStr">
        <is>
          <t>2025Q2</t>
        </is>
      </c>
      <c r="F2700" s="2" t="n">
        <v>1525285</v>
      </c>
      <c r="G2700" t="n">
        <v>41.74</v>
      </c>
      <c r="H2700" t="n">
        <v>27.77</v>
      </c>
      <c r="I2700" s="2" t="n">
        <v>164261</v>
      </c>
      <c r="J2700" t="n">
        <v>60.43</v>
      </c>
      <c r="K2700" t="n">
        <v>162.15</v>
      </c>
      <c r="L2700" s="2" t="n">
        <v>87349</v>
      </c>
      <c r="M2700" t="n">
        <v>209.7</v>
      </c>
      <c r="N2700" t="inlineStr">
        <is>
          <t>20250725800539</t>
        </is>
      </c>
      <c r="O2700">
        <f>HYPERLINK("https://dart.fss.or.kr/dsaf001/main.do?rcpNo=20250725800539", "공시열람")</f>
        <v/>
      </c>
    </row>
    <row r="2701">
      <c r="A2701" t="inlineStr">
        <is>
          <t>2025-07-25</t>
        </is>
      </c>
      <c r="B2701" t="inlineStr">
        <is>
          <t>두산</t>
        </is>
      </c>
      <c r="C2701" t="inlineStr">
        <is>
          <t>000150</t>
        </is>
      </c>
      <c r="D2701" t="inlineStr">
        <is>
          <t>연결</t>
        </is>
      </c>
      <c r="E2701" t="inlineStr">
        <is>
          <t>2025Q2</t>
        </is>
      </c>
      <c r="F2701" s="2" t="n">
        <v>5346400</v>
      </c>
      <c r="G2701" t="inlineStr"/>
      <c r="H2701" t="inlineStr"/>
      <c r="I2701" s="2" t="n">
        <v>357800</v>
      </c>
      <c r="J2701" t="inlineStr"/>
      <c r="K2701" t="inlineStr"/>
      <c r="L2701" s="2" t="n">
        <v>233200</v>
      </c>
      <c r="M2701" t="inlineStr"/>
      <c r="N2701" t="inlineStr">
        <is>
          <t>20250725800554</t>
        </is>
      </c>
      <c r="O2701">
        <f>HYPERLINK("https://dart.fss.or.kr/dsaf001/main.do?rcpNo=20250725800554", "공시열람")</f>
        <v/>
      </c>
    </row>
    <row r="2702">
      <c r="A2702" t="inlineStr">
        <is>
          <t>2025-07-25</t>
        </is>
      </c>
      <c r="B2702" t="inlineStr">
        <is>
          <t>효성화학</t>
        </is>
      </c>
      <c r="C2702" t="inlineStr">
        <is>
          <t>298000</t>
        </is>
      </c>
      <c r="D2702" t="inlineStr">
        <is>
          <t>연결</t>
        </is>
      </c>
      <c r="E2702" t="inlineStr">
        <is>
          <t>2025Q2</t>
        </is>
      </c>
      <c r="F2702" s="2" t="n">
        <v>616979</v>
      </c>
      <c r="G2702" t="n">
        <v>7.69</v>
      </c>
      <c r="H2702" t="n">
        <v>3.25</v>
      </c>
      <c r="I2702" s="2" t="n">
        <v>-8994</v>
      </c>
      <c r="J2702" t="n">
        <v>82.73999999999999</v>
      </c>
      <c r="K2702" t="n">
        <v>85.18000000000001</v>
      </c>
      <c r="L2702" s="2" t="n">
        <v>102362</v>
      </c>
      <c r="M2702" t="inlineStr"/>
      <c r="N2702" t="inlineStr">
        <is>
          <t>20250725800601</t>
        </is>
      </c>
      <c r="O2702">
        <f>HYPERLINK("https://dart.fss.or.kr/dsaf001/main.do?rcpNo=20250725800601", "공시열람")</f>
        <v/>
      </c>
    </row>
    <row r="2703">
      <c r="A2703" t="inlineStr">
        <is>
          <t>2025-07-25</t>
        </is>
      </c>
      <c r="B2703" t="inlineStr">
        <is>
          <t>효성티앤씨</t>
        </is>
      </c>
      <c r="C2703" t="inlineStr">
        <is>
          <t>298020</t>
        </is>
      </c>
      <c r="D2703" t="inlineStr">
        <is>
          <t>연결</t>
        </is>
      </c>
      <c r="E2703" t="inlineStr">
        <is>
          <t>2025Q2</t>
        </is>
      </c>
      <c r="F2703" s="2" t="n">
        <v>1889169</v>
      </c>
      <c r="G2703" t="n">
        <v>-3.3</v>
      </c>
      <c r="H2703" t="n">
        <v>-4.7</v>
      </c>
      <c r="I2703" s="2" t="n">
        <v>73319</v>
      </c>
      <c r="J2703" t="n">
        <v>-5.3</v>
      </c>
      <c r="K2703" t="n">
        <v>-13.4</v>
      </c>
      <c r="L2703" s="2" t="n">
        <v>21352</v>
      </c>
      <c r="M2703" t="n">
        <v>-58.8</v>
      </c>
      <c r="N2703" t="inlineStr">
        <is>
          <t>20250725800642</t>
        </is>
      </c>
      <c r="O2703">
        <f>HYPERLINK("https://dart.fss.or.kr/dsaf001/main.do?rcpNo=20250725800642", "공시열람")</f>
        <v/>
      </c>
    </row>
    <row r="2704">
      <c r="A2704" t="inlineStr">
        <is>
          <t>2025-07-25</t>
        </is>
      </c>
      <c r="B2704" t="inlineStr">
        <is>
          <t>경보제약</t>
        </is>
      </c>
      <c r="C2704" t="inlineStr">
        <is>
          <t>214390</t>
        </is>
      </c>
      <c r="D2704" t="inlineStr">
        <is>
          <t>별도</t>
        </is>
      </c>
      <c r="E2704" t="inlineStr">
        <is>
          <t>2025Q2</t>
        </is>
      </c>
      <c r="F2704" s="2" t="n">
        <v>65313</v>
      </c>
      <c r="G2704" t="n">
        <v>7.8</v>
      </c>
      <c r="H2704" t="n">
        <v>11.8</v>
      </c>
      <c r="I2704" s="2" t="n">
        <v>2407</v>
      </c>
      <c r="J2704" t="n">
        <v>1889.3</v>
      </c>
      <c r="K2704" t="n">
        <v>89.8</v>
      </c>
      <c r="L2704" s="2" t="n">
        <v>-1724</v>
      </c>
      <c r="M2704" t="inlineStr"/>
      <c r="N2704" t="inlineStr">
        <is>
          <t>20250725800640</t>
        </is>
      </c>
      <c r="O2704">
        <f>HYPERLINK("https://dart.fss.or.kr/dsaf001/main.do?rcpNo=20250725800640", "공시열람")</f>
        <v/>
      </c>
    </row>
    <row r="2705">
      <c r="A2705" t="inlineStr">
        <is>
          <t>2025-07-25</t>
        </is>
      </c>
      <c r="B2705" t="inlineStr">
        <is>
          <t>한미사이언스</t>
        </is>
      </c>
      <c r="C2705" t="inlineStr">
        <is>
          <t>008930</t>
        </is>
      </c>
      <c r="D2705" t="inlineStr">
        <is>
          <t>연결</t>
        </is>
      </c>
      <c r="E2705" t="inlineStr">
        <is>
          <t>2025Q2</t>
        </is>
      </c>
      <c r="F2705" s="2" t="n">
        <v>338269</v>
      </c>
      <c r="G2705" t="inlineStr"/>
      <c r="H2705" t="inlineStr"/>
      <c r="I2705" s="2" t="n">
        <v>34612</v>
      </c>
      <c r="J2705" t="inlineStr"/>
      <c r="K2705" t="inlineStr"/>
      <c r="L2705" s="2" t="n">
        <v>28325</v>
      </c>
      <c r="M2705" t="inlineStr"/>
      <c r="N2705" t="inlineStr">
        <is>
          <t>20250725800638</t>
        </is>
      </c>
      <c r="O2705">
        <f>HYPERLINK("https://dart.fss.or.kr/dsaf001/main.do?rcpNo=20250725800638", "공시열람")</f>
        <v/>
      </c>
    </row>
    <row r="2706">
      <c r="A2706" t="inlineStr">
        <is>
          <t>2025-07-25</t>
        </is>
      </c>
      <c r="B2706" t="inlineStr">
        <is>
          <t>효성</t>
        </is>
      </c>
      <c r="C2706" t="inlineStr">
        <is>
          <t>004800</t>
        </is>
      </c>
      <c r="D2706" t="inlineStr">
        <is>
          <t>연결</t>
        </is>
      </c>
      <c r="E2706" t="inlineStr">
        <is>
          <t>2025Q2</t>
        </is>
      </c>
      <c r="F2706" s="2" t="n">
        <v>601914</v>
      </c>
      <c r="G2706" t="n">
        <v>8.699999999999999</v>
      </c>
      <c r="H2706" t="n">
        <v>6.7</v>
      </c>
      <c r="I2706" s="2" t="n">
        <v>99138</v>
      </c>
      <c r="J2706" t="n">
        <v>21.2</v>
      </c>
      <c r="K2706" t="n">
        <v>159.5</v>
      </c>
      <c r="L2706" s="2" t="n">
        <v>89738</v>
      </c>
      <c r="M2706" t="n">
        <v>492.7</v>
      </c>
      <c r="N2706" t="inlineStr">
        <is>
          <t>20250725800682</t>
        </is>
      </c>
      <c r="O2706">
        <f>HYPERLINK("https://dart.fss.or.kr/dsaf001/main.do?rcpNo=20250725800682", "공시열람")</f>
        <v/>
      </c>
    </row>
    <row r="2707">
      <c r="A2707" t="inlineStr">
        <is>
          <t>2025-07-25</t>
        </is>
      </c>
      <c r="B2707" t="inlineStr">
        <is>
          <t>현대비앤지스틸</t>
        </is>
      </c>
      <c r="C2707" t="inlineStr">
        <is>
          <t>004560</t>
        </is>
      </c>
      <c r="D2707" t="inlineStr">
        <is>
          <t>연결</t>
        </is>
      </c>
      <c r="E2707" t="inlineStr">
        <is>
          <t>2025Q2</t>
        </is>
      </c>
      <c r="F2707" s="2" t="n">
        <v>188493</v>
      </c>
      <c r="G2707" t="n">
        <v>0.5</v>
      </c>
      <c r="H2707" t="n">
        <v>-18.5</v>
      </c>
      <c r="I2707" s="2" t="n">
        <v>9807</v>
      </c>
      <c r="J2707" t="n">
        <v>296.2</v>
      </c>
      <c r="K2707" t="n">
        <v>-48.4</v>
      </c>
      <c r="L2707" s="2" t="n">
        <v>2636</v>
      </c>
      <c r="M2707" t="n">
        <v>-81.8</v>
      </c>
      <c r="N2707" t="inlineStr">
        <is>
          <t>20250725800681</t>
        </is>
      </c>
      <c r="O2707">
        <f>HYPERLINK("https://dart.fss.or.kr/dsaf001/main.do?rcpNo=20250725800681", "공시열람")</f>
        <v/>
      </c>
    </row>
    <row r="2708">
      <c r="A2708" t="inlineStr">
        <is>
          <t>2025-07-25</t>
        </is>
      </c>
      <c r="B2708" t="inlineStr">
        <is>
          <t>골프존</t>
        </is>
      </c>
      <c r="C2708" t="inlineStr">
        <is>
          <t>215000</t>
        </is>
      </c>
      <c r="D2708" t="inlineStr">
        <is>
          <t>연결</t>
        </is>
      </c>
      <c r="E2708" t="inlineStr">
        <is>
          <t>2025Q2</t>
        </is>
      </c>
      <c r="F2708" s="2" t="n">
        <v>121059</v>
      </c>
      <c r="G2708" t="inlineStr"/>
      <c r="H2708" t="inlineStr"/>
      <c r="I2708" s="2" t="n">
        <v>19779</v>
      </c>
      <c r="J2708" t="inlineStr"/>
      <c r="K2708" t="inlineStr"/>
      <c r="L2708" s="2" t="inlineStr"/>
      <c r="M2708" t="inlineStr"/>
      <c r="N2708" t="inlineStr">
        <is>
          <t>20250725900728</t>
        </is>
      </c>
      <c r="O2708">
        <f>HYPERLINK("https://dart.fss.or.kr/dsaf001/main.do?rcpNo=20250725900728", "공시열람")</f>
        <v/>
      </c>
    </row>
    <row r="2709">
      <c r="A2709" t="inlineStr">
        <is>
          <t>2025-07-24</t>
        </is>
      </c>
      <c r="B2709" t="inlineStr">
        <is>
          <t>SNT홀딩스</t>
        </is>
      </c>
      <c r="C2709" t="inlineStr">
        <is>
          <t>036530</t>
        </is>
      </c>
      <c r="D2709" t="inlineStr">
        <is>
          <t>연결</t>
        </is>
      </c>
      <c r="E2709" t="inlineStr">
        <is>
          <t>2025Q2</t>
        </is>
      </c>
      <c r="F2709" s="2" t="n">
        <v>561175</v>
      </c>
      <c r="G2709" t="n">
        <v>20.3</v>
      </c>
      <c r="H2709" t="n">
        <v>27.7</v>
      </c>
      <c r="I2709" s="2" t="n">
        <v>84316</v>
      </c>
      <c r="J2709" t="n">
        <v>58.9</v>
      </c>
      <c r="K2709" t="n">
        <v>-3.6</v>
      </c>
      <c r="L2709" s="2" t="n">
        <v>55026</v>
      </c>
      <c r="M2709" t="n">
        <v>-32.9</v>
      </c>
      <c r="N2709" t="inlineStr">
        <is>
          <t>20250724800046</t>
        </is>
      </c>
      <c r="O2709">
        <f>HYPERLINK("https://dart.fss.or.kr/dsaf001/main.do?rcpNo=20250724800046", "공시열람")</f>
        <v/>
      </c>
    </row>
    <row r="2710">
      <c r="A2710" t="inlineStr">
        <is>
          <t>2025-07-24</t>
        </is>
      </c>
      <c r="B2710" t="inlineStr">
        <is>
          <t>삼성에스디에스</t>
        </is>
      </c>
      <c r="C2710" t="inlineStr">
        <is>
          <t>018260</t>
        </is>
      </c>
      <c r="D2710" t="inlineStr">
        <is>
          <t>연결</t>
        </is>
      </c>
      <c r="E2710" t="inlineStr">
        <is>
          <t>2025Q2</t>
        </is>
      </c>
      <c r="F2710" s="2" t="n">
        <v>3511985</v>
      </c>
      <c r="G2710" t="inlineStr"/>
      <c r="H2710" t="inlineStr"/>
      <c r="I2710" s="2" t="n">
        <v>230161</v>
      </c>
      <c r="J2710" t="inlineStr"/>
      <c r="K2710" t="inlineStr"/>
      <c r="L2710" s="2" t="n">
        <v>176014</v>
      </c>
      <c r="M2710" t="inlineStr"/>
      <c r="N2710" t="inlineStr">
        <is>
          <t>20250724800068</t>
        </is>
      </c>
      <c r="O2710">
        <f>HYPERLINK("https://dart.fss.or.kr/dsaf001/main.do?rcpNo=20250724800068", "공시열람")</f>
        <v/>
      </c>
    </row>
    <row r="2711">
      <c r="A2711" t="inlineStr">
        <is>
          <t>2025-07-24</t>
        </is>
      </c>
      <c r="B2711" t="inlineStr">
        <is>
          <t>SNT다이내믹스</t>
        </is>
      </c>
      <c r="C2711" t="inlineStr">
        <is>
          <t>003570</t>
        </is>
      </c>
      <c r="D2711" t="inlineStr">
        <is>
          <t>연결</t>
        </is>
      </c>
      <c r="E2711" t="inlineStr">
        <is>
          <t>2025Q2</t>
        </is>
      </c>
      <c r="F2711" s="2" t="n">
        <v>186531</v>
      </c>
      <c r="G2711" t="n">
        <v>24.2</v>
      </c>
      <c r="H2711" t="n">
        <v>28.6</v>
      </c>
      <c r="I2711" s="2" t="n">
        <v>29586</v>
      </c>
      <c r="J2711" t="n">
        <v>67.09999999999999</v>
      </c>
      <c r="K2711" t="n">
        <v>-48.5</v>
      </c>
      <c r="L2711" s="2" t="n">
        <v>28013</v>
      </c>
      <c r="M2711" t="n">
        <v>-40.4</v>
      </c>
      <c r="N2711" t="inlineStr">
        <is>
          <t>20250724800041</t>
        </is>
      </c>
      <c r="O2711">
        <f>HYPERLINK("https://dart.fss.or.kr/dsaf001/main.do?rcpNo=20250724800041", "공시열람")</f>
        <v/>
      </c>
    </row>
    <row r="2712">
      <c r="A2712" t="inlineStr">
        <is>
          <t>2025-07-24</t>
        </is>
      </c>
      <c r="B2712" t="inlineStr">
        <is>
          <t>LS에코에너지</t>
        </is>
      </c>
      <c r="C2712" t="inlineStr">
        <is>
          <t>229640</t>
        </is>
      </c>
      <c r="D2712" t="inlineStr">
        <is>
          <t>연결</t>
        </is>
      </c>
      <c r="E2712" t="inlineStr">
        <is>
          <t>2025Q2</t>
        </is>
      </c>
      <c r="F2712" s="2" t="n">
        <v>250236</v>
      </c>
      <c r="G2712" t="n">
        <v>9.6</v>
      </c>
      <c r="H2712" t="n">
        <v>7.6</v>
      </c>
      <c r="I2712" s="2" t="n">
        <v>23594</v>
      </c>
      <c r="J2712" t="n">
        <v>53.8</v>
      </c>
      <c r="K2712" t="n">
        <v>60.2</v>
      </c>
      <c r="L2712" s="2" t="n">
        <v>18175</v>
      </c>
      <c r="M2712" t="n">
        <v>39.9</v>
      </c>
      <c r="N2712" t="inlineStr">
        <is>
          <t>20250724800047</t>
        </is>
      </c>
      <c r="O2712">
        <f>HYPERLINK("https://dart.fss.or.kr/dsaf001/main.do?rcpNo=20250724800047", "공시열람")</f>
        <v/>
      </c>
    </row>
    <row r="2713">
      <c r="A2713" t="inlineStr">
        <is>
          <t>2025-07-24</t>
        </is>
      </c>
      <c r="B2713" t="inlineStr">
        <is>
          <t>에스티팜</t>
        </is>
      </c>
      <c r="C2713" t="inlineStr">
        <is>
          <t>237690</t>
        </is>
      </c>
      <c r="D2713" t="inlineStr">
        <is>
          <t>연결</t>
        </is>
      </c>
      <c r="E2713" t="inlineStr">
        <is>
          <t>2025Q2</t>
        </is>
      </c>
      <c r="F2713" s="2" t="n">
        <v>68151</v>
      </c>
      <c r="G2713" t="inlineStr"/>
      <c r="H2713" t="inlineStr"/>
      <c r="I2713" s="2" t="n">
        <v>12819</v>
      </c>
      <c r="J2713" t="inlineStr"/>
      <c r="K2713" t="inlineStr"/>
      <c r="L2713" s="2" t="n">
        <v>4723</v>
      </c>
      <c r="M2713" t="inlineStr"/>
      <c r="N2713" t="inlineStr">
        <is>
          <t>20250724900184</t>
        </is>
      </c>
      <c r="O2713">
        <f>HYPERLINK("https://dart.fss.or.kr/dsaf001/main.do?rcpNo=20250724900184", "공시열람")</f>
        <v/>
      </c>
    </row>
    <row r="2714">
      <c r="A2714" t="inlineStr">
        <is>
          <t>2025-07-24</t>
        </is>
      </c>
      <c r="B2714" t="inlineStr">
        <is>
          <t>SNT모티브</t>
        </is>
      </c>
      <c r="C2714" t="inlineStr">
        <is>
          <t>064960</t>
        </is>
      </c>
      <c r="D2714" t="inlineStr">
        <is>
          <t>연결</t>
        </is>
      </c>
      <c r="E2714" t="inlineStr">
        <is>
          <t>2025Q2</t>
        </is>
      </c>
      <c r="F2714" s="2" t="n">
        <v>257539</v>
      </c>
      <c r="G2714" t="n">
        <v>13.9</v>
      </c>
      <c r="H2714" t="n">
        <v>7.2</v>
      </c>
      <c r="I2714" s="2" t="n">
        <v>26646</v>
      </c>
      <c r="J2714" t="n">
        <v>15.8</v>
      </c>
      <c r="K2714" t="n">
        <v>6.2</v>
      </c>
      <c r="L2714" s="2" t="n">
        <v>14166</v>
      </c>
      <c r="M2714" t="n">
        <v>-48</v>
      </c>
      <c r="N2714" t="inlineStr">
        <is>
          <t>20250724800038</t>
        </is>
      </c>
      <c r="O2714">
        <f>HYPERLINK("https://dart.fss.or.kr/dsaf001/main.do?rcpNo=20250724800038", "공시열람")</f>
        <v/>
      </c>
    </row>
    <row r="2715">
      <c r="A2715" t="inlineStr">
        <is>
          <t>2025-07-24</t>
        </is>
      </c>
      <c r="B2715" t="inlineStr">
        <is>
          <t>SNT에너지</t>
        </is>
      </c>
      <c r="C2715" t="inlineStr">
        <is>
          <t>100840</t>
        </is>
      </c>
      <c r="D2715" t="inlineStr">
        <is>
          <t>연결</t>
        </is>
      </c>
      <c r="E2715" t="inlineStr">
        <is>
          <t>2025Q2</t>
        </is>
      </c>
      <c r="F2715" s="2" t="n">
        <v>140681</v>
      </c>
      <c r="G2715" t="n">
        <v>22.1</v>
      </c>
      <c r="H2715" t="n">
        <v>109.2</v>
      </c>
      <c r="I2715" s="2" t="n">
        <v>27364</v>
      </c>
      <c r="J2715" t="n">
        <v>112.5</v>
      </c>
      <c r="K2715" t="n">
        <v>445.1</v>
      </c>
      <c r="L2715" s="2" t="n">
        <v>10969</v>
      </c>
      <c r="M2715" t="n">
        <v>31.7</v>
      </c>
      <c r="N2715" t="inlineStr">
        <is>
          <t>20250724800039</t>
        </is>
      </c>
      <c r="O2715">
        <f>HYPERLINK("https://dart.fss.or.kr/dsaf001/main.do?rcpNo=20250724800039", "공시열람")</f>
        <v/>
      </c>
    </row>
    <row r="2716">
      <c r="A2716" t="inlineStr">
        <is>
          <t>2025-07-24</t>
        </is>
      </c>
      <c r="B2716" t="inlineStr">
        <is>
          <t>SK하이닉스</t>
        </is>
      </c>
      <c r="C2716" t="inlineStr">
        <is>
          <t>000660</t>
        </is>
      </c>
      <c r="D2716" t="inlineStr">
        <is>
          <t>연결</t>
        </is>
      </c>
      <c r="E2716" t="inlineStr">
        <is>
          <t>2025Q2</t>
        </is>
      </c>
      <c r="F2716" s="2" t="n">
        <v>22231952</v>
      </c>
      <c r="G2716" t="n">
        <v>26</v>
      </c>
      <c r="H2716" t="n">
        <v>35.4</v>
      </c>
      <c r="I2716" s="2" t="n">
        <v>9212851</v>
      </c>
      <c r="J2716" t="n">
        <v>23.8</v>
      </c>
      <c r="K2716" t="n">
        <v>68.5</v>
      </c>
      <c r="L2716" s="2" t="n">
        <v>6996216</v>
      </c>
      <c r="M2716" t="n">
        <v>69.8</v>
      </c>
      <c r="N2716" t="inlineStr">
        <is>
          <t>20250724800001</t>
        </is>
      </c>
      <c r="O2716">
        <f>HYPERLINK("https://dart.fss.or.kr/dsaf001/main.do?rcpNo=20250724800001", "공시열람")</f>
        <v/>
      </c>
    </row>
    <row r="2717">
      <c r="A2717" t="inlineStr">
        <is>
          <t>2025-07-24</t>
        </is>
      </c>
      <c r="B2717" t="inlineStr">
        <is>
          <t>동아에스티</t>
        </is>
      </c>
      <c r="C2717" t="inlineStr">
        <is>
          <t>170900</t>
        </is>
      </c>
      <c r="D2717" t="inlineStr">
        <is>
          <t>별도</t>
        </is>
      </c>
      <c r="E2717" t="inlineStr">
        <is>
          <t>2025Q2</t>
        </is>
      </c>
      <c r="F2717" s="2" t="n">
        <v>177388</v>
      </c>
      <c r="G2717" t="n">
        <v>5</v>
      </c>
      <c r="H2717" t="n">
        <v>12.5</v>
      </c>
      <c r="I2717" s="2" t="n">
        <v>4015</v>
      </c>
      <c r="J2717" t="n">
        <v>-42.7</v>
      </c>
      <c r="K2717" t="n">
        <v>-43.4</v>
      </c>
      <c r="L2717" s="2" t="n">
        <v>-8820</v>
      </c>
      <c r="M2717" t="inlineStr"/>
      <c r="N2717" t="inlineStr">
        <is>
          <t>20250724800183</t>
        </is>
      </c>
      <c r="O2717">
        <f>HYPERLINK("https://dart.fss.or.kr/dsaf001/main.do?rcpNo=20250724800183", "공시열람")</f>
        <v/>
      </c>
    </row>
    <row r="2718">
      <c r="A2718" t="inlineStr">
        <is>
          <t>2025-07-24</t>
        </is>
      </c>
      <c r="B2718" t="inlineStr">
        <is>
          <t>엠앤씨솔루션</t>
        </is>
      </c>
      <c r="C2718" t="inlineStr">
        <is>
          <t>484870</t>
        </is>
      </c>
      <c r="D2718" t="inlineStr">
        <is>
          <t>별도</t>
        </is>
      </c>
      <c r="E2718" t="inlineStr">
        <is>
          <t>2025Q2</t>
        </is>
      </c>
      <c r="F2718" s="2" t="n">
        <v>97427</v>
      </c>
      <c r="G2718" t="n">
        <v>29.7</v>
      </c>
      <c r="H2718" t="n">
        <v>28</v>
      </c>
      <c r="I2718" s="2" t="n">
        <v>13449</v>
      </c>
      <c r="J2718" t="n">
        <v>41.5</v>
      </c>
      <c r="K2718" t="n">
        <v>56.9</v>
      </c>
      <c r="L2718" s="2" t="n">
        <v>10836</v>
      </c>
      <c r="M2718" t="n">
        <v>69.8</v>
      </c>
      <c r="N2718" t="inlineStr">
        <is>
          <t>20250724800079</t>
        </is>
      </c>
      <c r="O2718">
        <f>HYPERLINK("https://dart.fss.or.kr/dsaf001/main.do?rcpNo=20250724800079", "공시열람")</f>
        <v/>
      </c>
    </row>
    <row r="2719">
      <c r="A2719" t="inlineStr">
        <is>
          <t>2025-07-24</t>
        </is>
      </c>
      <c r="B2719" t="inlineStr">
        <is>
          <t>엘에스일렉트릭</t>
        </is>
      </c>
      <c r="C2719" t="inlineStr">
        <is>
          <t>010120</t>
        </is>
      </c>
      <c r="D2719" t="inlineStr">
        <is>
          <t>연결</t>
        </is>
      </c>
      <c r="E2719" t="inlineStr">
        <is>
          <t>2025Q2</t>
        </is>
      </c>
      <c r="F2719" s="2" t="n">
        <v>1193042</v>
      </c>
      <c r="G2719" t="n">
        <v>15.6</v>
      </c>
      <c r="H2719" t="n">
        <v>5.35</v>
      </c>
      <c r="I2719" s="2" t="n">
        <v>108598</v>
      </c>
      <c r="J2719" t="n">
        <v>24.38</v>
      </c>
      <c r="K2719" t="n">
        <v>-0.9399999999999999</v>
      </c>
      <c r="L2719" s="2" t="n">
        <v>67258</v>
      </c>
      <c r="M2719" t="n">
        <v>4.04</v>
      </c>
      <c r="N2719" t="inlineStr">
        <is>
          <t>20250724800084</t>
        </is>
      </c>
      <c r="O2719">
        <f>HYPERLINK("https://dart.fss.or.kr/dsaf001/main.do?rcpNo=20250724800084", "공시열람")</f>
        <v/>
      </c>
    </row>
    <row r="2720">
      <c r="A2720" t="inlineStr">
        <is>
          <t>2025-07-24</t>
        </is>
      </c>
      <c r="B2720" t="inlineStr">
        <is>
          <t>동아쏘시오홀딩스</t>
        </is>
      </c>
      <c r="C2720" t="inlineStr">
        <is>
          <t>000640</t>
        </is>
      </c>
      <c r="D2720" t="inlineStr">
        <is>
          <t>연결</t>
        </is>
      </c>
      <c r="E2720" t="inlineStr">
        <is>
          <t>2025Q2</t>
        </is>
      </c>
      <c r="F2720" s="2" t="n">
        <v>346899</v>
      </c>
      <c r="G2720" t="n">
        <v>5.63</v>
      </c>
      <c r="H2720" t="n">
        <v>6.91</v>
      </c>
      <c r="I2720" s="2" t="n">
        <v>28736</v>
      </c>
      <c r="J2720" t="n">
        <v>41.21</v>
      </c>
      <c r="K2720" t="n">
        <v>28.8</v>
      </c>
      <c r="L2720" s="2" t="inlineStr"/>
      <c r="M2720" t="inlineStr"/>
      <c r="N2720" t="inlineStr">
        <is>
          <t>20250724800093</t>
        </is>
      </c>
      <c r="O2720">
        <f>HYPERLINK("https://dart.fss.or.kr/dsaf001/main.do?rcpNo=20250724800093", "공시열람")</f>
        <v/>
      </c>
    </row>
    <row r="2721">
      <c r="A2721" t="inlineStr">
        <is>
          <t>2025-07-24</t>
        </is>
      </c>
      <c r="B2721" t="inlineStr">
        <is>
          <t>현대차증권</t>
        </is>
      </c>
      <c r="C2721" t="inlineStr">
        <is>
          <t>001500</t>
        </is>
      </c>
      <c r="D2721" t="inlineStr">
        <is>
          <t>연결</t>
        </is>
      </c>
      <c r="E2721" t="inlineStr">
        <is>
          <t>2025Q2</t>
        </is>
      </c>
      <c r="F2721" s="2" t="n">
        <v>693638</v>
      </c>
      <c r="G2721" t="n">
        <v>63</v>
      </c>
      <c r="H2721" t="n">
        <v>59.3</v>
      </c>
      <c r="I2721" s="2" t="n">
        <v>27029</v>
      </c>
      <c r="J2721" t="n">
        <v>-0.3</v>
      </c>
      <c r="K2721" t="n">
        <v>39</v>
      </c>
      <c r="L2721" s="2" t="n">
        <v>20726</v>
      </c>
      <c r="M2721" t="n">
        <v>38.5</v>
      </c>
      <c r="N2721" t="inlineStr">
        <is>
          <t>20250724800100</t>
        </is>
      </c>
      <c r="O2721">
        <f>HYPERLINK("https://dart.fss.or.kr/dsaf001/main.do?rcpNo=20250724800100", "공시열람")</f>
        <v/>
      </c>
    </row>
    <row r="2722">
      <c r="A2722" t="inlineStr">
        <is>
          <t>2025-07-24</t>
        </is>
      </c>
      <c r="B2722" t="inlineStr">
        <is>
          <t>LG디스플레이</t>
        </is>
      </c>
      <c r="C2722" t="inlineStr">
        <is>
          <t>034220</t>
        </is>
      </c>
      <c r="D2722" t="inlineStr">
        <is>
          <t>연결</t>
        </is>
      </c>
      <c r="E2722" t="inlineStr">
        <is>
          <t>2025Q2</t>
        </is>
      </c>
      <c r="F2722" s="2" t="n">
        <v>5586956</v>
      </c>
      <c r="G2722" t="n">
        <v>-7.9</v>
      </c>
      <c r="H2722" t="n">
        <v>-16.7</v>
      </c>
      <c r="I2722" s="2" t="n">
        <v>-116033</v>
      </c>
      <c r="J2722" t="inlineStr"/>
      <c r="K2722" t="n">
        <v>-23.9</v>
      </c>
      <c r="L2722" s="2" t="n">
        <v>890771</v>
      </c>
      <c r="M2722" t="inlineStr"/>
      <c r="N2722" t="inlineStr">
        <is>
          <t>20250724800177</t>
        </is>
      </c>
      <c r="O2722">
        <f>HYPERLINK("https://dart.fss.or.kr/dsaf001/main.do?rcpNo=20250724800177", "공시열람")</f>
        <v/>
      </c>
    </row>
    <row r="2723">
      <c r="A2723" t="inlineStr">
        <is>
          <t>2025-07-24</t>
        </is>
      </c>
      <c r="B2723" t="inlineStr">
        <is>
          <t>HD현대에너지솔루션</t>
        </is>
      </c>
      <c r="C2723" t="inlineStr">
        <is>
          <t>322000</t>
        </is>
      </c>
      <c r="D2723" t="inlineStr">
        <is>
          <t>연결</t>
        </is>
      </c>
      <c r="E2723" t="inlineStr">
        <is>
          <t>2025Q2</t>
        </is>
      </c>
      <c r="F2723" s="2" t="n">
        <v>133713</v>
      </c>
      <c r="G2723" t="n">
        <v>56.8</v>
      </c>
      <c r="H2723" t="n">
        <v>18.6</v>
      </c>
      <c r="I2723" s="2" t="n">
        <v>15061</v>
      </c>
      <c r="J2723" t="inlineStr"/>
      <c r="K2723" t="n">
        <v>90.5</v>
      </c>
      <c r="L2723" s="2" t="n">
        <v>11395</v>
      </c>
      <c r="M2723" t="n">
        <v>10.2</v>
      </c>
      <c r="N2723" t="inlineStr">
        <is>
          <t>20250724800151</t>
        </is>
      </c>
      <c r="O2723">
        <f>HYPERLINK("https://dart.fss.or.kr/dsaf001/main.do?rcpNo=20250724800151", "공시열람")</f>
        <v/>
      </c>
    </row>
    <row r="2724">
      <c r="A2724" t="inlineStr">
        <is>
          <t>2025-07-24</t>
        </is>
      </c>
      <c r="B2724" t="inlineStr">
        <is>
          <t>현대제철</t>
        </is>
      </c>
      <c r="C2724" t="inlineStr">
        <is>
          <t>004020</t>
        </is>
      </c>
      <c r="D2724" t="inlineStr">
        <is>
          <t>연결</t>
        </is>
      </c>
      <c r="E2724" t="inlineStr">
        <is>
          <t>2025Q2</t>
        </is>
      </c>
      <c r="F2724" s="2" t="n">
        <v>5945600</v>
      </c>
      <c r="G2724" t="n">
        <v>6.9</v>
      </c>
      <c r="H2724" t="n">
        <v>-1.6</v>
      </c>
      <c r="I2724" s="2" t="n">
        <v>101800</v>
      </c>
      <c r="J2724" t="inlineStr"/>
      <c r="K2724" t="n">
        <v>3.9</v>
      </c>
      <c r="L2724" s="2" t="n">
        <v>37400</v>
      </c>
      <c r="M2724" t="n">
        <v>2571.4</v>
      </c>
      <c r="N2724" t="inlineStr">
        <is>
          <t>20250724800191</t>
        </is>
      </c>
      <c r="O2724">
        <f>HYPERLINK("https://dart.fss.or.kr/dsaf001/main.do?rcpNo=20250724800191", "공시열람")</f>
        <v/>
      </c>
    </row>
    <row r="2725">
      <c r="A2725" t="inlineStr">
        <is>
          <t>2025-07-24</t>
        </is>
      </c>
      <c r="B2725" t="inlineStr">
        <is>
          <t>기업은행</t>
        </is>
      </c>
      <c r="C2725" t="inlineStr">
        <is>
          <t>024110</t>
        </is>
      </c>
      <c r="D2725" t="inlineStr">
        <is>
          <t>연결</t>
        </is>
      </c>
      <c r="E2725" t="inlineStr">
        <is>
          <t>2025Q2</t>
        </is>
      </c>
      <c r="F2725" s="2" t="n">
        <v>10244597</v>
      </c>
      <c r="G2725" t="n">
        <v>32.5</v>
      </c>
      <c r="H2725" t="n">
        <v>21.9</v>
      </c>
      <c r="I2725" s="2" t="n">
        <v>927445</v>
      </c>
      <c r="J2725" t="n">
        <v>-9.4</v>
      </c>
      <c r="K2725" t="n">
        <v>12.1</v>
      </c>
      <c r="L2725" s="2" t="n">
        <v>694401</v>
      </c>
      <c r="M2725" t="n">
        <v>13.9</v>
      </c>
      <c r="N2725" t="inlineStr">
        <is>
          <t>20250724800196</t>
        </is>
      </c>
      <c r="O2725">
        <f>HYPERLINK("https://dart.fss.or.kr/dsaf001/main.do?rcpNo=20250724800196", "공시열람")</f>
        <v/>
      </c>
    </row>
    <row r="2726">
      <c r="A2726" t="inlineStr">
        <is>
          <t>2025-07-24</t>
        </is>
      </c>
      <c r="B2726" t="inlineStr">
        <is>
          <t>현대자동차</t>
        </is>
      </c>
      <c r="C2726" t="inlineStr">
        <is>
          <t>005380</t>
        </is>
      </c>
      <c r="D2726" t="inlineStr">
        <is>
          <t>연결</t>
        </is>
      </c>
      <c r="E2726" t="inlineStr">
        <is>
          <t>2025Q2</t>
        </is>
      </c>
      <c r="F2726" s="2" t="n">
        <v>48286677</v>
      </c>
      <c r="G2726" t="n">
        <v>8.699999999999999</v>
      </c>
      <c r="H2726" t="n">
        <v>7.3</v>
      </c>
      <c r="I2726" s="2" t="n">
        <v>3601597</v>
      </c>
      <c r="J2726" t="n">
        <v>-0.9</v>
      </c>
      <c r="K2726" t="n">
        <v>-15.8</v>
      </c>
      <c r="L2726" s="2" t="n">
        <v>3250390</v>
      </c>
      <c r="M2726" t="n">
        <v>-22.1</v>
      </c>
      <c r="N2726" t="inlineStr">
        <is>
          <t>20250724800202</t>
        </is>
      </c>
      <c r="O2726">
        <f>HYPERLINK("https://dart.fss.or.kr/dsaf001/main.do?rcpNo=20250724800202", "공시열람")</f>
        <v/>
      </c>
    </row>
    <row r="2727">
      <c r="A2727" t="inlineStr">
        <is>
          <t>2025-07-24</t>
        </is>
      </c>
      <c r="B2727" t="inlineStr">
        <is>
          <t>HD현대마린솔루션</t>
        </is>
      </c>
      <c r="C2727" t="inlineStr">
        <is>
          <t>443060</t>
        </is>
      </c>
      <c r="D2727" t="inlineStr">
        <is>
          <t>연결</t>
        </is>
      </c>
      <c r="E2727" t="inlineStr">
        <is>
          <t>2025Q2</t>
        </is>
      </c>
      <c r="F2727" s="2" t="n">
        <v>467700</v>
      </c>
      <c r="G2727" t="n">
        <v>-3.7</v>
      </c>
      <c r="H2727" t="n">
        <v>6.8</v>
      </c>
      <c r="I2727" s="2" t="n">
        <v>83000</v>
      </c>
      <c r="J2727" t="n">
        <v>0</v>
      </c>
      <c r="K2727" t="n">
        <v>16.9</v>
      </c>
      <c r="L2727" s="2" t="n">
        <v>53000</v>
      </c>
      <c r="M2727" t="n">
        <v>-6.5</v>
      </c>
      <c r="N2727" t="inlineStr">
        <is>
          <t>20250724800219</t>
        </is>
      </c>
      <c r="O2727">
        <f>HYPERLINK("https://dart.fss.or.kr/dsaf001/main.do?rcpNo=20250724800219", "공시열람")</f>
        <v/>
      </c>
    </row>
    <row r="2728">
      <c r="A2728" t="inlineStr">
        <is>
          <t>2025-07-24</t>
        </is>
      </c>
      <c r="B2728" t="inlineStr">
        <is>
          <t>삼성E&amp;A</t>
        </is>
      </c>
      <c r="C2728" t="inlineStr">
        <is>
          <t>028050</t>
        </is>
      </c>
      <c r="D2728" t="inlineStr">
        <is>
          <t>연결</t>
        </is>
      </c>
      <c r="E2728" t="inlineStr">
        <is>
          <t>2025Q2</t>
        </is>
      </c>
      <c r="F2728" s="2" t="n">
        <v>2178023</v>
      </c>
      <c r="G2728" t="n">
        <v>3.8</v>
      </c>
      <c r="H2728" t="n">
        <v>-18.9</v>
      </c>
      <c r="I2728" s="2" t="n">
        <v>180856</v>
      </c>
      <c r="J2728" t="n">
        <v>15</v>
      </c>
      <c r="K2728" t="n">
        <v>-31.1</v>
      </c>
      <c r="L2728" s="2" t="n">
        <v>141717</v>
      </c>
      <c r="M2728" t="n">
        <v>-31</v>
      </c>
      <c r="N2728" t="inlineStr">
        <is>
          <t>20250724800150</t>
        </is>
      </c>
      <c r="O2728">
        <f>HYPERLINK("https://dart.fss.or.kr/dsaf001/main.do?rcpNo=20250724800150", "공시열람")</f>
        <v/>
      </c>
    </row>
    <row r="2729">
      <c r="A2729" t="inlineStr">
        <is>
          <t>2025-07-24</t>
        </is>
      </c>
      <c r="B2729" t="inlineStr">
        <is>
          <t>HD건설기계</t>
        </is>
      </c>
      <c r="C2729" t="inlineStr">
        <is>
          <t>267270</t>
        </is>
      </c>
      <c r="D2729" t="inlineStr">
        <is>
          <t>연결</t>
        </is>
      </c>
      <c r="E2729" t="inlineStr">
        <is>
          <t>2025Q2</t>
        </is>
      </c>
      <c r="F2729" s="2" t="n">
        <v>967700</v>
      </c>
      <c r="G2729" t="n">
        <v>6.7</v>
      </c>
      <c r="H2729" t="n">
        <v>13.4</v>
      </c>
      <c r="I2729" s="2" t="n">
        <v>40000</v>
      </c>
      <c r="J2729" t="n">
        <v>-3.9</v>
      </c>
      <c r="K2729" t="n">
        <v>-31.6</v>
      </c>
      <c r="L2729" s="2" t="n">
        <v>600</v>
      </c>
      <c r="M2729" t="n">
        <v>-98</v>
      </c>
      <c r="N2729" t="inlineStr">
        <is>
          <t>20250724800148</t>
        </is>
      </c>
      <c r="O2729">
        <f>HYPERLINK("https://dart.fss.or.kr/dsaf001/main.do?rcpNo=20250724800148", "공시열람")</f>
        <v/>
      </c>
    </row>
    <row r="2730">
      <c r="A2730" t="inlineStr">
        <is>
          <t>2025-07-24</t>
        </is>
      </c>
      <c r="B2730" t="inlineStr">
        <is>
          <t>OCI홀딩스</t>
        </is>
      </c>
      <c r="C2730" t="inlineStr">
        <is>
          <t>010060</t>
        </is>
      </c>
      <c r="D2730" t="inlineStr">
        <is>
          <t>연결</t>
        </is>
      </c>
      <c r="E2730" t="inlineStr">
        <is>
          <t>2025Q2</t>
        </is>
      </c>
      <c r="F2730" s="2" t="n">
        <v>776232</v>
      </c>
      <c r="G2730" t="n">
        <v>-18.1</v>
      </c>
      <c r="H2730" t="n">
        <v>-18.3</v>
      </c>
      <c r="I2730" s="2" t="n">
        <v>-77714</v>
      </c>
      <c r="J2730" t="inlineStr"/>
      <c r="K2730" t="inlineStr"/>
      <c r="L2730" s="2" t="n">
        <v>-76278</v>
      </c>
      <c r="M2730" t="inlineStr"/>
      <c r="N2730" t="inlineStr">
        <is>
          <t>20250724800268</t>
        </is>
      </c>
      <c r="O2730">
        <f>HYPERLINK("https://dart.fss.or.kr/dsaf001/main.do?rcpNo=20250724800268", "공시열람")</f>
        <v/>
      </c>
    </row>
    <row r="2731">
      <c r="A2731" t="inlineStr">
        <is>
          <t>2025-07-24</t>
        </is>
      </c>
      <c r="B2731" t="inlineStr">
        <is>
          <t>KB금융</t>
        </is>
      </c>
      <c r="C2731" t="inlineStr">
        <is>
          <t>105560</t>
        </is>
      </c>
      <c r="D2731" t="inlineStr">
        <is>
          <t>연결</t>
        </is>
      </c>
      <c r="E2731" t="inlineStr">
        <is>
          <t>2025Q2</t>
        </is>
      </c>
      <c r="F2731" s="2" t="n">
        <v>24200489</v>
      </c>
      <c r="G2731" t="n">
        <v>22.57</v>
      </c>
      <c r="H2731" t="n">
        <v>21.54</v>
      </c>
      <c r="I2731" s="2" t="n">
        <v>2132971</v>
      </c>
      <c r="J2731" t="n">
        <v>-6.98</v>
      </c>
      <c r="K2731" t="n">
        <v>-7.37</v>
      </c>
      <c r="L2731" s="2" t="n">
        <v>1747580</v>
      </c>
      <c r="M2731" t="n">
        <v>2.14</v>
      </c>
      <c r="N2731" t="inlineStr">
        <is>
          <t>20250724800303</t>
        </is>
      </c>
      <c r="O2731">
        <f>HYPERLINK("https://dart.fss.or.kr/dsaf001/main.do?rcpNo=20250724800303", "공시열람")</f>
        <v/>
      </c>
    </row>
    <row r="2732">
      <c r="A2732" t="inlineStr">
        <is>
          <t>2025-07-24</t>
        </is>
      </c>
      <c r="B2732" t="inlineStr">
        <is>
          <t>JB금융지주</t>
        </is>
      </c>
      <c r="C2732" t="inlineStr">
        <is>
          <t>175330</t>
        </is>
      </c>
      <c r="D2732" t="inlineStr">
        <is>
          <t>연결</t>
        </is>
      </c>
      <c r="E2732" t="inlineStr">
        <is>
          <t>2025Q2</t>
        </is>
      </c>
      <c r="F2732" s="2" t="n">
        <v>451271</v>
      </c>
      <c r="G2732" t="n">
        <v>3.7</v>
      </c>
      <c r="H2732" t="n">
        <v>-3.7</v>
      </c>
      <c r="I2732" s="2" t="n">
        <v>107276</v>
      </c>
      <c r="J2732" t="n">
        <v>23.6</v>
      </c>
      <c r="K2732" t="n">
        <v>-5.8</v>
      </c>
      <c r="L2732" s="2" t="n">
        <v>81450</v>
      </c>
      <c r="M2732" t="n">
        <v>-7.1</v>
      </c>
      <c r="N2732" t="inlineStr">
        <is>
          <t>20250724800304</t>
        </is>
      </c>
      <c r="O2732">
        <f>HYPERLINK("https://dart.fss.or.kr/dsaf001/main.do?rcpNo=20250724800304", "공시열람")</f>
        <v/>
      </c>
    </row>
    <row r="2733">
      <c r="A2733" t="inlineStr">
        <is>
          <t>2025-07-24</t>
        </is>
      </c>
      <c r="B2733" t="inlineStr">
        <is>
          <t>JB금융지주</t>
        </is>
      </c>
      <c r="C2733" t="inlineStr">
        <is>
          <t>175330</t>
        </is>
      </c>
      <c r="D2733" t="inlineStr">
        <is>
          <t>연결</t>
        </is>
      </c>
      <c r="E2733" t="inlineStr">
        <is>
          <t>2025Q2</t>
        </is>
      </c>
      <c r="F2733" s="2" t="n">
        <v>333479</v>
      </c>
      <c r="G2733" t="n">
        <v>18.3</v>
      </c>
      <c r="H2733" t="n">
        <v>10.7</v>
      </c>
      <c r="I2733" s="2" t="n">
        <v>93607</v>
      </c>
      <c r="J2733" t="n">
        <v>28.3</v>
      </c>
      <c r="K2733" t="n">
        <v>10.4</v>
      </c>
      <c r="L2733" s="2" t="n">
        <v>73237</v>
      </c>
      <c r="M2733" t="n">
        <v>9.199999999999999</v>
      </c>
      <c r="N2733" t="inlineStr">
        <is>
          <t>20250724800310</t>
        </is>
      </c>
      <c r="O2733">
        <f>HYPERLINK("https://dart.fss.or.kr/dsaf001/main.do?rcpNo=20250724800310", "공시열람")</f>
        <v/>
      </c>
    </row>
    <row r="2734">
      <c r="A2734" t="inlineStr">
        <is>
          <t>2025-07-24</t>
        </is>
      </c>
      <c r="B2734" t="inlineStr">
        <is>
          <t>JB금융지주</t>
        </is>
      </c>
      <c r="C2734" t="inlineStr">
        <is>
          <t>175330</t>
        </is>
      </c>
      <c r="D2734" t="inlineStr">
        <is>
          <t>연결</t>
        </is>
      </c>
      <c r="E2734" t="inlineStr">
        <is>
          <t>2025Q2</t>
        </is>
      </c>
      <c r="F2734" s="2" t="n">
        <v>402170</v>
      </c>
      <c r="G2734" t="n">
        <v>2.4</v>
      </c>
      <c r="H2734" t="n">
        <v>0.9</v>
      </c>
      <c r="I2734" s="2" t="n">
        <v>84485</v>
      </c>
      <c r="J2734" t="n">
        <v>26.6</v>
      </c>
      <c r="K2734" t="n">
        <v>21.9</v>
      </c>
      <c r="L2734" s="2" t="n">
        <v>65103</v>
      </c>
      <c r="M2734" t="n">
        <v>15.4</v>
      </c>
      <c r="N2734" t="inlineStr">
        <is>
          <t>20250724800296</t>
        </is>
      </c>
      <c r="O2734">
        <f>HYPERLINK("https://dart.fss.or.kr/dsaf001/main.do?rcpNo=20250724800296", "공시열람")</f>
        <v/>
      </c>
    </row>
    <row r="2735">
      <c r="A2735" t="inlineStr">
        <is>
          <t>2025-07-24</t>
        </is>
      </c>
      <c r="B2735" t="inlineStr">
        <is>
          <t>삼성중공업</t>
        </is>
      </c>
      <c r="C2735" t="inlineStr">
        <is>
          <t>010140</t>
        </is>
      </c>
      <c r="D2735" t="inlineStr">
        <is>
          <t>연결</t>
        </is>
      </c>
      <c r="E2735" t="inlineStr">
        <is>
          <t>2025Q2</t>
        </is>
      </c>
      <c r="F2735" s="2" t="n">
        <v>2683000</v>
      </c>
      <c r="G2735" t="n">
        <v>7.6</v>
      </c>
      <c r="H2735" t="n">
        <v>6</v>
      </c>
      <c r="I2735" s="2" t="n">
        <v>204800</v>
      </c>
      <c r="J2735" t="n">
        <v>66.40000000000001</v>
      </c>
      <c r="K2735" t="n">
        <v>56.7</v>
      </c>
      <c r="L2735" s="2" t="n">
        <v>212400</v>
      </c>
      <c r="M2735" t="n">
        <v>187</v>
      </c>
      <c r="N2735" t="inlineStr">
        <is>
          <t>20250724800317</t>
        </is>
      </c>
      <c r="O2735">
        <f>HYPERLINK("https://dart.fss.or.kr/dsaf001/main.do?rcpNo=20250724800317", "공시열람")</f>
        <v/>
      </c>
    </row>
    <row r="2736">
      <c r="A2736" t="inlineStr">
        <is>
          <t>2025-07-24</t>
        </is>
      </c>
      <c r="B2736" t="inlineStr">
        <is>
          <t>제주은행</t>
        </is>
      </c>
      <c r="C2736" t="inlineStr">
        <is>
          <t>006220</t>
        </is>
      </c>
      <c r="D2736" t="inlineStr">
        <is>
          <t>연결</t>
        </is>
      </c>
      <c r="E2736" t="inlineStr">
        <is>
          <t>2025Q2</t>
        </is>
      </c>
      <c r="F2736" s="2" t="n">
        <v>92246</v>
      </c>
      <c r="G2736" t="inlineStr"/>
      <c r="H2736" t="inlineStr"/>
      <c r="I2736" s="2" t="n">
        <v>2166</v>
      </c>
      <c r="J2736" t="inlineStr"/>
      <c r="K2736" t="inlineStr"/>
      <c r="L2736" s="2" t="n">
        <v>5150</v>
      </c>
      <c r="M2736" t="inlineStr"/>
      <c r="N2736" t="inlineStr">
        <is>
          <t>20250724800341</t>
        </is>
      </c>
      <c r="O2736">
        <f>HYPERLINK("https://dart.fss.or.kr/dsaf001/main.do?rcpNo=20250724800341", "공시열람")</f>
        <v/>
      </c>
    </row>
    <row r="2737">
      <c r="A2737" t="inlineStr">
        <is>
          <t>2025-07-24</t>
        </is>
      </c>
      <c r="B2737" t="inlineStr">
        <is>
          <t>LX세미콘</t>
        </is>
      </c>
      <c r="C2737" t="inlineStr">
        <is>
          <t>108320</t>
        </is>
      </c>
      <c r="D2737" t="inlineStr">
        <is>
          <t>연결</t>
        </is>
      </c>
      <c r="E2737" t="inlineStr">
        <is>
          <t>2025Q2</t>
        </is>
      </c>
      <c r="F2737" s="2" t="n">
        <v>378615</v>
      </c>
      <c r="G2737" t="n">
        <v>-20.5</v>
      </c>
      <c r="H2737" t="n">
        <v>-21.9</v>
      </c>
      <c r="I2737" s="2" t="n">
        <v>10229</v>
      </c>
      <c r="J2737" t="n">
        <v>-82.90000000000001</v>
      </c>
      <c r="K2737" t="n">
        <v>-81.8</v>
      </c>
      <c r="L2737" s="2" t="n">
        <v>8319</v>
      </c>
      <c r="M2737" t="n">
        <v>-81.2</v>
      </c>
      <c r="N2737" t="inlineStr">
        <is>
          <t>20250724800372</t>
        </is>
      </c>
      <c r="O2737">
        <f>HYPERLINK("https://dart.fss.or.kr/dsaf001/main.do?rcpNo=20250724800372", "공시열람")</f>
        <v/>
      </c>
    </row>
    <row r="2738">
      <c r="A2738" t="inlineStr">
        <is>
          <t>2025-07-24</t>
        </is>
      </c>
      <c r="B2738" t="inlineStr">
        <is>
          <t>멀티캠퍼스</t>
        </is>
      </c>
      <c r="C2738" t="inlineStr">
        <is>
          <t>067280</t>
        </is>
      </c>
      <c r="D2738" t="inlineStr">
        <is>
          <t>연결</t>
        </is>
      </c>
      <c r="E2738" t="inlineStr">
        <is>
          <t>2025Q2</t>
        </is>
      </c>
      <c r="F2738" s="2" t="n">
        <v>84873</v>
      </c>
      <c r="G2738" t="inlineStr"/>
      <c r="H2738" t="inlineStr"/>
      <c r="I2738" s="2" t="n">
        <v>8795</v>
      </c>
      <c r="J2738" t="inlineStr"/>
      <c r="K2738" t="inlineStr"/>
      <c r="L2738" s="2" t="n">
        <v>7113</v>
      </c>
      <c r="M2738" t="inlineStr"/>
      <c r="N2738" t="inlineStr">
        <is>
          <t>20250724900385</t>
        </is>
      </c>
      <c r="O2738">
        <f>HYPERLINK("https://dart.fss.or.kr/dsaf001/main.do?rcpNo=20250724900385", "공시열람")</f>
        <v/>
      </c>
    </row>
    <row r="2739">
      <c r="A2739" t="inlineStr">
        <is>
          <t>2025-07-24</t>
        </is>
      </c>
      <c r="B2739" t="inlineStr">
        <is>
          <t>LX하우시스</t>
        </is>
      </c>
      <c r="C2739" t="inlineStr">
        <is>
          <t>108670</t>
        </is>
      </c>
      <c r="D2739" t="inlineStr">
        <is>
          <t>연결</t>
        </is>
      </c>
      <c r="E2739" t="inlineStr">
        <is>
          <t>2025Q2</t>
        </is>
      </c>
      <c r="F2739" s="2" t="n">
        <v>819479</v>
      </c>
      <c r="G2739" t="inlineStr"/>
      <c r="H2739" t="inlineStr"/>
      <c r="I2739" s="2" t="n">
        <v>12798</v>
      </c>
      <c r="J2739" t="inlineStr"/>
      <c r="K2739" t="inlineStr"/>
      <c r="L2739" s="2" t="n">
        <v>-81</v>
      </c>
      <c r="M2739" t="inlineStr"/>
      <c r="N2739" t="inlineStr">
        <is>
          <t>20250724800450</t>
        </is>
      </c>
      <c r="O2739">
        <f>HYPERLINK("https://dart.fss.or.kr/dsaf001/main.do?rcpNo=20250724800450", "공시열람")</f>
        <v/>
      </c>
    </row>
    <row r="2740">
      <c r="A2740" t="inlineStr">
        <is>
          <t>2025-07-24</t>
        </is>
      </c>
      <c r="B2740" t="inlineStr">
        <is>
          <t>한화엔진</t>
        </is>
      </c>
      <c r="C2740" t="inlineStr">
        <is>
          <t>082740</t>
        </is>
      </c>
      <c r="D2740" t="inlineStr">
        <is>
          <t>별도</t>
        </is>
      </c>
      <c r="E2740" t="inlineStr">
        <is>
          <t>2025Q2</t>
        </is>
      </c>
      <c r="F2740" s="2" t="n">
        <v>387700</v>
      </c>
      <c r="G2740" t="n">
        <v>21.8</v>
      </c>
      <c r="H2740" t="n">
        <v>35.3</v>
      </c>
      <c r="I2740" s="2" t="n">
        <v>33775</v>
      </c>
      <c r="J2740" t="n">
        <v>51.4</v>
      </c>
      <c r="K2740" t="n">
        <v>81.40000000000001</v>
      </c>
      <c r="L2740" s="2" t="n">
        <v>21556</v>
      </c>
      <c r="M2740" t="n">
        <v>50.7</v>
      </c>
      <c r="N2740" t="inlineStr">
        <is>
          <t>20250724800636</t>
        </is>
      </c>
      <c r="O2740">
        <f>HYPERLINK("https://dart.fss.or.kr/dsaf001/main.do?rcpNo=20250724800636", "공시열람")</f>
        <v/>
      </c>
    </row>
    <row r="2741">
      <c r="A2741" t="inlineStr">
        <is>
          <t>2025-07-24</t>
        </is>
      </c>
      <c r="B2741" t="inlineStr">
        <is>
          <t>KB금융</t>
        </is>
      </c>
      <c r="C2741" t="inlineStr">
        <is>
          <t>105560</t>
        </is>
      </c>
      <c r="D2741" t="inlineStr">
        <is>
          <t>연결</t>
        </is>
      </c>
      <c r="E2741" t="inlineStr">
        <is>
          <t>2025Q2</t>
        </is>
      </c>
      <c r="F2741" s="2" t="n">
        <v>3216537</v>
      </c>
      <c r="G2741" t="n">
        <v>7.64</v>
      </c>
      <c r="H2741" t="n">
        <v>41.49</v>
      </c>
      <c r="I2741" s="2" t="n">
        <v>218043</v>
      </c>
      <c r="J2741" t="n">
        <v>-2.92</v>
      </c>
      <c r="K2741" t="n">
        <v>-10.4</v>
      </c>
      <c r="L2741" s="2" t="n">
        <v>160658</v>
      </c>
      <c r="M2741" t="n">
        <v>-11.05</v>
      </c>
      <c r="N2741" t="inlineStr">
        <is>
          <t>20250724800272</t>
        </is>
      </c>
      <c r="O2741">
        <f>HYPERLINK("https://dart.fss.or.kr/dsaf001/main.do?rcpNo=20250724800272", "공시열람")</f>
        <v/>
      </c>
    </row>
    <row r="2742">
      <c r="A2742" t="inlineStr">
        <is>
          <t>2025-07-24</t>
        </is>
      </c>
      <c r="B2742" t="inlineStr">
        <is>
          <t>현대글로비스</t>
        </is>
      </c>
      <c r="C2742" t="inlineStr">
        <is>
          <t>086280</t>
        </is>
      </c>
      <c r="D2742" t="inlineStr">
        <is>
          <t>연결</t>
        </is>
      </c>
      <c r="E2742" t="inlineStr">
        <is>
          <t>2025Q2</t>
        </is>
      </c>
      <c r="F2742" s="2" t="n">
        <v>7515967</v>
      </c>
      <c r="G2742" t="n">
        <v>4.1</v>
      </c>
      <c r="H2742" t="n">
        <v>6.4</v>
      </c>
      <c r="I2742" s="2" t="n">
        <v>538878</v>
      </c>
      <c r="J2742" t="n">
        <v>7.4</v>
      </c>
      <c r="K2742" t="n">
        <v>22.7</v>
      </c>
      <c r="L2742" s="2" t="n">
        <v>502552</v>
      </c>
      <c r="M2742" t="n">
        <v>60.5</v>
      </c>
      <c r="N2742" t="inlineStr">
        <is>
          <t>20250724800143</t>
        </is>
      </c>
      <c r="O2742">
        <f>HYPERLINK("https://dart.fss.or.kr/dsaf001/main.do?rcpNo=20250724800143", "공시열람")</f>
        <v/>
      </c>
    </row>
    <row r="2743">
      <c r="A2743" t="inlineStr">
        <is>
          <t>2025-07-24</t>
        </is>
      </c>
      <c r="B2743" t="inlineStr">
        <is>
          <t>한솔로지스틱스</t>
        </is>
      </c>
      <c r="C2743" t="inlineStr">
        <is>
          <t>009180</t>
        </is>
      </c>
      <c r="D2743" t="inlineStr">
        <is>
          <t>연결</t>
        </is>
      </c>
      <c r="E2743" t="inlineStr">
        <is>
          <t>2025Q2</t>
        </is>
      </c>
      <c r="F2743" s="2" t="n">
        <v>178077</v>
      </c>
      <c r="G2743" t="n">
        <v>2.3</v>
      </c>
      <c r="H2743" t="n">
        <v>3.3</v>
      </c>
      <c r="I2743" s="2" t="n">
        <v>6405</v>
      </c>
      <c r="J2743" t="n">
        <v>12.5</v>
      </c>
      <c r="K2743" t="n">
        <v>-3.3</v>
      </c>
      <c r="L2743" s="2" t="n">
        <v>7352</v>
      </c>
      <c r="M2743" t="n">
        <v>140.8</v>
      </c>
      <c r="N2743" t="inlineStr">
        <is>
          <t>20250724800141</t>
        </is>
      </c>
      <c r="O2743">
        <f>HYPERLINK("https://dart.fss.or.kr/dsaf001/main.do?rcpNo=20250724800141", "공시열람")</f>
        <v/>
      </c>
    </row>
    <row r="2744">
      <c r="A2744" t="inlineStr">
        <is>
          <t>2025-07-24</t>
        </is>
      </c>
      <c r="B2744" t="inlineStr">
        <is>
          <t>JB금융지주</t>
        </is>
      </c>
      <c r="C2744" t="inlineStr">
        <is>
          <t>175330</t>
        </is>
      </c>
      <c r="D2744" t="inlineStr">
        <is>
          <t>연결</t>
        </is>
      </c>
      <c r="E2744" t="inlineStr">
        <is>
          <t>2025Q2</t>
        </is>
      </c>
      <c r="F2744" s="2" t="n">
        <v>1186908</v>
      </c>
      <c r="G2744" t="n">
        <v>5.7</v>
      </c>
      <c r="H2744" t="n">
        <v>1.1</v>
      </c>
      <c r="I2744" s="2" t="n">
        <v>266896</v>
      </c>
      <c r="J2744" t="n">
        <v>22.7</v>
      </c>
      <c r="K2744" t="n">
        <v>3.1</v>
      </c>
      <c r="L2744" s="2" t="n">
        <v>213712</v>
      </c>
      <c r="M2744" t="n">
        <v>6.5</v>
      </c>
      <c r="N2744" t="inlineStr">
        <is>
          <t>20250724800288</t>
        </is>
      </c>
      <c r="O2744">
        <f>HYPERLINK("https://dart.fss.or.kr/dsaf001/main.do?rcpNo=20250724800288", "공시열람")</f>
        <v/>
      </c>
    </row>
    <row r="2745">
      <c r="A2745" t="inlineStr">
        <is>
          <t>2025-07-24</t>
        </is>
      </c>
      <c r="B2745" t="inlineStr">
        <is>
          <t>현대제철</t>
        </is>
      </c>
      <c r="C2745" t="inlineStr">
        <is>
          <t>004020</t>
        </is>
      </c>
      <c r="D2745" t="inlineStr">
        <is>
          <t>별도</t>
        </is>
      </c>
      <c r="E2745" t="inlineStr">
        <is>
          <t>2025Q2</t>
        </is>
      </c>
      <c r="F2745" s="2" t="n">
        <v>4680000</v>
      </c>
      <c r="G2745" t="n">
        <v>9.1</v>
      </c>
      <c r="H2745" t="n">
        <v>-3.5</v>
      </c>
      <c r="I2745" s="2" t="n">
        <v>-7500</v>
      </c>
      <c r="J2745" t="n">
        <v>86.7</v>
      </c>
      <c r="K2745" t="inlineStr"/>
      <c r="L2745" s="2" t="n">
        <v>-18200</v>
      </c>
      <c r="M2745" t="inlineStr"/>
      <c r="N2745" t="inlineStr">
        <is>
          <t>20250724800190</t>
        </is>
      </c>
      <c r="O2745">
        <f>HYPERLINK("https://dart.fss.or.kr/dsaf001/main.do?rcpNo=20250724800190", "공시열람")</f>
        <v/>
      </c>
    </row>
    <row r="2746">
      <c r="A2746" t="inlineStr">
        <is>
          <t>2025-07-24</t>
        </is>
      </c>
      <c r="B2746" t="inlineStr">
        <is>
          <t>KB금융</t>
        </is>
      </c>
      <c r="C2746" t="inlineStr">
        <is>
          <t>105560</t>
        </is>
      </c>
      <c r="D2746" t="inlineStr">
        <is>
          <t>연결</t>
        </is>
      </c>
      <c r="E2746" t="inlineStr">
        <is>
          <t>2025Q2</t>
        </is>
      </c>
      <c r="F2746" s="2" t="n">
        <v>14169626</v>
      </c>
      <c r="G2746" t="n">
        <v>31.06</v>
      </c>
      <c r="H2746" t="n">
        <v>19.85</v>
      </c>
      <c r="I2746" s="2" t="n">
        <v>1556425</v>
      </c>
      <c r="J2746" t="n">
        <v>12.06</v>
      </c>
      <c r="K2746" t="n">
        <v>9.49</v>
      </c>
      <c r="L2746" s="2" t="n">
        <v>1152065</v>
      </c>
      <c r="M2746" t="n">
        <v>5.78</v>
      </c>
      <c r="N2746" t="inlineStr">
        <is>
          <t>20250724800270</t>
        </is>
      </c>
      <c r="O2746">
        <f>HYPERLINK("https://dart.fss.or.kr/dsaf001/main.do?rcpNo=20250724800270", "공시열람")</f>
        <v/>
      </c>
    </row>
    <row r="2747">
      <c r="A2747" t="inlineStr">
        <is>
          <t>2025-07-23</t>
        </is>
      </c>
      <c r="B2747" t="inlineStr">
        <is>
          <t>유니드</t>
        </is>
      </c>
      <c r="C2747" t="inlineStr">
        <is>
          <t>014830</t>
        </is>
      </c>
      <c r="D2747" t="inlineStr">
        <is>
          <t>연결</t>
        </is>
      </c>
      <c r="E2747" t="inlineStr">
        <is>
          <t>2025Q2</t>
        </is>
      </c>
      <c r="F2747" s="2" t="n">
        <v>340940</v>
      </c>
      <c r="G2747" t="inlineStr"/>
      <c r="H2747" t="inlineStr"/>
      <c r="I2747" s="2" t="n">
        <v>32824</v>
      </c>
      <c r="J2747" t="inlineStr"/>
      <c r="K2747" t="inlineStr"/>
      <c r="L2747" s="2" t="n">
        <v>23777</v>
      </c>
      <c r="M2747" t="inlineStr"/>
      <c r="N2747" t="inlineStr">
        <is>
          <t>20250723800137</t>
        </is>
      </c>
      <c r="O2747">
        <f>HYPERLINK("https://dart.fss.or.kr/dsaf001/main.do?rcpNo=20250723800137", "공시열람")</f>
        <v/>
      </c>
    </row>
    <row r="2748">
      <c r="A2748" t="inlineStr">
        <is>
          <t>2025-07-23</t>
        </is>
      </c>
      <c r="B2748" t="inlineStr">
        <is>
          <t>에어부산</t>
        </is>
      </c>
      <c r="C2748" t="inlineStr">
        <is>
          <t>298690</t>
        </is>
      </c>
      <c r="D2748" t="inlineStr">
        <is>
          <t>별도</t>
        </is>
      </c>
      <c r="E2748" t="inlineStr">
        <is>
          <t>2025Q2</t>
        </is>
      </c>
      <c r="F2748" s="2" t="n">
        <v>171362</v>
      </c>
      <c r="G2748" t="n">
        <v>-31.3</v>
      </c>
      <c r="H2748" t="n">
        <v>-27.2</v>
      </c>
      <c r="I2748" s="2" t="n">
        <v>-11125</v>
      </c>
      <c r="J2748" t="inlineStr"/>
      <c r="K2748" t="inlineStr"/>
      <c r="L2748" s="2" t="n">
        <v>27738</v>
      </c>
      <c r="M2748" t="inlineStr"/>
      <c r="N2748" t="inlineStr">
        <is>
          <t>20250723800361</t>
        </is>
      </c>
      <c r="O2748">
        <f>HYPERLINK("https://dart.fss.or.kr/dsaf001/main.do?rcpNo=20250723800361", "공시열람")</f>
        <v/>
      </c>
    </row>
    <row r="2749">
      <c r="A2749" t="inlineStr">
        <is>
          <t>2025-07-23</t>
        </is>
      </c>
      <c r="B2749" t="inlineStr">
        <is>
          <t>LG이노텍</t>
        </is>
      </c>
      <c r="C2749" t="inlineStr">
        <is>
          <t>011070</t>
        </is>
      </c>
      <c r="D2749" t="inlineStr">
        <is>
          <t>연결</t>
        </is>
      </c>
      <c r="E2749" t="inlineStr">
        <is>
          <t>2025Q2</t>
        </is>
      </c>
      <c r="F2749" s="2" t="n">
        <v>3934575</v>
      </c>
      <c r="G2749" t="n">
        <v>-21</v>
      </c>
      <c r="H2749" t="n">
        <v>-13.6</v>
      </c>
      <c r="I2749" s="2" t="n">
        <v>11392</v>
      </c>
      <c r="J2749" t="n">
        <v>-90.90000000000001</v>
      </c>
      <c r="K2749" t="n">
        <v>-92.5</v>
      </c>
      <c r="L2749" s="2" t="n">
        <v>-8677</v>
      </c>
      <c r="M2749" t="inlineStr"/>
      <c r="N2749" t="inlineStr">
        <is>
          <t>20250723800295</t>
        </is>
      </c>
      <c r="O2749">
        <f>HYPERLINK("https://dart.fss.or.kr/dsaf001/main.do?rcpNo=20250723800295", "공시열람")</f>
        <v/>
      </c>
    </row>
    <row r="2750">
      <c r="A2750" t="inlineStr">
        <is>
          <t>2025-07-23</t>
        </is>
      </c>
      <c r="B2750" t="inlineStr">
        <is>
          <t>조이시티</t>
        </is>
      </c>
      <c r="C2750" t="inlineStr">
        <is>
          <t>067000</t>
        </is>
      </c>
      <c r="D2750" t="inlineStr">
        <is>
          <t>연결</t>
        </is>
      </c>
      <c r="E2750" t="inlineStr">
        <is>
          <t>2025Q2</t>
        </is>
      </c>
      <c r="F2750" s="2" t="n">
        <v>32999</v>
      </c>
      <c r="G2750" t="inlineStr"/>
      <c r="H2750" t="inlineStr"/>
      <c r="I2750" s="2" t="n">
        <v>3148</v>
      </c>
      <c r="J2750" t="inlineStr"/>
      <c r="K2750" t="inlineStr"/>
      <c r="L2750" s="2" t="n">
        <v>-478</v>
      </c>
      <c r="M2750" t="inlineStr"/>
      <c r="N2750" t="inlineStr">
        <is>
          <t>20250723900293</t>
        </is>
      </c>
      <c r="O2750">
        <f>HYPERLINK("https://dart.fss.or.kr/dsaf001/main.do?rcpNo=20250723900293", "공시열람")</f>
        <v/>
      </c>
    </row>
    <row r="2751">
      <c r="A2751" t="inlineStr">
        <is>
          <t>2025-07-23</t>
        </is>
      </c>
      <c r="B2751" t="inlineStr">
        <is>
          <t>삼성바이오로직스</t>
        </is>
      </c>
      <c r="C2751" t="inlineStr">
        <is>
          <t>207940</t>
        </is>
      </c>
      <c r="D2751" t="inlineStr">
        <is>
          <t>연결</t>
        </is>
      </c>
      <c r="E2751" t="inlineStr">
        <is>
          <t>2025Q2</t>
        </is>
      </c>
      <c r="F2751" s="2" t="n">
        <v>1289905</v>
      </c>
      <c r="G2751" t="inlineStr"/>
      <c r="H2751" t="inlineStr"/>
      <c r="I2751" s="2" t="n">
        <v>475600</v>
      </c>
      <c r="J2751" t="inlineStr"/>
      <c r="K2751" t="inlineStr"/>
      <c r="L2751" s="2" t="n">
        <v>324386</v>
      </c>
      <c r="M2751" t="inlineStr"/>
      <c r="N2751" t="inlineStr">
        <is>
          <t>20250723800281</t>
        </is>
      </c>
      <c r="O2751">
        <f>HYPERLINK("https://dart.fss.or.kr/dsaf001/main.do?rcpNo=20250723800281", "공시열람")</f>
        <v/>
      </c>
    </row>
    <row r="2752">
      <c r="A2752" t="inlineStr">
        <is>
          <t>2025-07-23</t>
        </is>
      </c>
      <c r="B2752" t="inlineStr">
        <is>
          <t>OCI</t>
        </is>
      </c>
      <c r="C2752" t="inlineStr">
        <is>
          <t>456040</t>
        </is>
      </c>
      <c r="D2752" t="inlineStr">
        <is>
          <t>연결</t>
        </is>
      </c>
      <c r="E2752" t="inlineStr">
        <is>
          <t>2025Q2</t>
        </is>
      </c>
      <c r="F2752" s="2" t="n">
        <v>526975</v>
      </c>
      <c r="G2752" t="n">
        <v>-2.2</v>
      </c>
      <c r="H2752" t="n">
        <v>-7</v>
      </c>
      <c r="I2752" s="2" t="n">
        <v>-2272</v>
      </c>
      <c r="J2752" t="inlineStr"/>
      <c r="K2752" t="inlineStr"/>
      <c r="L2752" s="2" t="n">
        <v>-2384</v>
      </c>
      <c r="M2752" t="inlineStr"/>
      <c r="N2752" t="inlineStr">
        <is>
          <t>20250723800232</t>
        </is>
      </c>
      <c r="O2752">
        <f>HYPERLINK("https://dart.fss.or.kr/dsaf001/main.do?rcpNo=20250723800232", "공시열람")</f>
        <v/>
      </c>
    </row>
    <row r="2753">
      <c r="A2753" t="inlineStr">
        <is>
          <t>2025-07-23</t>
        </is>
      </c>
      <c r="B2753" t="inlineStr">
        <is>
          <t>LG씨엔에스</t>
        </is>
      </c>
      <c r="C2753" t="inlineStr">
        <is>
          <t>064400</t>
        </is>
      </c>
      <c r="D2753" t="inlineStr">
        <is>
          <t>연결</t>
        </is>
      </c>
      <c r="E2753" t="inlineStr">
        <is>
          <t>2025Q2</t>
        </is>
      </c>
      <c r="F2753" s="2" t="n">
        <v>1460159</v>
      </c>
      <c r="G2753" t="inlineStr"/>
      <c r="H2753" t="inlineStr"/>
      <c r="I2753" s="2" t="n">
        <v>140790</v>
      </c>
      <c r="J2753" t="inlineStr"/>
      <c r="K2753" t="inlineStr"/>
      <c r="L2753" s="2" t="n">
        <v>99039</v>
      </c>
      <c r="M2753" t="inlineStr"/>
      <c r="N2753" t="inlineStr">
        <is>
          <t>20250723800131</t>
        </is>
      </c>
      <c r="O2753">
        <f>HYPERLINK("https://dart.fss.or.kr/dsaf001/main.do?rcpNo=20250723800131", "공시열람")</f>
        <v/>
      </c>
    </row>
    <row r="2754">
      <c r="A2754" t="inlineStr">
        <is>
          <t>2025-07-23</t>
        </is>
      </c>
      <c r="B2754" t="inlineStr">
        <is>
          <t>솔루스첨단소재</t>
        </is>
      </c>
      <c r="C2754" t="inlineStr">
        <is>
          <t>336370</t>
        </is>
      </c>
      <c r="D2754" t="inlineStr">
        <is>
          <t>연결</t>
        </is>
      </c>
      <c r="E2754" t="inlineStr">
        <is>
          <t>2025Q2</t>
        </is>
      </c>
      <c r="F2754" s="2" t="n">
        <v>143900</v>
      </c>
      <c r="G2754" t="n">
        <v>-8.720000000000001</v>
      </c>
      <c r="H2754" t="n">
        <v>-3.62</v>
      </c>
      <c r="I2754" s="2" t="n">
        <v>-15000</v>
      </c>
      <c r="J2754" t="n">
        <v>1.98</v>
      </c>
      <c r="K2754" t="n">
        <v>-43.27</v>
      </c>
      <c r="L2754" s="2" t="n">
        <v>-52300</v>
      </c>
      <c r="M2754" t="n">
        <v>-626.72</v>
      </c>
      <c r="N2754" t="inlineStr">
        <is>
          <t>20250723800133</t>
        </is>
      </c>
      <c r="O2754">
        <f>HYPERLINK("https://dart.fss.or.kr/dsaf001/main.do?rcpNo=20250723800133", "공시열람")</f>
        <v/>
      </c>
    </row>
    <row r="2755">
      <c r="A2755" t="inlineStr">
        <is>
          <t>2025-07-22</t>
        </is>
      </c>
      <c r="B2755" t="inlineStr">
        <is>
          <t>코스모신소재</t>
        </is>
      </c>
      <c r="C2755" t="inlineStr">
        <is>
          <t>005070</t>
        </is>
      </c>
      <c r="D2755" t="inlineStr">
        <is>
          <t>별도</t>
        </is>
      </c>
      <c r="E2755" t="inlineStr">
        <is>
          <t>2025Q2</t>
        </is>
      </c>
      <c r="F2755" s="2" t="n">
        <v>120131</v>
      </c>
      <c r="G2755" t="n">
        <v>5.5</v>
      </c>
      <c r="H2755" t="n">
        <v>-35.2</v>
      </c>
      <c r="I2755" s="2" t="n">
        <v>529</v>
      </c>
      <c r="J2755" t="n">
        <v>-49.3</v>
      </c>
      <c r="K2755" t="n">
        <v>-92.40000000000001</v>
      </c>
      <c r="L2755" s="2" t="n">
        <v>2281</v>
      </c>
      <c r="M2755" t="n">
        <v>-46.8</v>
      </c>
      <c r="N2755" t="inlineStr">
        <is>
          <t>20250722800288</t>
        </is>
      </c>
      <c r="O2755">
        <f>HYPERLINK("https://dart.fss.or.kr/dsaf001/main.do?rcpNo=20250722800288", "공시열람")</f>
        <v/>
      </c>
    </row>
    <row r="2756">
      <c r="A2756" t="inlineStr">
        <is>
          <t>2025-07-22</t>
        </is>
      </c>
      <c r="B2756" t="inlineStr">
        <is>
          <t>LS마린솔루션</t>
        </is>
      </c>
      <c r="C2756" t="inlineStr">
        <is>
          <t>060370</t>
        </is>
      </c>
      <c r="D2756" t="inlineStr">
        <is>
          <t>연결</t>
        </is>
      </c>
      <c r="E2756" t="inlineStr">
        <is>
          <t>2025Q2</t>
        </is>
      </c>
      <c r="F2756" s="2" t="n">
        <v>66987</v>
      </c>
      <c r="G2756" t="inlineStr"/>
      <c r="H2756" t="inlineStr"/>
      <c r="I2756" s="2" t="n">
        <v>3416</v>
      </c>
      <c r="J2756" t="inlineStr"/>
      <c r="K2756" t="inlineStr"/>
      <c r="L2756" s="2" t="n">
        <v>1447</v>
      </c>
      <c r="M2756" t="inlineStr"/>
      <c r="N2756" t="inlineStr">
        <is>
          <t>20250722900040</t>
        </is>
      </c>
      <c r="O2756">
        <f>HYPERLINK("https://dart.fss.or.kr/dsaf001/main.do?rcpNo=20250722900040", "공시열람")</f>
        <v/>
      </c>
    </row>
    <row r="2757">
      <c r="A2757" t="inlineStr">
        <is>
          <t>2025-07-22</t>
        </is>
      </c>
      <c r="B2757" t="inlineStr">
        <is>
          <t>HD현대일렉트릭</t>
        </is>
      </c>
      <c r="C2757" t="inlineStr">
        <is>
          <t>267260</t>
        </is>
      </c>
      <c r="D2757" t="inlineStr">
        <is>
          <t>연결</t>
        </is>
      </c>
      <c r="E2757" t="inlineStr">
        <is>
          <t>2025Q2</t>
        </is>
      </c>
      <c r="F2757" s="2" t="n">
        <v>906200</v>
      </c>
      <c r="G2757" t="n">
        <v>-10.7</v>
      </c>
      <c r="H2757" t="n">
        <v>-1.2</v>
      </c>
      <c r="I2757" s="2" t="n">
        <v>209100</v>
      </c>
      <c r="J2757" t="n">
        <v>-4.2</v>
      </c>
      <c r="K2757" t="n">
        <v>-0.5</v>
      </c>
      <c r="L2757" s="2" t="n">
        <v>141900</v>
      </c>
      <c r="M2757" t="n">
        <v>-12</v>
      </c>
      <c r="N2757" t="inlineStr">
        <is>
          <t>20250722800121</t>
        </is>
      </c>
      <c r="O2757">
        <f>HYPERLINK("https://dart.fss.or.kr/dsaf001/main.do?rcpNo=20250722800121", "공시열람")</f>
        <v/>
      </c>
    </row>
    <row r="2758">
      <c r="A2758" t="inlineStr">
        <is>
          <t>2025-07-22</t>
        </is>
      </c>
      <c r="B2758" t="inlineStr">
        <is>
          <t>부광약품</t>
        </is>
      </c>
      <c r="C2758" t="inlineStr">
        <is>
          <t>003000</t>
        </is>
      </c>
      <c r="D2758" t="inlineStr">
        <is>
          <t>연결</t>
        </is>
      </c>
      <c r="E2758" t="inlineStr">
        <is>
          <t>2025Q2</t>
        </is>
      </c>
      <c r="F2758" s="2" t="n">
        <v>42579</v>
      </c>
      <c r="G2758" t="inlineStr"/>
      <c r="H2758" t="inlineStr"/>
      <c r="I2758" s="2" t="n">
        <v>2066</v>
      </c>
      <c r="J2758" t="inlineStr"/>
      <c r="K2758" t="inlineStr"/>
      <c r="L2758" s="2" t="n">
        <v>6437</v>
      </c>
      <c r="M2758" t="inlineStr"/>
      <c r="N2758" t="inlineStr">
        <is>
          <t>20250722800153</t>
        </is>
      </c>
      <c r="O2758">
        <f>HYPERLINK("https://dart.fss.or.kr/dsaf001/main.do?rcpNo=20250722800153", "공시열람")</f>
        <v/>
      </c>
    </row>
    <row r="2759">
      <c r="A2759" t="inlineStr">
        <is>
          <t>2025-07-21</t>
        </is>
      </c>
      <c r="B2759" t="inlineStr">
        <is>
          <t>셀트리온</t>
        </is>
      </c>
      <c r="C2759" t="inlineStr">
        <is>
          <t>068270</t>
        </is>
      </c>
      <c r="D2759" t="inlineStr">
        <is>
          <t>연결</t>
        </is>
      </c>
      <c r="E2759" t="inlineStr">
        <is>
          <t>2025Q2</t>
        </is>
      </c>
      <c r="F2759" s="2" t="n">
        <v>961457</v>
      </c>
      <c r="G2759" t="inlineStr"/>
      <c r="H2759" t="inlineStr"/>
      <c r="I2759" s="2" t="n">
        <v>242467</v>
      </c>
      <c r="J2759" t="inlineStr"/>
      <c r="K2759" t="inlineStr"/>
      <c r="L2759" s="2" t="inlineStr"/>
      <c r="M2759" t="inlineStr"/>
      <c r="N2759" t="inlineStr">
        <is>
          <t>20250721800051</t>
        </is>
      </c>
      <c r="O2759">
        <f>HYPERLINK("https://dart.fss.or.kr/dsaf001/main.do?rcpNo=20250721800051", "공시열람")</f>
        <v/>
      </c>
    </row>
    <row r="2760">
      <c r="A2760" t="inlineStr">
        <is>
          <t>2025-07-21</t>
        </is>
      </c>
      <c r="B2760" t="inlineStr">
        <is>
          <t>지역난방공사</t>
        </is>
      </c>
      <c r="C2760" t="inlineStr">
        <is>
          <t>071320</t>
        </is>
      </c>
      <c r="D2760" t="inlineStr">
        <is>
          <t>별도</t>
        </is>
      </c>
      <c r="E2760" t="inlineStr">
        <is>
          <t>2025Q2</t>
        </is>
      </c>
      <c r="F2760" s="2" t="inlineStr"/>
      <c r="G2760" t="inlineStr"/>
      <c r="H2760" t="inlineStr"/>
      <c r="I2760" s="2" t="inlineStr"/>
      <c r="J2760" t="inlineStr"/>
      <c r="K2760" t="inlineStr"/>
      <c r="L2760" s="2" t="inlineStr"/>
      <c r="M2760" t="inlineStr"/>
      <c r="N2760" t="inlineStr">
        <is>
          <t>20250721800205</t>
        </is>
      </c>
      <c r="O2760">
        <f>HYPERLINK("https://dart.fss.or.kr/dsaf001/main.do?rcpNo=20250721800205", "공시열람")</f>
        <v/>
      </c>
    </row>
    <row r="2761">
      <c r="A2761" t="inlineStr">
        <is>
          <t>2025-07-18</t>
        </is>
      </c>
      <c r="B2761" t="inlineStr">
        <is>
          <t>한솔테크닉스</t>
        </is>
      </c>
      <c r="C2761" t="inlineStr">
        <is>
          <t>004710</t>
        </is>
      </c>
      <c r="D2761" t="inlineStr">
        <is>
          <t>연결</t>
        </is>
      </c>
      <c r="E2761" t="inlineStr">
        <is>
          <t>2025Q2</t>
        </is>
      </c>
      <c r="F2761" s="2" t="n">
        <v>293574</v>
      </c>
      <c r="G2761" t="n">
        <v>-13.1</v>
      </c>
      <c r="H2761" t="n">
        <v>3.9</v>
      </c>
      <c r="I2761" s="2" t="n">
        <v>12791</v>
      </c>
      <c r="J2761" t="n">
        <v>-33.7</v>
      </c>
      <c r="K2761" t="n">
        <v>28.2</v>
      </c>
      <c r="L2761" s="2" t="n">
        <v>8497</v>
      </c>
      <c r="M2761" t="n">
        <v>-31</v>
      </c>
      <c r="N2761" t="inlineStr">
        <is>
          <t>20250718800119</t>
        </is>
      </c>
      <c r="O2761">
        <f>HYPERLINK("https://dart.fss.or.kr/dsaf001/main.do?rcpNo=20250718800119", "공시열람")</f>
        <v/>
      </c>
    </row>
    <row r="2762">
      <c r="A2762" t="inlineStr">
        <is>
          <t>2025-07-18</t>
        </is>
      </c>
      <c r="B2762" t="inlineStr">
        <is>
          <t>포스코퓨처엠</t>
        </is>
      </c>
      <c r="C2762" t="inlineStr">
        <is>
          <t>003670</t>
        </is>
      </c>
      <c r="D2762" t="inlineStr">
        <is>
          <t>별도</t>
        </is>
      </c>
      <c r="E2762" t="inlineStr">
        <is>
          <t>2025Q2</t>
        </is>
      </c>
      <c r="F2762" s="2" t="n">
        <v>579189</v>
      </c>
      <c r="G2762" t="n">
        <v>-28.4</v>
      </c>
      <c r="H2762" t="n">
        <v>-35.1</v>
      </c>
      <c r="I2762" s="2" t="n">
        <v>-3814</v>
      </c>
      <c r="J2762" t="inlineStr"/>
      <c r="K2762" t="inlineStr"/>
      <c r="L2762" s="2" t="n">
        <v>-19033</v>
      </c>
      <c r="M2762" t="n">
        <v>-338.6</v>
      </c>
      <c r="N2762" t="inlineStr">
        <is>
          <t>20250718800138</t>
        </is>
      </c>
      <c r="O2762">
        <f>HYPERLINK("https://dart.fss.or.kr/dsaf001/main.do?rcpNo=20250718800138", "공시열람")</f>
        <v/>
      </c>
    </row>
    <row r="2763">
      <c r="A2763" t="inlineStr">
        <is>
          <t>2025-07-18</t>
        </is>
      </c>
      <c r="B2763" t="inlineStr">
        <is>
          <t>포스코퓨처엠</t>
        </is>
      </c>
      <c r="C2763" t="inlineStr">
        <is>
          <t>003670</t>
        </is>
      </c>
      <c r="D2763" t="inlineStr">
        <is>
          <t>연결</t>
        </is>
      </c>
      <c r="E2763" t="inlineStr">
        <is>
          <t>2025Q2</t>
        </is>
      </c>
      <c r="F2763" s="2" t="n">
        <v>660937</v>
      </c>
      <c r="G2763" t="n">
        <v>-21.8</v>
      </c>
      <c r="H2763" t="n">
        <v>-27.8</v>
      </c>
      <c r="I2763" s="2" t="n">
        <v>773</v>
      </c>
      <c r="J2763" t="n">
        <v>-95.5</v>
      </c>
      <c r="K2763" t="n">
        <v>-71.7</v>
      </c>
      <c r="L2763" s="2" t="n">
        <v>-35547</v>
      </c>
      <c r="M2763" t="n">
        <v>-217.5</v>
      </c>
      <c r="N2763" t="inlineStr">
        <is>
          <t>20250718800139</t>
        </is>
      </c>
      <c r="O2763">
        <f>HYPERLINK("https://dart.fss.or.kr/dsaf001/main.do?rcpNo=20250718800139", "공시열람")</f>
        <v/>
      </c>
    </row>
    <row r="2764">
      <c r="A2764" t="inlineStr">
        <is>
          <t>2025-07-18</t>
        </is>
      </c>
      <c r="B2764" t="inlineStr">
        <is>
          <t>프로티아</t>
        </is>
      </c>
      <c r="C2764" t="inlineStr">
        <is>
          <t>303360</t>
        </is>
      </c>
      <c r="D2764" t="inlineStr">
        <is>
          <t>별도</t>
        </is>
      </c>
      <c r="E2764" t="inlineStr">
        <is>
          <t>2025Q2</t>
        </is>
      </c>
      <c r="F2764" s="2" t="n">
        <v>3845</v>
      </c>
      <c r="G2764" t="inlineStr"/>
      <c r="H2764" t="inlineStr"/>
      <c r="I2764" s="2" t="n">
        <v>1064</v>
      </c>
      <c r="J2764" t="inlineStr"/>
      <c r="K2764" t="inlineStr"/>
      <c r="L2764" s="2" t="n">
        <v>788</v>
      </c>
      <c r="M2764" t="inlineStr"/>
      <c r="N2764" t="inlineStr">
        <is>
          <t>20250718900149</t>
        </is>
      </c>
      <c r="O2764">
        <f>HYPERLINK("https://dart.fss.or.kr/dsaf001/main.do?rcpNo=20250718900149", "공시열람")</f>
        <v/>
      </c>
    </row>
    <row r="2765">
      <c r="A2765" t="inlineStr">
        <is>
          <t>2025-07-18</t>
        </is>
      </c>
      <c r="B2765" t="inlineStr">
        <is>
          <t>현대건설</t>
        </is>
      </c>
      <c r="C2765" t="inlineStr">
        <is>
          <t>000720</t>
        </is>
      </c>
      <c r="D2765" t="inlineStr">
        <is>
          <t>연결</t>
        </is>
      </c>
      <c r="E2765" t="inlineStr">
        <is>
          <t>2025Q2</t>
        </is>
      </c>
      <c r="F2765" s="2" t="n">
        <v>7720700</v>
      </c>
      <c r="G2765" t="n">
        <v>3.6</v>
      </c>
      <c r="H2765" t="n">
        <v>-10.4</v>
      </c>
      <c r="I2765" s="2" t="n">
        <v>217000</v>
      </c>
      <c r="J2765" t="n">
        <v>1.5</v>
      </c>
      <c r="K2765" t="n">
        <v>47.3</v>
      </c>
      <c r="L2765" s="2" t="n">
        <v>158600</v>
      </c>
      <c r="M2765" t="n">
        <v>8.5</v>
      </c>
      <c r="N2765" t="inlineStr">
        <is>
          <t>20250718800158</t>
        </is>
      </c>
      <c r="O2765">
        <f>HYPERLINK("https://dart.fss.or.kr/dsaf001/main.do?rcpNo=20250718800158", "공시열람")</f>
        <v/>
      </c>
    </row>
    <row r="2766">
      <c r="A2766" t="inlineStr">
        <is>
          <t>2025-07-18</t>
        </is>
      </c>
      <c r="B2766" t="inlineStr">
        <is>
          <t>국도화학</t>
        </is>
      </c>
      <c r="C2766" t="inlineStr">
        <is>
          <t>007690</t>
        </is>
      </c>
      <c r="D2766" t="inlineStr">
        <is>
          <t>연결</t>
        </is>
      </c>
      <c r="E2766" t="inlineStr">
        <is>
          <t>2025Q2</t>
        </is>
      </c>
      <c r="F2766" s="2" t="n">
        <v>348704</v>
      </c>
      <c r="G2766" t="n">
        <v>9.300000000000001</v>
      </c>
      <c r="H2766" t="n">
        <v>1.7</v>
      </c>
      <c r="I2766" s="2" t="n">
        <v>16845</v>
      </c>
      <c r="J2766" t="n">
        <v>30.6</v>
      </c>
      <c r="K2766" t="n">
        <v>69.8</v>
      </c>
      <c r="L2766" s="2" t="n">
        <v>8576</v>
      </c>
      <c r="M2766" t="n">
        <v>74.09999999999999</v>
      </c>
      <c r="N2766" t="inlineStr">
        <is>
          <t>20250718800153</t>
        </is>
      </c>
      <c r="O2766">
        <f>HYPERLINK("https://dart.fss.or.kr/dsaf001/main.do?rcpNo=20250718800153", "공시열람")</f>
        <v/>
      </c>
    </row>
    <row r="2767">
      <c r="A2767" t="inlineStr">
        <is>
          <t>2025-07-17</t>
        </is>
      </c>
      <c r="B2767" t="inlineStr">
        <is>
          <t>한솔아이원스</t>
        </is>
      </c>
      <c r="C2767" t="inlineStr">
        <is>
          <t>114810</t>
        </is>
      </c>
      <c r="D2767" t="inlineStr">
        <is>
          <t>연결</t>
        </is>
      </c>
      <c r="E2767" t="inlineStr">
        <is>
          <t>2025Q2</t>
        </is>
      </c>
      <c r="F2767" s="2" t="n">
        <v>47021</v>
      </c>
      <c r="G2767" t="inlineStr"/>
      <c r="H2767" t="inlineStr"/>
      <c r="I2767" s="2" t="n">
        <v>9086</v>
      </c>
      <c r="J2767" t="inlineStr"/>
      <c r="K2767" t="inlineStr"/>
      <c r="L2767" s="2" t="n">
        <v>7464</v>
      </c>
      <c r="M2767" t="inlineStr"/>
      <c r="N2767" t="inlineStr">
        <is>
          <t>20250717900369</t>
        </is>
      </c>
      <c r="O2767">
        <f>HYPERLINK("https://dart.fss.or.kr/dsaf001/main.do?rcpNo=20250717900369", "공시열람")</f>
        <v/>
      </c>
    </row>
    <row r="2768">
      <c r="A2768" t="inlineStr">
        <is>
          <t>2025-07-16</t>
        </is>
      </c>
      <c r="B2768" t="inlineStr">
        <is>
          <t>HD현대중공업</t>
        </is>
      </c>
      <c r="C2768" t="inlineStr">
        <is>
          <t>329180</t>
        </is>
      </c>
      <c r="D2768" t="inlineStr">
        <is>
          <t>별도</t>
        </is>
      </c>
      <c r="E2768" t="inlineStr">
        <is>
          <t>2025Q2</t>
        </is>
      </c>
      <c r="F2768" s="2" t="inlineStr"/>
      <c r="G2768" t="inlineStr"/>
      <c r="H2768" t="inlineStr"/>
      <c r="I2768" s="2" t="inlineStr"/>
      <c r="J2768" t="inlineStr"/>
      <c r="K2768" t="inlineStr"/>
      <c r="L2768" s="2" t="inlineStr"/>
      <c r="M2768" t="inlineStr"/>
      <c r="N2768" t="inlineStr">
        <is>
          <t>20250716800410</t>
        </is>
      </c>
      <c r="O2768">
        <f>HYPERLINK("https://dart.fss.or.kr/dsaf001/main.do?rcpNo=20250716800410", "공시열람")</f>
        <v/>
      </c>
    </row>
    <row r="2769">
      <c r="A2769" t="inlineStr">
        <is>
          <t>2025-07-16</t>
        </is>
      </c>
      <c r="B2769" t="inlineStr">
        <is>
          <t>HD한국조선해양</t>
        </is>
      </c>
      <c r="C2769" t="inlineStr">
        <is>
          <t>009540</t>
        </is>
      </c>
      <c r="D2769" t="inlineStr">
        <is>
          <t>별도</t>
        </is>
      </c>
      <c r="E2769" t="inlineStr">
        <is>
          <t>2025Q2</t>
        </is>
      </c>
      <c r="F2769" s="2" t="inlineStr"/>
      <c r="G2769" t="inlineStr"/>
      <c r="H2769" t="inlineStr"/>
      <c r="I2769" s="2" t="inlineStr"/>
      <c r="J2769" t="inlineStr"/>
      <c r="K2769" t="inlineStr"/>
      <c r="L2769" s="2" t="inlineStr"/>
      <c r="M2769" t="inlineStr"/>
      <c r="N2769" t="inlineStr">
        <is>
          <t>20250716800395</t>
        </is>
      </c>
      <c r="O2769">
        <f>HYPERLINK("https://dart.fss.or.kr/dsaf001/main.do?rcpNo=20250716800395", "공시열람")</f>
        <v/>
      </c>
    </row>
    <row r="2770">
      <c r="A2770" t="inlineStr">
        <is>
          <t>2025-07-15</t>
        </is>
      </c>
      <c r="B2770" t="inlineStr">
        <is>
          <t>콜마비앤에이치</t>
        </is>
      </c>
      <c r="C2770" t="inlineStr">
        <is>
          <t>200130</t>
        </is>
      </c>
      <c r="D2770" t="inlineStr">
        <is>
          <t>별도</t>
        </is>
      </c>
      <c r="E2770" t="inlineStr">
        <is>
          <t>2025Q2</t>
        </is>
      </c>
      <c r="F2770" s="2" t="n">
        <v>42107</v>
      </c>
      <c r="G2770" t="inlineStr"/>
      <c r="H2770" t="inlineStr"/>
      <c r="I2770" s="2" t="n">
        <v>3301</v>
      </c>
      <c r="J2770" t="inlineStr"/>
      <c r="K2770" t="inlineStr"/>
      <c r="L2770" s="2" t="inlineStr"/>
      <c r="M2770" t="inlineStr"/>
      <c r="N2770" t="inlineStr">
        <is>
          <t>20250715900349</t>
        </is>
      </c>
      <c r="O2770">
        <f>HYPERLINK("https://dart.fss.or.kr/dsaf001/main.do?rcpNo=20250715900349", "공시열람")</f>
        <v/>
      </c>
    </row>
    <row r="2771">
      <c r="A2771" t="inlineStr">
        <is>
          <t>2025-07-15</t>
        </is>
      </c>
      <c r="B2771" t="inlineStr">
        <is>
          <t>오리온</t>
        </is>
      </c>
      <c r="C2771" t="inlineStr">
        <is>
          <t>271560</t>
        </is>
      </c>
      <c r="D2771" t="inlineStr">
        <is>
          <t>연결</t>
        </is>
      </c>
      <c r="E2771" t="inlineStr">
        <is>
          <t>2025Q2</t>
        </is>
      </c>
      <c r="F2771" s="2" t="inlineStr"/>
      <c r="G2771" t="inlineStr"/>
      <c r="H2771" t="inlineStr"/>
      <c r="I2771" s="2" t="inlineStr"/>
      <c r="J2771" t="inlineStr"/>
      <c r="K2771" t="inlineStr"/>
      <c r="L2771" s="2" t="inlineStr"/>
      <c r="M2771" t="inlineStr"/>
      <c r="N2771" t="inlineStr">
        <is>
          <t>20250715800076</t>
        </is>
      </c>
      <c r="O2771">
        <f>HYPERLINK("https://dart.fss.or.kr/dsaf001/main.do?rcpNo=20250715800076", "공시열람")</f>
        <v/>
      </c>
    </row>
    <row r="2772">
      <c r="A2772" t="inlineStr">
        <is>
          <t>2025-07-14</t>
        </is>
      </c>
      <c r="B2772" t="inlineStr">
        <is>
          <t>한국가스공사</t>
        </is>
      </c>
      <c r="C2772" t="inlineStr">
        <is>
          <t>036460</t>
        </is>
      </c>
      <c r="D2772" t="inlineStr">
        <is>
          <t>별도</t>
        </is>
      </c>
      <c r="E2772" t="inlineStr">
        <is>
          <t>2025Q2</t>
        </is>
      </c>
      <c r="F2772" s="2" t="inlineStr"/>
      <c r="G2772" t="inlineStr"/>
      <c r="H2772" t="inlineStr"/>
      <c r="I2772" s="2" t="inlineStr"/>
      <c r="J2772" t="inlineStr"/>
      <c r="K2772" t="inlineStr"/>
      <c r="L2772" s="2" t="inlineStr"/>
      <c r="M2772" t="inlineStr"/>
      <c r="N2772" t="inlineStr">
        <is>
          <t>20250714800453</t>
        </is>
      </c>
      <c r="O2772">
        <f>HYPERLINK("https://dart.fss.or.kr/dsaf001/main.do?rcpNo=20250714800453", "공시열람")</f>
        <v/>
      </c>
    </row>
    <row r="2773">
      <c r="A2773" t="inlineStr">
        <is>
          <t>2025-07-14</t>
        </is>
      </c>
      <c r="B2773" t="inlineStr">
        <is>
          <t>메카로</t>
        </is>
      </c>
      <c r="C2773" t="inlineStr">
        <is>
          <t>241770</t>
        </is>
      </c>
      <c r="D2773" t="inlineStr">
        <is>
          <t>연결</t>
        </is>
      </c>
      <c r="E2773" t="inlineStr">
        <is>
          <t>2025Q2</t>
        </is>
      </c>
      <c r="F2773" s="2" t="n">
        <v>22898</v>
      </c>
      <c r="G2773" t="inlineStr"/>
      <c r="H2773" t="inlineStr"/>
      <c r="I2773" s="2" t="inlineStr"/>
      <c r="J2773" t="inlineStr"/>
      <c r="K2773" t="inlineStr"/>
      <c r="L2773" s="2" t="inlineStr"/>
      <c r="M2773" t="inlineStr"/>
      <c r="N2773" t="inlineStr">
        <is>
          <t>20250714900040</t>
        </is>
      </c>
      <c r="O2773">
        <f>HYPERLINK("https://dart.fss.or.kr/dsaf001/main.do?rcpNo=20250714900040", "공시열람")</f>
        <v/>
      </c>
    </row>
    <row r="2774">
      <c r="A2774" t="inlineStr">
        <is>
          <t>2025-07-14</t>
        </is>
      </c>
      <c r="B2774" t="inlineStr">
        <is>
          <t>한진</t>
        </is>
      </c>
      <c r="C2774" t="inlineStr">
        <is>
          <t>002320</t>
        </is>
      </c>
      <c r="D2774" t="inlineStr">
        <is>
          <t>연결</t>
        </is>
      </c>
      <c r="E2774" t="inlineStr">
        <is>
          <t>2025Q2</t>
        </is>
      </c>
      <c r="F2774" s="2" t="n">
        <v>743700</v>
      </c>
      <c r="G2774" t="n">
        <v>2</v>
      </c>
      <c r="H2774" t="n">
        <v>1.3</v>
      </c>
      <c r="I2774" s="2" t="n">
        <v>37000</v>
      </c>
      <c r="J2774" t="n">
        <v>35.5</v>
      </c>
      <c r="K2774" t="n">
        <v>0.3</v>
      </c>
      <c r="L2774" s="2" t="inlineStr"/>
      <c r="M2774" t="inlineStr"/>
      <c r="N2774" t="inlineStr">
        <is>
          <t>20250714800425</t>
        </is>
      </c>
      <c r="O2774">
        <f>HYPERLINK("https://dart.fss.or.kr/dsaf001/main.do?rcpNo=20250714800425", "공시열람")</f>
        <v/>
      </c>
    </row>
    <row r="2775">
      <c r="A2775" t="inlineStr">
        <is>
          <t>2025-07-14</t>
        </is>
      </c>
      <c r="B2775" t="inlineStr">
        <is>
          <t>테크윙</t>
        </is>
      </c>
      <c r="C2775" t="inlineStr">
        <is>
          <t>089030</t>
        </is>
      </c>
      <c r="D2775" t="inlineStr">
        <is>
          <t>연결</t>
        </is>
      </c>
      <c r="E2775" t="inlineStr">
        <is>
          <t>2025Q2</t>
        </is>
      </c>
      <c r="F2775" s="2" t="n">
        <v>48894</v>
      </c>
      <c r="G2775" t="inlineStr"/>
      <c r="H2775" t="inlineStr"/>
      <c r="I2775" s="2" t="n">
        <v>6250</v>
      </c>
      <c r="J2775" t="inlineStr"/>
      <c r="K2775" t="inlineStr"/>
      <c r="L2775" s="2" t="inlineStr"/>
      <c r="M2775" t="inlineStr"/>
      <c r="N2775" t="inlineStr">
        <is>
          <t>20250714900114</t>
        </is>
      </c>
      <c r="O2775">
        <f>HYPERLINK("https://dart.fss.or.kr/dsaf001/main.do?rcpNo=20250714900114", "공시열람")</f>
        <v/>
      </c>
    </row>
    <row r="2776">
      <c r="A2776" t="inlineStr">
        <is>
          <t>2025-07-14</t>
        </is>
      </c>
      <c r="B2776" t="inlineStr">
        <is>
          <t>서울반도체</t>
        </is>
      </c>
      <c r="C2776" t="inlineStr">
        <is>
          <t>046890</t>
        </is>
      </c>
      <c r="D2776" t="inlineStr">
        <is>
          <t>연결</t>
        </is>
      </c>
      <c r="E2776" t="inlineStr">
        <is>
          <t>2025Q2</t>
        </is>
      </c>
      <c r="F2776" s="2" t="n">
        <v>253856</v>
      </c>
      <c r="G2776" t="inlineStr"/>
      <c r="H2776" t="inlineStr"/>
      <c r="I2776" s="2" t="inlineStr"/>
      <c r="J2776" t="inlineStr"/>
      <c r="K2776" t="inlineStr"/>
      <c r="L2776" s="2" t="inlineStr"/>
      <c r="M2776" t="inlineStr"/>
      <c r="N2776" t="inlineStr">
        <is>
          <t>20250714900232</t>
        </is>
      </c>
      <c r="O2776">
        <f>HYPERLINK("https://dart.fss.or.kr/dsaf001/main.do?rcpNo=20250714900232", "공시열람")</f>
        <v/>
      </c>
    </row>
    <row r="2777">
      <c r="A2777" t="inlineStr">
        <is>
          <t>2025-07-14</t>
        </is>
      </c>
      <c r="B2777" t="inlineStr">
        <is>
          <t>서울바이오시스</t>
        </is>
      </c>
      <c r="C2777" t="inlineStr">
        <is>
          <t>092190</t>
        </is>
      </c>
      <c r="D2777" t="inlineStr">
        <is>
          <t>연결</t>
        </is>
      </c>
      <c r="E2777" t="inlineStr">
        <is>
          <t>2025Q2</t>
        </is>
      </c>
      <c r="F2777" s="2" t="n">
        <v>188107</v>
      </c>
      <c r="G2777" t="inlineStr"/>
      <c r="H2777" t="inlineStr"/>
      <c r="I2777" s="2" t="inlineStr"/>
      <c r="J2777" t="inlineStr"/>
      <c r="K2777" t="inlineStr"/>
      <c r="L2777" s="2" t="inlineStr"/>
      <c r="M2777" t="inlineStr"/>
      <c r="N2777" t="inlineStr">
        <is>
          <t>20250714900250</t>
        </is>
      </c>
      <c r="O2777">
        <f>HYPERLINK("https://dart.fss.or.kr/dsaf001/main.do?rcpNo=20250714900250", "공시열람")</f>
        <v/>
      </c>
    </row>
    <row r="2778">
      <c r="A2778" t="inlineStr">
        <is>
          <t>2025-07-11</t>
        </is>
      </c>
      <c r="B2778" t="inlineStr">
        <is>
          <t>광주신세계</t>
        </is>
      </c>
      <c r="C2778" t="inlineStr">
        <is>
          <t>037710</t>
        </is>
      </c>
      <c r="D2778" t="inlineStr">
        <is>
          <t>별도</t>
        </is>
      </c>
      <c r="E2778" t="inlineStr">
        <is>
          <t>2025Q2</t>
        </is>
      </c>
      <c r="F2778" s="2" t="n">
        <v>13915</v>
      </c>
      <c r="G2778" t="n">
        <v>-14.1</v>
      </c>
      <c r="H2778" t="n">
        <v>3.4</v>
      </c>
      <c r="I2778" s="2" t="inlineStr"/>
      <c r="J2778" t="inlineStr"/>
      <c r="K2778" t="inlineStr"/>
      <c r="L2778" s="2" t="inlineStr"/>
      <c r="M2778" t="inlineStr"/>
      <c r="N2778" t="inlineStr">
        <is>
          <t>20250711800575</t>
        </is>
      </c>
      <c r="O2778">
        <f>HYPERLINK("https://dart.fss.or.kr/dsaf001/main.do?rcpNo=20250711800575", "공시열람")</f>
        <v/>
      </c>
    </row>
    <row r="2779">
      <c r="A2779" t="inlineStr">
        <is>
          <t>2025-07-11</t>
        </is>
      </c>
      <c r="B2779" t="inlineStr">
        <is>
          <t>신세계</t>
        </is>
      </c>
      <c r="C2779" t="inlineStr">
        <is>
          <t>004170</t>
        </is>
      </c>
      <c r="D2779" t="inlineStr">
        <is>
          <t>별도</t>
        </is>
      </c>
      <c r="E2779" t="inlineStr">
        <is>
          <t>2025Q2</t>
        </is>
      </c>
      <c r="F2779" s="2" t="n">
        <v>151625</v>
      </c>
      <c r="G2779" t="n">
        <v>-9.33</v>
      </c>
      <c r="H2779" t="n">
        <v>-2.6</v>
      </c>
      <c r="I2779" s="2" t="inlineStr"/>
      <c r="J2779" t="inlineStr"/>
      <c r="K2779" t="inlineStr"/>
      <c r="L2779" s="2" t="inlineStr"/>
      <c r="M2779" t="inlineStr"/>
      <c r="N2779" t="inlineStr">
        <is>
          <t>20250711800216</t>
        </is>
      </c>
      <c r="O2779">
        <f>HYPERLINK("https://dart.fss.or.kr/dsaf001/main.do?rcpNo=20250711800216", "공시열람")</f>
        <v/>
      </c>
    </row>
    <row r="2780">
      <c r="A2780" t="inlineStr">
        <is>
          <t>2025-07-11</t>
        </is>
      </c>
      <c r="B2780" t="inlineStr">
        <is>
          <t>대한항공</t>
        </is>
      </c>
      <c r="C2780" t="inlineStr">
        <is>
          <t>003490</t>
        </is>
      </c>
      <c r="D2780" t="inlineStr">
        <is>
          <t>별도</t>
        </is>
      </c>
      <c r="E2780" t="inlineStr">
        <is>
          <t>2025Q2</t>
        </is>
      </c>
      <c r="F2780" s="2" t="n">
        <v>3985900</v>
      </c>
      <c r="G2780" t="n">
        <v>0.8</v>
      </c>
      <c r="H2780" t="n">
        <v>-0.9</v>
      </c>
      <c r="I2780" s="2" t="n">
        <v>399000</v>
      </c>
      <c r="J2780" t="n">
        <v>13.7</v>
      </c>
      <c r="K2780" t="n">
        <v>-3.5</v>
      </c>
      <c r="L2780" s="2" t="n">
        <v>395900</v>
      </c>
      <c r="M2780" t="n">
        <v>13.4</v>
      </c>
      <c r="N2780" t="inlineStr">
        <is>
          <t>20250711800350</t>
        </is>
      </c>
      <c r="O2780">
        <f>HYPERLINK("https://dart.fss.or.kr/dsaf001/main.do?rcpNo=20250711800350", "공시열람")</f>
        <v/>
      </c>
    </row>
    <row r="2781">
      <c r="A2781" t="inlineStr">
        <is>
          <t>2025-07-09</t>
        </is>
      </c>
      <c r="B2781" t="inlineStr">
        <is>
          <t>이마트</t>
        </is>
      </c>
      <c r="C2781" t="inlineStr">
        <is>
          <t>139480</t>
        </is>
      </c>
      <c r="D2781" t="inlineStr">
        <is>
          <t>별도</t>
        </is>
      </c>
      <c r="E2781" t="inlineStr">
        <is>
          <t>2025Q2</t>
        </is>
      </c>
      <c r="F2781" s="2" t="n">
        <v>1321400</v>
      </c>
      <c r="G2781" t="n">
        <v>-4.2</v>
      </c>
      <c r="H2781" t="n">
        <v>11.5</v>
      </c>
      <c r="I2781" s="2" t="inlineStr"/>
      <c r="J2781" t="inlineStr"/>
      <c r="K2781" t="inlineStr"/>
      <c r="L2781" s="2" t="inlineStr"/>
      <c r="M2781" t="inlineStr"/>
      <c r="N2781" t="inlineStr">
        <is>
          <t>20250709800127</t>
        </is>
      </c>
      <c r="O2781">
        <f>HYPERLINK("https://dart.fss.or.kr/dsaf001/main.do?rcpNo=20250709800127", "공시열람")</f>
        <v/>
      </c>
    </row>
    <row r="2782">
      <c r="A2782" t="inlineStr">
        <is>
          <t>2025-07-08</t>
        </is>
      </c>
      <c r="B2782" t="inlineStr">
        <is>
          <t>삼성전자</t>
        </is>
      </c>
      <c r="C2782" t="inlineStr">
        <is>
          <t>005930</t>
        </is>
      </c>
      <c r="D2782" t="inlineStr">
        <is>
          <t>연결</t>
        </is>
      </c>
      <c r="E2782" t="inlineStr">
        <is>
          <t>2025Q2</t>
        </is>
      </c>
      <c r="F2782" s="2" t="n">
        <v>74</v>
      </c>
      <c r="G2782" t="n">
        <v>-6.49</v>
      </c>
      <c r="H2782" t="n">
        <v>-0.09</v>
      </c>
      <c r="I2782" s="2" t="n">
        <v>5</v>
      </c>
      <c r="J2782" t="n">
        <v>-31.24</v>
      </c>
      <c r="K2782" t="n">
        <v>-55.94</v>
      </c>
      <c r="L2782" s="2" t="inlineStr"/>
      <c r="M2782" t="inlineStr"/>
      <c r="N2782" t="inlineStr">
        <is>
          <t>20250708800003</t>
        </is>
      </c>
      <c r="O2782">
        <f>HYPERLINK("https://dart.fss.or.kr/dsaf001/main.do?rcpNo=20250708800003", "공시열람")</f>
        <v/>
      </c>
    </row>
    <row r="2783">
      <c r="A2783" t="inlineStr">
        <is>
          <t>2025-07-07</t>
        </is>
      </c>
      <c r="B2783" t="inlineStr">
        <is>
          <t>LG전자</t>
        </is>
      </c>
      <c r="C2783" t="inlineStr">
        <is>
          <t>066570</t>
        </is>
      </c>
      <c r="D2783" t="inlineStr">
        <is>
          <t>연결</t>
        </is>
      </c>
      <c r="E2783" t="inlineStr">
        <is>
          <t>2025Q2</t>
        </is>
      </c>
      <c r="F2783" s="2" t="n">
        <v>20740000</v>
      </c>
      <c r="G2783" t="inlineStr"/>
      <c r="H2783" t="inlineStr"/>
      <c r="I2783" s="2" t="n">
        <v>639100</v>
      </c>
      <c r="J2783" t="inlineStr"/>
      <c r="K2783" t="inlineStr"/>
      <c r="L2783" s="2" t="inlineStr"/>
      <c r="M2783" t="inlineStr"/>
      <c r="N2783" t="inlineStr">
        <is>
          <t>20250707800084</t>
        </is>
      </c>
      <c r="O2783">
        <f>HYPERLINK("https://dart.fss.or.kr/dsaf001/main.do?rcpNo=20250707800084", "공시열람")</f>
        <v/>
      </c>
    </row>
    <row r="2784">
      <c r="A2784" t="inlineStr">
        <is>
          <t>2025-07-07</t>
        </is>
      </c>
      <c r="B2784" t="inlineStr">
        <is>
          <t>LG에너지솔루션</t>
        </is>
      </c>
      <c r="C2784" t="inlineStr">
        <is>
          <t>373220</t>
        </is>
      </c>
      <c r="D2784" t="inlineStr">
        <is>
          <t>연결</t>
        </is>
      </c>
      <c r="E2784" t="inlineStr">
        <is>
          <t>2025Q2</t>
        </is>
      </c>
      <c r="F2784" s="2" t="n">
        <v>5565400</v>
      </c>
      <c r="G2784" t="inlineStr"/>
      <c r="H2784" t="inlineStr"/>
      <c r="I2784" s="2" t="n">
        <v>492200</v>
      </c>
      <c r="J2784" t="inlineStr"/>
      <c r="K2784" t="inlineStr"/>
      <c r="L2784" s="2" t="inlineStr"/>
      <c r="M2784" t="inlineStr"/>
      <c r="N2784" t="inlineStr">
        <is>
          <t>20250707800033</t>
        </is>
      </c>
      <c r="O2784">
        <f>HYPERLINK("https://dart.fss.or.kr/dsaf001/main.do?rcpNo=20250707800033", "공시열람")</f>
        <v/>
      </c>
    </row>
    <row r="2785">
      <c r="A2785" t="inlineStr">
        <is>
          <t>2025-07-03</t>
        </is>
      </c>
      <c r="B2785" t="inlineStr">
        <is>
          <t>오이솔루션</t>
        </is>
      </c>
      <c r="C2785" t="inlineStr">
        <is>
          <t>138080</t>
        </is>
      </c>
      <c r="D2785" t="inlineStr">
        <is>
          <t>별도</t>
        </is>
      </c>
      <c r="E2785" t="inlineStr">
        <is>
          <t>2025Q2</t>
        </is>
      </c>
      <c r="F2785" s="2" t="n">
        <v>15863</v>
      </c>
      <c r="G2785" t="inlineStr"/>
      <c r="H2785" t="inlineStr"/>
      <c r="I2785" s="2" t="inlineStr"/>
      <c r="J2785" t="inlineStr"/>
      <c r="K2785" t="inlineStr"/>
      <c r="L2785" s="2" t="inlineStr"/>
      <c r="M2785" t="inlineStr"/>
      <c r="N2785" t="inlineStr">
        <is>
          <t>20250703900065</t>
        </is>
      </c>
      <c r="O2785">
        <f>HYPERLINK("https://dart.fss.or.kr/dsaf001/main.do?rcpNo=20250703900065", "공시열람")</f>
        <v/>
      </c>
    </row>
    <row r="2786">
      <c r="A2786" t="inlineStr">
        <is>
          <t>2025-07-03</t>
        </is>
      </c>
      <c r="B2786" t="inlineStr">
        <is>
          <t>티앤알바이오팹</t>
        </is>
      </c>
      <c r="C2786" t="inlineStr">
        <is>
          <t>246710</t>
        </is>
      </c>
      <c r="D2786" t="inlineStr">
        <is>
          <t>연결</t>
        </is>
      </c>
      <c r="E2786" t="inlineStr">
        <is>
          <t>2025Q2</t>
        </is>
      </c>
      <c r="F2786" s="2" t="n">
        <v>6468</v>
      </c>
      <c r="G2786" t="inlineStr"/>
      <c r="H2786" t="inlineStr"/>
      <c r="I2786" s="2" t="inlineStr"/>
      <c r="J2786" t="inlineStr"/>
      <c r="K2786" t="inlineStr"/>
      <c r="L2786" s="2" t="inlineStr"/>
      <c r="M2786" t="inlineStr"/>
      <c r="N2786" t="inlineStr">
        <is>
          <t>20250703900112</t>
        </is>
      </c>
      <c r="O2786">
        <f>HYPERLINK("https://dart.fss.or.kr/dsaf001/main.do?rcpNo=20250703900112", "공시열람")</f>
        <v/>
      </c>
    </row>
    <row r="2787">
      <c r="A2787" t="inlineStr">
        <is>
          <t>2025-07-03</t>
        </is>
      </c>
      <c r="B2787" t="inlineStr">
        <is>
          <t>GKL</t>
        </is>
      </c>
      <c r="C2787" t="inlineStr">
        <is>
          <t>114090</t>
        </is>
      </c>
      <c r="D2787" t="inlineStr">
        <is>
          <t>별도</t>
        </is>
      </c>
      <c r="E2787" t="inlineStr">
        <is>
          <t>2025Q2</t>
        </is>
      </c>
      <c r="F2787" s="2" t="inlineStr"/>
      <c r="G2787" t="inlineStr"/>
      <c r="H2787" t="inlineStr"/>
      <c r="I2787" s="2" t="inlineStr"/>
      <c r="J2787" t="inlineStr"/>
      <c r="K2787" t="inlineStr"/>
      <c r="L2787" s="2" t="inlineStr"/>
      <c r="M2787" t="inlineStr"/>
      <c r="N2787" t="inlineStr">
        <is>
          <t>20250703800301</t>
        </is>
      </c>
      <c r="O2787">
        <f>HYPERLINK("https://dart.fss.or.kr/dsaf001/main.do?rcpNo=20250703800301", "공시열람")</f>
        <v/>
      </c>
    </row>
    <row r="2788">
      <c r="A2788" t="inlineStr">
        <is>
          <t>2025-07-02</t>
        </is>
      </c>
      <c r="B2788" t="inlineStr">
        <is>
          <t>노을</t>
        </is>
      </c>
      <c r="C2788" t="inlineStr">
        <is>
          <t>376930</t>
        </is>
      </c>
      <c r="D2788" t="inlineStr">
        <is>
          <t>연결</t>
        </is>
      </c>
      <c r="E2788" t="inlineStr">
        <is>
          <t>2025Q2</t>
        </is>
      </c>
      <c r="F2788" s="2" t="n">
        <v>1401</v>
      </c>
      <c r="G2788" t="inlineStr"/>
      <c r="H2788" t="inlineStr"/>
      <c r="I2788" s="2" t="inlineStr"/>
      <c r="J2788" t="inlineStr"/>
      <c r="K2788" t="inlineStr"/>
      <c r="L2788" s="2" t="inlineStr"/>
      <c r="M2788" t="inlineStr"/>
      <c r="N2788" t="inlineStr">
        <is>
          <t>20250702900160</t>
        </is>
      </c>
      <c r="O2788">
        <f>HYPERLINK("https://dart.fss.or.kr/dsaf001/main.do?rcpNo=20250702900160", "공시열람")</f>
        <v/>
      </c>
    </row>
    <row r="2789">
      <c r="A2789" t="inlineStr">
        <is>
          <t>2025-07-02</t>
        </is>
      </c>
      <c r="B2789" t="inlineStr">
        <is>
          <t>파라다이스</t>
        </is>
      </c>
      <c r="C2789" t="inlineStr">
        <is>
          <t>034230</t>
        </is>
      </c>
      <c r="D2789" t="inlineStr">
        <is>
          <t>연결</t>
        </is>
      </c>
      <c r="E2789" t="inlineStr">
        <is>
          <t>2025Q2</t>
        </is>
      </c>
      <c r="F2789" s="2" t="inlineStr"/>
      <c r="G2789" t="inlineStr"/>
      <c r="H2789" t="inlineStr"/>
      <c r="I2789" s="2" t="inlineStr"/>
      <c r="J2789" t="inlineStr"/>
      <c r="K2789" t="inlineStr"/>
      <c r="L2789" s="2" t="inlineStr"/>
      <c r="M2789" t="inlineStr"/>
      <c r="N2789" t="inlineStr">
        <is>
          <t>20250702800621</t>
        </is>
      </c>
      <c r="O2789">
        <f>HYPERLINK("https://dart.fss.or.kr/dsaf001/main.do?rcpNo=20250702800621", "공시열람")</f>
        <v/>
      </c>
    </row>
    <row r="2790">
      <c r="A2790" t="inlineStr">
        <is>
          <t>2025-07-01</t>
        </is>
      </c>
      <c r="B2790" t="inlineStr">
        <is>
          <t>KG모빌리티</t>
        </is>
      </c>
      <c r="C2790" t="inlineStr">
        <is>
          <t>003620</t>
        </is>
      </c>
      <c r="D2790" t="inlineStr">
        <is>
          <t>별도</t>
        </is>
      </c>
      <c r="E2790" t="inlineStr">
        <is>
          <t>2025Q2</t>
        </is>
      </c>
      <c r="F2790" s="2" t="inlineStr"/>
      <c r="G2790" t="inlineStr"/>
      <c r="H2790" t="inlineStr"/>
      <c r="I2790" s="2" t="inlineStr"/>
      <c r="J2790" t="inlineStr"/>
      <c r="K2790" t="inlineStr"/>
      <c r="L2790" s="2" t="inlineStr"/>
      <c r="M2790" t="inlineStr"/>
      <c r="N2790" t="inlineStr">
        <is>
          <t>20250701800360</t>
        </is>
      </c>
      <c r="O2790">
        <f>HYPERLINK("https://dart.fss.or.kr/dsaf001/main.do?rcpNo=20250701800360", "공시열람")</f>
        <v/>
      </c>
    </row>
    <row r="2791">
      <c r="A2791" t="inlineStr">
        <is>
          <t>2025-07-01</t>
        </is>
      </c>
      <c r="B2791" t="inlineStr">
        <is>
          <t>현대자동차</t>
        </is>
      </c>
      <c r="C2791" t="inlineStr">
        <is>
          <t>005380</t>
        </is>
      </c>
      <c r="D2791" t="inlineStr">
        <is>
          <t>별도</t>
        </is>
      </c>
      <c r="E2791" t="inlineStr">
        <is>
          <t>2025Q2</t>
        </is>
      </c>
      <c r="F2791" s="2" t="inlineStr"/>
      <c r="G2791" t="inlineStr"/>
      <c r="H2791" t="inlineStr"/>
      <c r="I2791" s="2" t="inlineStr"/>
      <c r="J2791" t="inlineStr"/>
      <c r="K2791" t="inlineStr"/>
      <c r="L2791" s="2" t="inlineStr"/>
      <c r="M2791" t="inlineStr"/>
      <c r="N2791" t="inlineStr">
        <is>
          <t>20250701800414</t>
        </is>
      </c>
      <c r="O2791">
        <f>HYPERLINK("https://dart.fss.or.kr/dsaf001/main.do?rcpNo=20250701800414", "공시열람")</f>
        <v/>
      </c>
    </row>
    <row r="2792">
      <c r="A2792" t="inlineStr">
        <is>
          <t>2025-07-01</t>
        </is>
      </c>
      <c r="B2792" t="inlineStr">
        <is>
          <t>롯데관광개발</t>
        </is>
      </c>
      <c r="C2792" t="inlineStr">
        <is>
          <t>032350</t>
        </is>
      </c>
      <c r="D2792" t="inlineStr">
        <is>
          <t>연결</t>
        </is>
      </c>
      <c r="E2792" t="inlineStr">
        <is>
          <t>2025Q2</t>
        </is>
      </c>
      <c r="F2792" s="2" t="inlineStr"/>
      <c r="G2792" t="inlineStr"/>
      <c r="H2792" t="inlineStr"/>
      <c r="I2792" s="2" t="inlineStr"/>
      <c r="J2792" t="inlineStr"/>
      <c r="K2792" t="inlineStr"/>
      <c r="L2792" s="2" t="inlineStr"/>
      <c r="M2792" t="inlineStr"/>
      <c r="N2792" t="inlineStr">
        <is>
          <t>20250701800450</t>
        </is>
      </c>
      <c r="O2792">
        <f>HYPERLINK("https://dart.fss.or.kr/dsaf001/main.do?rcpNo=20250701800450", "공시열람")</f>
        <v/>
      </c>
    </row>
    <row r="2793">
      <c r="A2793" t="inlineStr">
        <is>
          <t>2025-07-01</t>
        </is>
      </c>
      <c r="B2793" t="inlineStr">
        <is>
          <t>기아</t>
        </is>
      </c>
      <c r="C2793" t="inlineStr">
        <is>
          <t>000270</t>
        </is>
      </c>
      <c r="D2793" t="inlineStr">
        <is>
          <t>별도</t>
        </is>
      </c>
      <c r="E2793" t="inlineStr">
        <is>
          <t>2025Q2</t>
        </is>
      </c>
      <c r="F2793" s="2" t="inlineStr"/>
      <c r="G2793" t="inlineStr"/>
      <c r="H2793" t="inlineStr"/>
      <c r="I2793" s="2" t="inlineStr"/>
      <c r="J2793" t="inlineStr"/>
      <c r="K2793" t="inlineStr"/>
      <c r="L2793" s="2" t="inlineStr"/>
      <c r="M2793" t="inlineStr"/>
      <c r="N2793" t="inlineStr">
        <is>
          <t>20250701800502</t>
        </is>
      </c>
      <c r="O2793">
        <f>HYPERLINK("https://dart.fss.or.kr/dsaf001/main.do?rcpNo=20250701800502", "공시열람")</f>
        <v/>
      </c>
    </row>
    <row r="2794">
      <c r="A2794" t="inlineStr">
        <is>
          <t>2025-06-19</t>
        </is>
      </c>
      <c r="B2794" t="inlineStr">
        <is>
          <t>지역난방공사</t>
        </is>
      </c>
      <c r="C2794" t="inlineStr">
        <is>
          <t>071320</t>
        </is>
      </c>
      <c r="D2794" t="inlineStr">
        <is>
          <t>별도</t>
        </is>
      </c>
      <c r="E2794" t="inlineStr">
        <is>
          <t>2025Q1</t>
        </is>
      </c>
      <c r="F2794" s="2" t="inlineStr"/>
      <c r="G2794" t="inlineStr"/>
      <c r="H2794" t="inlineStr"/>
      <c r="I2794" s="2" t="inlineStr"/>
      <c r="J2794" t="inlineStr"/>
      <c r="K2794" t="inlineStr"/>
      <c r="L2794" s="2" t="inlineStr"/>
      <c r="M2794" t="inlineStr"/>
      <c r="N2794" t="inlineStr">
        <is>
          <t>20250619800425</t>
        </is>
      </c>
      <c r="O2794">
        <f>HYPERLINK("https://dart.fss.or.kr/dsaf001/main.do?rcpNo=20250619800425", "공시열람")</f>
        <v/>
      </c>
    </row>
    <row r="2795">
      <c r="A2795" t="inlineStr">
        <is>
          <t>2025-06-17</t>
        </is>
      </c>
      <c r="B2795" t="inlineStr">
        <is>
          <t>오리온</t>
        </is>
      </c>
      <c r="C2795" t="inlineStr">
        <is>
          <t>271560</t>
        </is>
      </c>
      <c r="D2795" t="inlineStr">
        <is>
          <t>연결</t>
        </is>
      </c>
      <c r="E2795" t="inlineStr">
        <is>
          <t>2025Q1</t>
        </is>
      </c>
      <c r="F2795" s="2" t="inlineStr"/>
      <c r="G2795" t="inlineStr"/>
      <c r="H2795" t="inlineStr"/>
      <c r="I2795" s="2" t="inlineStr"/>
      <c r="J2795" t="inlineStr"/>
      <c r="K2795" t="inlineStr"/>
      <c r="L2795" s="2" t="inlineStr"/>
      <c r="M2795" t="inlineStr"/>
      <c r="N2795" t="inlineStr">
        <is>
          <t>20250617800103</t>
        </is>
      </c>
      <c r="O2795">
        <f>HYPERLINK("https://dart.fss.or.kr/dsaf001/main.do?rcpNo=20250617800103", "공시열람")</f>
        <v/>
      </c>
    </row>
    <row r="2796">
      <c r="A2796" t="inlineStr">
        <is>
          <t>2025-06-17</t>
        </is>
      </c>
      <c r="B2796" t="inlineStr">
        <is>
          <t>HD현대중공업</t>
        </is>
      </c>
      <c r="C2796" t="inlineStr">
        <is>
          <t>329180</t>
        </is>
      </c>
      <c r="D2796" t="inlineStr">
        <is>
          <t>별도</t>
        </is>
      </c>
      <c r="E2796" t="inlineStr">
        <is>
          <t>2025Q1</t>
        </is>
      </c>
      <c r="F2796" s="2" t="n">
        <v>1296221</v>
      </c>
      <c r="G2796" t="n">
        <v>-8.66</v>
      </c>
      <c r="H2796" t="n">
        <v>1.6</v>
      </c>
      <c r="I2796" s="2" t="inlineStr"/>
      <c r="J2796" t="inlineStr"/>
      <c r="K2796" t="inlineStr"/>
      <c r="L2796" s="2" t="inlineStr"/>
      <c r="M2796" t="inlineStr"/>
      <c r="N2796" t="inlineStr">
        <is>
          <t>20250617800377</t>
        </is>
      </c>
      <c r="O2796">
        <f>HYPERLINK("https://dart.fss.or.kr/dsaf001/main.do?rcpNo=20250617800377", "공시열람")</f>
        <v/>
      </c>
    </row>
    <row r="2797">
      <c r="A2797" t="inlineStr">
        <is>
          <t>2025-06-17</t>
        </is>
      </c>
      <c r="B2797" t="inlineStr">
        <is>
          <t>HD한국조선해양</t>
        </is>
      </c>
      <c r="C2797" t="inlineStr">
        <is>
          <t>009540</t>
        </is>
      </c>
      <c r="D2797" t="inlineStr">
        <is>
          <t>별도</t>
        </is>
      </c>
      <c r="E2797" t="inlineStr">
        <is>
          <t>2025Q1</t>
        </is>
      </c>
      <c r="F2797" s="2" t="n">
        <v>682338</v>
      </c>
      <c r="G2797" t="n">
        <v>-3.2</v>
      </c>
      <c r="H2797" t="n">
        <v>9.99</v>
      </c>
      <c r="I2797" s="2" t="inlineStr"/>
      <c r="J2797" t="inlineStr"/>
      <c r="K2797" t="inlineStr"/>
      <c r="L2797" s="2" t="inlineStr"/>
      <c r="M2797" t="inlineStr"/>
      <c r="N2797" t="inlineStr">
        <is>
          <t>20250617800374</t>
        </is>
      </c>
      <c r="O2797">
        <f>HYPERLINK("https://dart.fss.or.kr/dsaf001/main.do?rcpNo=20250617800374", "공시열람")</f>
        <v/>
      </c>
    </row>
    <row r="2798">
      <c r="A2798" t="inlineStr">
        <is>
          <t>2025-06-13</t>
        </is>
      </c>
      <c r="B2798" t="inlineStr">
        <is>
          <t>콜마비앤에이치</t>
        </is>
      </c>
      <c r="C2798" t="inlineStr">
        <is>
          <t>200130</t>
        </is>
      </c>
      <c r="D2798" t="inlineStr">
        <is>
          <t>별도</t>
        </is>
      </c>
      <c r="E2798" t="inlineStr">
        <is>
          <t>2025Q1</t>
        </is>
      </c>
      <c r="F2798" s="2" t="n">
        <v>42025</v>
      </c>
      <c r="G2798" t="inlineStr"/>
      <c r="H2798" t="inlineStr"/>
      <c r="I2798" s="2" t="n">
        <v>3574</v>
      </c>
      <c r="J2798" t="inlineStr"/>
      <c r="K2798" t="inlineStr"/>
      <c r="L2798" s="2" t="inlineStr"/>
      <c r="M2798" t="inlineStr"/>
      <c r="N2798" t="inlineStr">
        <is>
          <t>20250613900665</t>
        </is>
      </c>
      <c r="O2798">
        <f>HYPERLINK("https://dart.fss.or.kr/dsaf001/main.do?rcpNo=20250613900665", "공시열람")</f>
        <v/>
      </c>
    </row>
    <row r="2799">
      <c r="A2799" t="inlineStr">
        <is>
          <t>2025-06-12</t>
        </is>
      </c>
      <c r="B2799" t="inlineStr">
        <is>
          <t>한국가스공사</t>
        </is>
      </c>
      <c r="C2799" t="inlineStr">
        <is>
          <t>036460</t>
        </is>
      </c>
      <c r="D2799" t="inlineStr">
        <is>
          <t>별도</t>
        </is>
      </c>
      <c r="E2799" t="inlineStr">
        <is>
          <t>2025Q1</t>
        </is>
      </c>
      <c r="F2799" s="2" t="inlineStr"/>
      <c r="G2799" t="inlineStr"/>
      <c r="H2799" t="inlineStr"/>
      <c r="I2799" s="2" t="inlineStr"/>
      <c r="J2799" t="inlineStr"/>
      <c r="K2799" t="inlineStr"/>
      <c r="L2799" s="2" t="inlineStr"/>
      <c r="M2799" t="inlineStr"/>
      <c r="N2799" t="inlineStr">
        <is>
          <t>20250612800092</t>
        </is>
      </c>
      <c r="O2799">
        <f>HYPERLINK("https://dart.fss.or.kr/dsaf001/main.do?rcpNo=20250612800092", "공시열람")</f>
        <v/>
      </c>
    </row>
    <row r="2800">
      <c r="A2800" t="inlineStr">
        <is>
          <t>2025-06-11</t>
        </is>
      </c>
      <c r="B2800" t="inlineStr">
        <is>
          <t>이마트</t>
        </is>
      </c>
      <c r="C2800" t="inlineStr">
        <is>
          <t>139480</t>
        </is>
      </c>
      <c r="D2800" t="inlineStr">
        <is>
          <t>별도</t>
        </is>
      </c>
      <c r="E2800" t="inlineStr">
        <is>
          <t>2025Q1</t>
        </is>
      </c>
      <c r="F2800" s="2" t="n">
        <v>1379600</v>
      </c>
      <c r="G2800" t="n">
        <v>8.699999999999999</v>
      </c>
      <c r="H2800" t="n">
        <v>16.4</v>
      </c>
      <c r="I2800" s="2" t="inlineStr"/>
      <c r="J2800" t="inlineStr"/>
      <c r="K2800" t="inlineStr"/>
      <c r="L2800" s="2" t="inlineStr"/>
      <c r="M2800" t="inlineStr"/>
      <c r="N2800" t="inlineStr">
        <is>
          <t>20250611800138</t>
        </is>
      </c>
      <c r="O2800">
        <f>HYPERLINK("https://dart.fss.or.kr/dsaf001/main.do?rcpNo=20250611800138", "공시열람")</f>
        <v/>
      </c>
    </row>
    <row r="2801">
      <c r="A2801" t="inlineStr">
        <is>
          <t>2025-06-10</t>
        </is>
      </c>
      <c r="B2801" t="inlineStr">
        <is>
          <t>광주신세계</t>
        </is>
      </c>
      <c r="C2801" t="inlineStr">
        <is>
          <t>037710</t>
        </is>
      </c>
      <c r="D2801" t="inlineStr">
        <is>
          <t>별도</t>
        </is>
      </c>
      <c r="E2801" t="inlineStr">
        <is>
          <t>2025Q1</t>
        </is>
      </c>
      <c r="F2801" s="2" t="n">
        <v>16196</v>
      </c>
      <c r="G2801" t="n">
        <v>12.3</v>
      </c>
      <c r="H2801" t="n">
        <v>6.7</v>
      </c>
      <c r="I2801" s="2" t="inlineStr"/>
      <c r="J2801" t="inlineStr"/>
      <c r="K2801" t="inlineStr"/>
      <c r="L2801" s="2" t="inlineStr"/>
      <c r="M2801" t="inlineStr"/>
      <c r="N2801" t="inlineStr">
        <is>
          <t>20250610800406</t>
        </is>
      </c>
      <c r="O2801">
        <f>HYPERLINK("https://dart.fss.or.kr/dsaf001/main.do?rcpNo=20250610800406", "공시열람")</f>
        <v/>
      </c>
    </row>
    <row r="2802">
      <c r="A2802" t="inlineStr">
        <is>
          <t>2025-06-10</t>
        </is>
      </c>
      <c r="B2802" t="inlineStr">
        <is>
          <t>신세계</t>
        </is>
      </c>
      <c r="C2802" t="inlineStr">
        <is>
          <t>004170</t>
        </is>
      </c>
      <c r="D2802" t="inlineStr">
        <is>
          <t>별도</t>
        </is>
      </c>
      <c r="E2802" t="inlineStr">
        <is>
          <t>2025Q1</t>
        </is>
      </c>
      <c r="F2802" s="2" t="n">
        <v>167235</v>
      </c>
      <c r="G2802" t="n">
        <v>10.98</v>
      </c>
      <c r="H2802" t="n">
        <v>-1.47</v>
      </c>
      <c r="I2802" s="2" t="inlineStr"/>
      <c r="J2802" t="inlineStr"/>
      <c r="K2802" t="inlineStr"/>
      <c r="L2802" s="2" t="inlineStr"/>
      <c r="M2802" t="inlineStr"/>
      <c r="N2802" t="inlineStr">
        <is>
          <t>20250610800314</t>
        </is>
      </c>
      <c r="O2802">
        <f>HYPERLINK("https://dart.fss.or.kr/dsaf001/main.do?rcpNo=20250610800314", "공시열람")</f>
        <v/>
      </c>
    </row>
    <row r="2803">
      <c r="A2803" t="inlineStr">
        <is>
          <t>2025-06-04</t>
        </is>
      </c>
      <c r="B2803" t="inlineStr">
        <is>
          <t>파라다이스</t>
        </is>
      </c>
      <c r="C2803" t="inlineStr">
        <is>
          <t>034230</t>
        </is>
      </c>
      <c r="D2803" t="inlineStr">
        <is>
          <t>연결</t>
        </is>
      </c>
      <c r="E2803" t="inlineStr">
        <is>
          <t>2025Q1</t>
        </is>
      </c>
      <c r="F2803" s="2" t="inlineStr"/>
      <c r="G2803" t="inlineStr"/>
      <c r="H2803" t="inlineStr"/>
      <c r="I2803" s="2" t="inlineStr"/>
      <c r="J2803" t="inlineStr"/>
      <c r="K2803" t="inlineStr"/>
      <c r="L2803" s="2" t="inlineStr"/>
      <c r="M2803" t="inlineStr"/>
      <c r="N2803" t="inlineStr">
        <is>
          <t>20250604800393</t>
        </is>
      </c>
      <c r="O2803">
        <f>HYPERLINK("https://dart.fss.or.kr/dsaf001/main.do?rcpNo=20250604800393", "공시열람")</f>
        <v/>
      </c>
    </row>
    <row r="2804">
      <c r="A2804" t="inlineStr">
        <is>
          <t>2025-06-04</t>
        </is>
      </c>
      <c r="B2804" t="inlineStr">
        <is>
          <t>GKL</t>
        </is>
      </c>
      <c r="C2804" t="inlineStr">
        <is>
          <t>114090</t>
        </is>
      </c>
      <c r="D2804" t="inlineStr">
        <is>
          <t>별도</t>
        </is>
      </c>
      <c r="E2804" t="inlineStr">
        <is>
          <t>2025Q1</t>
        </is>
      </c>
      <c r="F2804" s="2" t="inlineStr"/>
      <c r="G2804" t="inlineStr"/>
      <c r="H2804" t="inlineStr"/>
      <c r="I2804" s="2" t="inlineStr"/>
      <c r="J2804" t="inlineStr"/>
      <c r="K2804" t="inlineStr"/>
      <c r="L2804" s="2" t="inlineStr"/>
      <c r="M2804" t="inlineStr"/>
      <c r="N2804" t="inlineStr">
        <is>
          <t>20250604800166</t>
        </is>
      </c>
      <c r="O2804">
        <f>HYPERLINK("https://dart.fss.or.kr/dsaf001/main.do?rcpNo=20250604800166", "공시열람")</f>
        <v/>
      </c>
    </row>
    <row r="2805">
      <c r="A2805" t="inlineStr">
        <is>
          <t>2025-06-02</t>
        </is>
      </c>
      <c r="B2805" t="inlineStr">
        <is>
          <t>KG모빌리티</t>
        </is>
      </c>
      <c r="C2805" t="inlineStr">
        <is>
          <t>003620</t>
        </is>
      </c>
      <c r="D2805" t="inlineStr">
        <is>
          <t>별도</t>
        </is>
      </c>
      <c r="E2805" t="inlineStr">
        <is>
          <t>2025Q1</t>
        </is>
      </c>
      <c r="F2805" s="2" t="inlineStr"/>
      <c r="G2805" t="inlineStr"/>
      <c r="H2805" t="inlineStr"/>
      <c r="I2805" s="2" t="inlineStr"/>
      <c r="J2805" t="inlineStr"/>
      <c r="K2805" t="inlineStr"/>
      <c r="L2805" s="2" t="inlineStr"/>
      <c r="M2805" t="inlineStr"/>
      <c r="N2805" t="inlineStr">
        <is>
          <t>20250602800378</t>
        </is>
      </c>
      <c r="O2805">
        <f>HYPERLINK("https://dart.fss.or.kr/dsaf001/main.do?rcpNo=20250602800378", "공시열람")</f>
        <v/>
      </c>
    </row>
    <row r="2806">
      <c r="A2806" t="inlineStr">
        <is>
          <t>2025-06-02</t>
        </is>
      </c>
      <c r="B2806" t="inlineStr">
        <is>
          <t>롯데관광개발</t>
        </is>
      </c>
      <c r="C2806" t="inlineStr">
        <is>
          <t>032350</t>
        </is>
      </c>
      <c r="D2806" t="inlineStr">
        <is>
          <t>연결</t>
        </is>
      </c>
      <c r="E2806" t="inlineStr">
        <is>
          <t>2025Q1</t>
        </is>
      </c>
      <c r="F2806" s="2" t="inlineStr"/>
      <c r="G2806" t="inlineStr"/>
      <c r="H2806" t="inlineStr"/>
      <c r="I2806" s="2" t="inlineStr"/>
      <c r="J2806" t="inlineStr"/>
      <c r="K2806" t="inlineStr"/>
      <c r="L2806" s="2" t="inlineStr"/>
      <c r="M2806" t="inlineStr"/>
      <c r="N2806" t="inlineStr">
        <is>
          <t>20250602800468</t>
        </is>
      </c>
      <c r="O2806">
        <f>HYPERLINK("https://dart.fss.or.kr/dsaf001/main.do?rcpNo=20250602800468", "공시열람")</f>
        <v/>
      </c>
    </row>
    <row r="2807">
      <c r="A2807" t="inlineStr">
        <is>
          <t>2025-06-02</t>
        </is>
      </c>
      <c r="B2807" t="inlineStr">
        <is>
          <t>기아</t>
        </is>
      </c>
      <c r="C2807" t="inlineStr">
        <is>
          <t>000270</t>
        </is>
      </c>
      <c r="D2807" t="inlineStr">
        <is>
          <t>별도</t>
        </is>
      </c>
      <c r="E2807" t="inlineStr">
        <is>
          <t>2025Q1</t>
        </is>
      </c>
      <c r="F2807" s="2" t="inlineStr"/>
      <c r="G2807" t="inlineStr"/>
      <c r="H2807" t="inlineStr"/>
      <c r="I2807" s="2" t="inlineStr"/>
      <c r="J2807" t="inlineStr"/>
      <c r="K2807" t="inlineStr"/>
      <c r="L2807" s="2" t="inlineStr"/>
      <c r="M2807" t="inlineStr"/>
      <c r="N2807" t="inlineStr">
        <is>
          <t>20250602800536</t>
        </is>
      </c>
      <c r="O2807">
        <f>HYPERLINK("https://dart.fss.or.kr/dsaf001/main.do?rcpNo=20250602800536", "공시열람")</f>
        <v/>
      </c>
    </row>
    <row r="2808">
      <c r="A2808" t="inlineStr">
        <is>
          <t>2025-06-02</t>
        </is>
      </c>
      <c r="B2808" t="inlineStr">
        <is>
          <t>현대자동차</t>
        </is>
      </c>
      <c r="C2808" t="inlineStr">
        <is>
          <t>005380</t>
        </is>
      </c>
      <c r="D2808" t="inlineStr">
        <is>
          <t>별도</t>
        </is>
      </c>
      <c r="E2808" t="inlineStr">
        <is>
          <t>2025Q1</t>
        </is>
      </c>
      <c r="F2808" s="2" t="inlineStr"/>
      <c r="G2808" t="inlineStr"/>
      <c r="H2808" t="inlineStr"/>
      <c r="I2808" s="2" t="inlineStr"/>
      <c r="J2808" t="inlineStr"/>
      <c r="K2808" t="inlineStr"/>
      <c r="L2808" s="2" t="inlineStr"/>
      <c r="M2808" t="inlineStr"/>
      <c r="N2808" t="inlineStr">
        <is>
          <t>20250602800450</t>
        </is>
      </c>
      <c r="O2808">
        <f>HYPERLINK("https://dart.fss.or.kr/dsaf001/main.do?rcpNo=20250602800450", "공시열람")</f>
        <v/>
      </c>
    </row>
    <row r="2809">
      <c r="A2809" t="inlineStr">
        <is>
          <t>2025-05-21</t>
        </is>
      </c>
      <c r="B2809" t="inlineStr">
        <is>
          <t>지역난방공사</t>
        </is>
      </c>
      <c r="C2809" t="inlineStr">
        <is>
          <t>071320</t>
        </is>
      </c>
      <c r="D2809" t="inlineStr">
        <is>
          <t>별도</t>
        </is>
      </c>
      <c r="E2809" t="inlineStr">
        <is>
          <t>2025Q1</t>
        </is>
      </c>
      <c r="F2809" s="2" t="inlineStr"/>
      <c r="G2809" t="inlineStr"/>
      <c r="H2809" t="inlineStr"/>
      <c r="I2809" s="2" t="inlineStr"/>
      <c r="J2809" t="inlineStr"/>
      <c r="K2809" t="inlineStr"/>
      <c r="L2809" s="2" t="inlineStr"/>
      <c r="M2809" t="inlineStr"/>
      <c r="N2809" t="inlineStr">
        <is>
          <t>20250521800030</t>
        </is>
      </c>
      <c r="O2809">
        <f>HYPERLINK("https://dart.fss.or.kr/dsaf001/main.do?rcpNo=20250521800030", "공시열람")</f>
        <v/>
      </c>
    </row>
    <row r="2810">
      <c r="A2810" t="inlineStr">
        <is>
          <t>2025-05-20</t>
        </is>
      </c>
      <c r="B2810" t="inlineStr">
        <is>
          <t>HD한국조선해양</t>
        </is>
      </c>
      <c r="C2810" t="inlineStr">
        <is>
          <t>009540</t>
        </is>
      </c>
      <c r="D2810" t="inlineStr">
        <is>
          <t>별도</t>
        </is>
      </c>
      <c r="E2810" t="inlineStr">
        <is>
          <t>2025Q1</t>
        </is>
      </c>
      <c r="F2810" s="2" t="n">
        <v>704863</v>
      </c>
      <c r="G2810" t="n">
        <v>-2.17</v>
      </c>
      <c r="H2810" t="n">
        <v>30.89</v>
      </c>
      <c r="I2810" s="2" t="inlineStr"/>
      <c r="J2810" t="inlineStr"/>
      <c r="K2810" t="inlineStr"/>
      <c r="L2810" s="2" t="inlineStr"/>
      <c r="M2810" t="inlineStr"/>
      <c r="N2810" t="inlineStr">
        <is>
          <t>20250520800391</t>
        </is>
      </c>
      <c r="O2810">
        <f>HYPERLINK("https://dart.fss.or.kr/dsaf001/main.do?rcpNo=20250520800391", "공시열람")</f>
        <v/>
      </c>
    </row>
    <row r="2811">
      <c r="A2811" t="inlineStr">
        <is>
          <t>2025-05-20</t>
        </is>
      </c>
      <c r="B2811" t="inlineStr">
        <is>
          <t>HD현대중공업</t>
        </is>
      </c>
      <c r="C2811" t="inlineStr">
        <is>
          <t>329180</t>
        </is>
      </c>
      <c r="D2811" t="inlineStr">
        <is>
          <t>별도</t>
        </is>
      </c>
      <c r="E2811" t="inlineStr">
        <is>
          <t>2025Q1</t>
        </is>
      </c>
      <c r="F2811" s="2" t="n">
        <v>1419047</v>
      </c>
      <c r="G2811" t="n">
        <v>-4.43</v>
      </c>
      <c r="H2811" t="n">
        <v>18.47</v>
      </c>
      <c r="I2811" s="2" t="inlineStr"/>
      <c r="J2811" t="inlineStr"/>
      <c r="K2811" t="inlineStr"/>
      <c r="L2811" s="2" t="inlineStr"/>
      <c r="M2811" t="inlineStr"/>
      <c r="N2811" t="inlineStr">
        <is>
          <t>20250520800331</t>
        </is>
      </c>
      <c r="O2811">
        <f>HYPERLINK("https://dart.fss.or.kr/dsaf001/main.do?rcpNo=20250520800331", "공시열람")</f>
        <v/>
      </c>
    </row>
    <row r="2812">
      <c r="A2812" t="inlineStr">
        <is>
          <t>2025-05-20</t>
        </is>
      </c>
      <c r="B2812" t="inlineStr">
        <is>
          <t>오리온</t>
        </is>
      </c>
      <c r="C2812" t="inlineStr">
        <is>
          <t>271560</t>
        </is>
      </c>
      <c r="D2812" t="inlineStr">
        <is>
          <t>연결</t>
        </is>
      </c>
      <c r="E2812" t="inlineStr">
        <is>
          <t>2025Q1</t>
        </is>
      </c>
      <c r="F2812" s="2" t="inlineStr"/>
      <c r="G2812" t="inlineStr"/>
      <c r="H2812" t="inlineStr"/>
      <c r="I2812" s="2" t="inlineStr"/>
      <c r="J2812" t="inlineStr"/>
      <c r="K2812" t="inlineStr"/>
      <c r="L2812" s="2" t="inlineStr"/>
      <c r="M2812" t="inlineStr"/>
      <c r="N2812" t="inlineStr">
        <is>
          <t>20250520800135</t>
        </is>
      </c>
      <c r="O2812">
        <f>HYPERLINK("https://dart.fss.or.kr/dsaf001/main.do?rcpNo=20250520800135", "공시열람")</f>
        <v/>
      </c>
    </row>
    <row r="2813">
      <c r="A2813" t="inlineStr">
        <is>
          <t>2025-05-19</t>
        </is>
      </c>
      <c r="B2813" t="inlineStr">
        <is>
          <t>티앤알바이오팹</t>
        </is>
      </c>
      <c r="C2813" t="inlineStr">
        <is>
          <t>246710</t>
        </is>
      </c>
      <c r="D2813" t="inlineStr">
        <is>
          <t>연결</t>
        </is>
      </c>
      <c r="E2813" t="inlineStr">
        <is>
          <t>2025Q1</t>
        </is>
      </c>
      <c r="F2813" s="2" t="n">
        <v>5955</v>
      </c>
      <c r="G2813" t="inlineStr"/>
      <c r="H2813" t="inlineStr"/>
      <c r="I2813" s="2" t="n">
        <v>-3580</v>
      </c>
      <c r="J2813" t="inlineStr"/>
      <c r="K2813" t="inlineStr"/>
      <c r="L2813" s="2" t="n">
        <v>-5393</v>
      </c>
      <c r="M2813" t="inlineStr"/>
      <c r="N2813" t="inlineStr">
        <is>
          <t>20250519900116</t>
        </is>
      </c>
      <c r="O2813">
        <f>HYPERLINK("https://dart.fss.or.kr/dsaf001/main.do?rcpNo=20250519900116", "공시열람")</f>
        <v/>
      </c>
    </row>
    <row r="2814">
      <c r="A2814" t="inlineStr">
        <is>
          <t>2025-05-15</t>
        </is>
      </c>
      <c r="B2814" t="inlineStr">
        <is>
          <t>콜마비앤에이치</t>
        </is>
      </c>
      <c r="C2814" t="inlineStr">
        <is>
          <t>200130</t>
        </is>
      </c>
      <c r="D2814" t="inlineStr">
        <is>
          <t>별도</t>
        </is>
      </c>
      <c r="E2814" t="inlineStr">
        <is>
          <t>2025Q1</t>
        </is>
      </c>
      <c r="F2814" s="2" t="n">
        <v>44533</v>
      </c>
      <c r="G2814" t="n">
        <v>17.7</v>
      </c>
      <c r="H2814" t="n">
        <v>7.1</v>
      </c>
      <c r="I2814" s="2" t="n">
        <v>3581</v>
      </c>
      <c r="J2814" t="n">
        <v>72.5</v>
      </c>
      <c r="K2814" t="n">
        <v>49.7</v>
      </c>
      <c r="L2814" s="2" t="inlineStr"/>
      <c r="M2814" t="inlineStr"/>
      <c r="N2814" t="inlineStr">
        <is>
          <t>20250515902791</t>
        </is>
      </c>
      <c r="O2814">
        <f>HYPERLINK("https://dart.fss.or.kr/dsaf001/main.do?rcpNo=20250515902791", "공시열람")</f>
        <v/>
      </c>
    </row>
    <row r="2815">
      <c r="A2815" t="inlineStr">
        <is>
          <t>2025-05-15</t>
        </is>
      </c>
      <c r="B2815" t="inlineStr">
        <is>
          <t>한국가스공사</t>
        </is>
      </c>
      <c r="C2815" t="inlineStr">
        <is>
          <t>036460</t>
        </is>
      </c>
      <c r="D2815" t="inlineStr">
        <is>
          <t>별도</t>
        </is>
      </c>
      <c r="E2815" t="inlineStr">
        <is>
          <t>2025Q1</t>
        </is>
      </c>
      <c r="F2815" s="2" t="inlineStr"/>
      <c r="G2815" t="inlineStr"/>
      <c r="H2815" t="inlineStr"/>
      <c r="I2815" s="2" t="inlineStr"/>
      <c r="J2815" t="inlineStr"/>
      <c r="K2815" t="inlineStr"/>
      <c r="L2815" s="2" t="inlineStr"/>
      <c r="M2815" t="inlineStr"/>
      <c r="N2815" t="inlineStr">
        <is>
          <t>20250515801165</t>
        </is>
      </c>
      <c r="O2815">
        <f>HYPERLINK("https://dart.fss.or.kr/dsaf001/main.do?rcpNo=20250515801165", "공시열람")</f>
        <v/>
      </c>
    </row>
    <row r="2816">
      <c r="A2816" t="inlineStr">
        <is>
          <t>2025-05-15</t>
        </is>
      </c>
      <c r="B2816" t="inlineStr">
        <is>
          <t>HL만도</t>
        </is>
      </c>
      <c r="C2816" t="inlineStr">
        <is>
          <t>204320</t>
        </is>
      </c>
      <c r="D2816" t="inlineStr">
        <is>
          <t>연결</t>
        </is>
      </c>
      <c r="E2816" t="inlineStr">
        <is>
          <t>2025Q1</t>
        </is>
      </c>
      <c r="F2816" s="2" t="n">
        <v>2271045</v>
      </c>
      <c r="G2816" t="n">
        <v>-6.2</v>
      </c>
      <c r="H2816" t="n">
        <v>7.8</v>
      </c>
      <c r="I2816" s="2" t="n">
        <v>79183</v>
      </c>
      <c r="J2816" t="n">
        <v>-28.7</v>
      </c>
      <c r="K2816" t="n">
        <v>4.7</v>
      </c>
      <c r="L2816" s="2" t="n">
        <v>34635</v>
      </c>
      <c r="M2816" t="n">
        <v>-76.2</v>
      </c>
      <c r="N2816" t="inlineStr">
        <is>
          <t>20250515801919</t>
        </is>
      </c>
      <c r="O2816">
        <f>HYPERLINK("https://dart.fss.or.kr/dsaf001/main.do?rcpNo=20250515801919", "공시열람")</f>
        <v/>
      </c>
    </row>
    <row r="2817">
      <c r="A2817" t="inlineStr">
        <is>
          <t>2025-05-15</t>
        </is>
      </c>
      <c r="B2817" t="inlineStr">
        <is>
          <t>코리안리</t>
        </is>
      </c>
      <c r="C2817" t="inlineStr">
        <is>
          <t>003690</t>
        </is>
      </c>
      <c r="D2817" t="inlineStr">
        <is>
          <t>별도</t>
        </is>
      </c>
      <c r="E2817" t="inlineStr">
        <is>
          <t>2025Q1</t>
        </is>
      </c>
      <c r="F2817" s="2" t="n">
        <v>1553560</v>
      </c>
      <c r="G2817" t="n">
        <v>-19.8</v>
      </c>
      <c r="H2817" t="n">
        <v>0.8</v>
      </c>
      <c r="I2817" s="2" t="n">
        <v>117520</v>
      </c>
      <c r="J2817" t="n">
        <v>0.9</v>
      </c>
      <c r="K2817" t="n">
        <v>45.6</v>
      </c>
      <c r="L2817" s="2" t="n">
        <v>90555</v>
      </c>
      <c r="M2817" t="n">
        <v>42.6</v>
      </c>
      <c r="N2817" t="inlineStr">
        <is>
          <t>20250515802116</t>
        </is>
      </c>
      <c r="O2817">
        <f>HYPERLINK("https://dart.fss.or.kr/dsaf001/main.do?rcpNo=20250515802116", "공시열람")</f>
        <v/>
      </c>
    </row>
    <row r="2818">
      <c r="A2818" t="inlineStr">
        <is>
          <t>2025-05-14</t>
        </is>
      </c>
      <c r="B2818" t="inlineStr">
        <is>
          <t>현대로템</t>
        </is>
      </c>
      <c r="C2818" t="inlineStr">
        <is>
          <t>064350</t>
        </is>
      </c>
      <c r="D2818" t="inlineStr">
        <is>
          <t>연결</t>
        </is>
      </c>
      <c r="E2818" t="inlineStr">
        <is>
          <t>2025Q1</t>
        </is>
      </c>
      <c r="F2818" s="2" t="n">
        <v>1176141</v>
      </c>
      <c r="G2818" t="n">
        <v>-18.4</v>
      </c>
      <c r="H2818" t="n">
        <v>57.3</v>
      </c>
      <c r="I2818" s="2" t="n">
        <v>202853</v>
      </c>
      <c r="J2818" t="n">
        <v>25.5</v>
      </c>
      <c r="K2818" t="n">
        <v>354</v>
      </c>
      <c r="L2818" s="2" t="n">
        <v>157146</v>
      </c>
      <c r="M2818" t="n">
        <v>182.5</v>
      </c>
      <c r="N2818" t="inlineStr">
        <is>
          <t>20250514801097</t>
        </is>
      </c>
      <c r="O2818">
        <f>HYPERLINK("https://dart.fss.or.kr/dsaf001/main.do?rcpNo=20250514801097", "공시열람")</f>
        <v/>
      </c>
    </row>
    <row r="2819">
      <c r="A2819" t="inlineStr">
        <is>
          <t>2025-05-14</t>
        </is>
      </c>
      <c r="B2819" t="inlineStr">
        <is>
          <t>원익QnC</t>
        </is>
      </c>
      <c r="C2819" t="inlineStr">
        <is>
          <t>074600</t>
        </is>
      </c>
      <c r="D2819" t="inlineStr">
        <is>
          <t>연결</t>
        </is>
      </c>
      <c r="E2819" t="inlineStr">
        <is>
          <t>2025Q1</t>
        </is>
      </c>
      <c r="F2819" s="2" t="n">
        <v>231373</v>
      </c>
      <c r="G2819" t="inlineStr"/>
      <c r="H2819" t="inlineStr"/>
      <c r="I2819" s="2" t="n">
        <v>19076</v>
      </c>
      <c r="J2819" t="inlineStr"/>
      <c r="K2819" t="inlineStr"/>
      <c r="L2819" s="2" t="n">
        <v>15361</v>
      </c>
      <c r="M2819" t="inlineStr"/>
      <c r="N2819" t="inlineStr">
        <is>
          <t>20250514901057</t>
        </is>
      </c>
      <c r="O2819">
        <f>HYPERLINK("https://dart.fss.or.kr/dsaf001/main.do?rcpNo=20250514901057", "공시열람")</f>
        <v/>
      </c>
    </row>
    <row r="2820">
      <c r="A2820" t="inlineStr">
        <is>
          <t>2025-05-14</t>
        </is>
      </c>
      <c r="B2820" t="inlineStr">
        <is>
          <t>옵티시스</t>
        </is>
      </c>
      <c r="C2820" t="inlineStr">
        <is>
          <t>109080</t>
        </is>
      </c>
      <c r="D2820" t="inlineStr">
        <is>
          <t>별도</t>
        </is>
      </c>
      <c r="E2820" t="inlineStr">
        <is>
          <t>2025Q1</t>
        </is>
      </c>
      <c r="F2820" s="2" t="n">
        <v>6737</v>
      </c>
      <c r="G2820" t="inlineStr"/>
      <c r="H2820" t="inlineStr"/>
      <c r="I2820" s="2" t="n">
        <v>1583</v>
      </c>
      <c r="J2820" t="inlineStr"/>
      <c r="K2820" t="inlineStr"/>
      <c r="L2820" s="2" t="n">
        <v>1995</v>
      </c>
      <c r="M2820" t="inlineStr"/>
      <c r="N2820" t="inlineStr">
        <is>
          <t>20250514900937</t>
        </is>
      </c>
      <c r="O2820">
        <f>HYPERLINK("https://dart.fss.or.kr/dsaf001/main.do?rcpNo=20250514900937", "공시열람")</f>
        <v/>
      </c>
    </row>
    <row r="2821">
      <c r="A2821" t="inlineStr">
        <is>
          <t>2025-05-14</t>
        </is>
      </c>
      <c r="B2821" t="inlineStr">
        <is>
          <t>한국금융지주</t>
        </is>
      </c>
      <c r="C2821" t="inlineStr">
        <is>
          <t>071050</t>
        </is>
      </c>
      <c r="D2821" t="inlineStr">
        <is>
          <t>연결</t>
        </is>
      </c>
      <c r="E2821" t="inlineStr">
        <is>
          <t>2025Q1</t>
        </is>
      </c>
      <c r="F2821" s="2" t="n">
        <v>4973052</v>
      </c>
      <c r="G2821" t="n">
        <v>-30.23</v>
      </c>
      <c r="H2821" t="n">
        <v>-13.13</v>
      </c>
      <c r="I2821" s="2" t="n">
        <v>518838</v>
      </c>
      <c r="J2821" t="n">
        <v>315.19</v>
      </c>
      <c r="K2821" t="n">
        <v>32.41</v>
      </c>
      <c r="L2821" s="2" t="n">
        <v>448213</v>
      </c>
      <c r="M2821" t="n">
        <v>21.57</v>
      </c>
      <c r="N2821" t="inlineStr">
        <is>
          <t>20250514800839</t>
        </is>
      </c>
      <c r="O2821">
        <f>HYPERLINK("https://dart.fss.or.kr/dsaf001/main.do?rcpNo=20250514800839", "공시열람")</f>
        <v/>
      </c>
    </row>
    <row r="2822">
      <c r="A2822" t="inlineStr">
        <is>
          <t>2025-05-14</t>
        </is>
      </c>
      <c r="B2822" t="inlineStr">
        <is>
          <t>한국금융지주</t>
        </is>
      </c>
      <c r="C2822" t="inlineStr">
        <is>
          <t>071050</t>
        </is>
      </c>
      <c r="D2822" t="inlineStr">
        <is>
          <t>연결</t>
        </is>
      </c>
      <c r="E2822" t="inlineStr">
        <is>
          <t>2025Q1</t>
        </is>
      </c>
      <c r="F2822" s="2" t="n">
        <v>5363814</v>
      </c>
      <c r="G2822" t="n">
        <v>-12.99</v>
      </c>
      <c r="H2822" t="n">
        <v>-12.93</v>
      </c>
      <c r="I2822" s="2" t="n">
        <v>529612</v>
      </c>
      <c r="J2822" t="n">
        <v>241.16</v>
      </c>
      <c r="K2822" t="n">
        <v>38.82</v>
      </c>
      <c r="L2822" s="2" t="n">
        <v>459329</v>
      </c>
      <c r="M2822" t="n">
        <v>33.97</v>
      </c>
      <c r="N2822" t="inlineStr">
        <is>
          <t>20250514800816</t>
        </is>
      </c>
      <c r="O2822">
        <f>HYPERLINK("https://dart.fss.or.kr/dsaf001/main.do?rcpNo=20250514800816", "공시열람")</f>
        <v/>
      </c>
    </row>
    <row r="2823">
      <c r="A2823" t="inlineStr">
        <is>
          <t>2025-05-14</t>
        </is>
      </c>
      <c r="B2823" t="inlineStr">
        <is>
          <t>삼성증권</t>
        </is>
      </c>
      <c r="C2823" t="inlineStr">
        <is>
          <t>016360</t>
        </is>
      </c>
      <c r="D2823" t="inlineStr">
        <is>
          <t>연결</t>
        </is>
      </c>
      <c r="E2823" t="inlineStr">
        <is>
          <t>2025Q1</t>
        </is>
      </c>
      <c r="F2823" s="2" t="n">
        <v>3271151</v>
      </c>
      <c r="G2823" t="inlineStr"/>
      <c r="H2823" t="inlineStr"/>
      <c r="I2823" s="2" t="n">
        <v>334642</v>
      </c>
      <c r="J2823" t="inlineStr"/>
      <c r="K2823" t="inlineStr"/>
      <c r="L2823" s="2" t="n">
        <v>248414</v>
      </c>
      <c r="M2823" t="inlineStr"/>
      <c r="N2823" t="inlineStr">
        <is>
          <t>20250514800727</t>
        </is>
      </c>
      <c r="O2823">
        <f>HYPERLINK("https://dart.fss.or.kr/dsaf001/main.do?rcpNo=20250514800727", "공시열람")</f>
        <v/>
      </c>
    </row>
    <row r="2824">
      <c r="A2824" t="inlineStr">
        <is>
          <t>2025-05-14</t>
        </is>
      </c>
      <c r="B2824" t="inlineStr">
        <is>
          <t>고스트스튜디오</t>
        </is>
      </c>
      <c r="C2824" t="inlineStr">
        <is>
          <t>950190</t>
        </is>
      </c>
      <c r="D2824" t="inlineStr">
        <is>
          <t>연결</t>
        </is>
      </c>
      <c r="E2824" t="inlineStr">
        <is>
          <t>2025Q1</t>
        </is>
      </c>
      <c r="F2824" s="2" t="n">
        <v>20706</v>
      </c>
      <c r="G2824" t="inlineStr"/>
      <c r="H2824" t="inlineStr"/>
      <c r="I2824" s="2" t="n">
        <v>4090</v>
      </c>
      <c r="J2824" t="inlineStr"/>
      <c r="K2824" t="inlineStr"/>
      <c r="L2824" s="2" t="n">
        <v>4973</v>
      </c>
      <c r="M2824" t="inlineStr"/>
      <c r="N2824" t="inlineStr">
        <is>
          <t>20250514900706</t>
        </is>
      </c>
      <c r="O2824">
        <f>HYPERLINK("https://dart.fss.or.kr/dsaf001/main.do?rcpNo=20250514900706", "공시열람")</f>
        <v/>
      </c>
    </row>
    <row r="2825">
      <c r="A2825" t="inlineStr">
        <is>
          <t>2025-05-14</t>
        </is>
      </c>
      <c r="B2825" t="inlineStr">
        <is>
          <t>미투온</t>
        </is>
      </c>
      <c r="C2825" t="inlineStr">
        <is>
          <t>201490</t>
        </is>
      </c>
      <c r="D2825" t="inlineStr">
        <is>
          <t>연결</t>
        </is>
      </c>
      <c r="E2825" t="inlineStr">
        <is>
          <t>2025Q1</t>
        </is>
      </c>
      <c r="F2825" s="2" t="n">
        <v>23009</v>
      </c>
      <c r="G2825" t="inlineStr"/>
      <c r="H2825" t="inlineStr"/>
      <c r="I2825" s="2" t="n">
        <v>3326</v>
      </c>
      <c r="J2825" t="inlineStr"/>
      <c r="K2825" t="inlineStr"/>
      <c r="L2825" s="2" t="n">
        <v>4257</v>
      </c>
      <c r="M2825" t="inlineStr"/>
      <c r="N2825" t="inlineStr">
        <is>
          <t>20250514900637</t>
        </is>
      </c>
      <c r="O2825">
        <f>HYPERLINK("https://dart.fss.or.kr/dsaf001/main.do?rcpNo=20250514900637", "공시열람")</f>
        <v/>
      </c>
    </row>
    <row r="2826">
      <c r="A2826" t="inlineStr">
        <is>
          <t>2025-05-14</t>
        </is>
      </c>
      <c r="B2826" t="inlineStr">
        <is>
          <t>한전KPS</t>
        </is>
      </c>
      <c r="C2826" t="inlineStr">
        <is>
          <t>051600</t>
        </is>
      </c>
      <c r="D2826" t="inlineStr">
        <is>
          <t>연결</t>
        </is>
      </c>
      <c r="E2826" t="inlineStr">
        <is>
          <t>2025Q1</t>
        </is>
      </c>
      <c r="F2826" s="2" t="n">
        <v>288014</v>
      </c>
      <c r="G2826" t="n">
        <v>-33.2</v>
      </c>
      <c r="H2826" t="n">
        <v>-16</v>
      </c>
      <c r="I2826" s="2" t="n">
        <v>7800</v>
      </c>
      <c r="J2826" t="n">
        <v>-80.90000000000001</v>
      </c>
      <c r="K2826" t="n">
        <v>-85.09999999999999</v>
      </c>
      <c r="L2826" s="2" t="n">
        <v>11231</v>
      </c>
      <c r="M2826" t="n">
        <v>-74.2</v>
      </c>
      <c r="N2826" t="inlineStr">
        <is>
          <t>20250514801101</t>
        </is>
      </c>
      <c r="O2826">
        <f>HYPERLINK("https://dart.fss.or.kr/dsaf001/main.do?rcpNo=20250514801101", "공시열람")</f>
        <v/>
      </c>
    </row>
    <row r="2827">
      <c r="A2827" t="inlineStr">
        <is>
          <t>2025-05-14</t>
        </is>
      </c>
      <c r="B2827" t="inlineStr">
        <is>
          <t>클리오</t>
        </is>
      </c>
      <c r="C2827" t="inlineStr">
        <is>
          <t>237880</t>
        </is>
      </c>
      <c r="D2827" t="inlineStr">
        <is>
          <t>연결</t>
        </is>
      </c>
      <c r="E2827" t="inlineStr">
        <is>
          <t>2025Q1</t>
        </is>
      </c>
      <c r="F2827" s="2" t="n">
        <v>82336</v>
      </c>
      <c r="G2827" t="inlineStr"/>
      <c r="H2827" t="inlineStr"/>
      <c r="I2827" s="2" t="n">
        <v>1149</v>
      </c>
      <c r="J2827" t="inlineStr"/>
      <c r="K2827" t="inlineStr"/>
      <c r="L2827" s="2" t="n">
        <v>2658</v>
      </c>
      <c r="M2827" t="inlineStr"/>
      <c r="N2827" t="inlineStr">
        <is>
          <t>20250514900574</t>
        </is>
      </c>
      <c r="O2827">
        <f>HYPERLINK("https://dart.fss.or.kr/dsaf001/main.do?rcpNo=20250514900574", "공시열람")</f>
        <v/>
      </c>
    </row>
    <row r="2828">
      <c r="A2828" t="inlineStr">
        <is>
          <t>2025-05-14</t>
        </is>
      </c>
      <c r="B2828" t="inlineStr">
        <is>
          <t>KTis</t>
        </is>
      </c>
      <c r="C2828" t="inlineStr">
        <is>
          <t>058860</t>
        </is>
      </c>
      <c r="D2828" t="inlineStr">
        <is>
          <t>별도</t>
        </is>
      </c>
      <c r="E2828" t="inlineStr">
        <is>
          <t>2025Q1</t>
        </is>
      </c>
      <c r="F2828" s="2" t="n">
        <v>153299</v>
      </c>
      <c r="G2828" t="inlineStr"/>
      <c r="H2828" t="inlineStr"/>
      <c r="I2828" s="2" t="n">
        <v>6473</v>
      </c>
      <c r="J2828" t="inlineStr"/>
      <c r="K2828" t="inlineStr"/>
      <c r="L2828" s="2" t="n">
        <v>4549</v>
      </c>
      <c r="M2828" t="inlineStr"/>
      <c r="N2828" t="inlineStr">
        <is>
          <t>20250514800636</t>
        </is>
      </c>
      <c r="O2828">
        <f>HYPERLINK("https://dart.fss.or.kr/dsaf001/main.do?rcpNo=20250514800636", "공시열람")</f>
        <v/>
      </c>
    </row>
    <row r="2829">
      <c r="A2829" t="inlineStr">
        <is>
          <t>2025-05-14</t>
        </is>
      </c>
      <c r="B2829" t="inlineStr">
        <is>
          <t>케이티알파</t>
        </is>
      </c>
      <c r="C2829" t="inlineStr">
        <is>
          <t>036030</t>
        </is>
      </c>
      <c r="D2829" t="inlineStr">
        <is>
          <t>별도</t>
        </is>
      </c>
      <c r="E2829" t="inlineStr">
        <is>
          <t>2025Q1</t>
        </is>
      </c>
      <c r="F2829" s="2" t="n">
        <v>96547</v>
      </c>
      <c r="G2829" t="inlineStr"/>
      <c r="H2829" t="inlineStr"/>
      <c r="I2829" s="2" t="n">
        <v>12242</v>
      </c>
      <c r="J2829" t="inlineStr"/>
      <c r="K2829" t="inlineStr"/>
      <c r="L2829" s="2" t="n">
        <v>10817</v>
      </c>
      <c r="M2829" t="inlineStr"/>
      <c r="N2829" t="inlineStr">
        <is>
          <t>20250514900634</t>
        </is>
      </c>
      <c r="O2829">
        <f>HYPERLINK("https://dart.fss.or.kr/dsaf001/main.do?rcpNo=20250514900634", "공시열람")</f>
        <v/>
      </c>
    </row>
    <row r="2830">
      <c r="A2830" t="inlineStr">
        <is>
          <t>2025-05-14</t>
        </is>
      </c>
      <c r="B2830" t="inlineStr">
        <is>
          <t>메리츠금융지주</t>
        </is>
      </c>
      <c r="C2830" t="inlineStr">
        <is>
          <t>138040</t>
        </is>
      </c>
      <c r="D2830" t="inlineStr">
        <is>
          <t>연결</t>
        </is>
      </c>
      <c r="E2830" t="inlineStr">
        <is>
          <t>2025Q1</t>
        </is>
      </c>
      <c r="F2830" s="2" t="n">
        <v>8230278</v>
      </c>
      <c r="G2830" t="n">
        <v>-30.7</v>
      </c>
      <c r="H2830" t="n">
        <v>-34.5</v>
      </c>
      <c r="I2830" s="2" t="n">
        <v>721743</v>
      </c>
      <c r="J2830" t="n">
        <v>41.2</v>
      </c>
      <c r="K2830" t="n">
        <v>-6.4</v>
      </c>
      <c r="L2830" s="2" t="n">
        <v>620833</v>
      </c>
      <c r="M2830" t="n">
        <v>5</v>
      </c>
      <c r="N2830" t="inlineStr">
        <is>
          <t>20250514800603</t>
        </is>
      </c>
      <c r="O2830">
        <f>HYPERLINK("https://dart.fss.or.kr/dsaf001/main.do?rcpNo=20250514800603", "공시열람")</f>
        <v/>
      </c>
    </row>
    <row r="2831">
      <c r="A2831" t="inlineStr">
        <is>
          <t>2025-05-14</t>
        </is>
      </c>
      <c r="B2831" t="inlineStr">
        <is>
          <t>메리츠금융지주</t>
        </is>
      </c>
      <c r="C2831" t="inlineStr">
        <is>
          <t>138040</t>
        </is>
      </c>
      <c r="D2831" t="inlineStr">
        <is>
          <t>연결</t>
        </is>
      </c>
      <c r="E2831" t="inlineStr">
        <is>
          <t>2025Q1</t>
        </is>
      </c>
      <c r="F2831" s="2" t="n">
        <v>5195862</v>
      </c>
      <c r="G2831" t="n">
        <v>-43.96</v>
      </c>
      <c r="H2831" t="n">
        <v>-45.77</v>
      </c>
      <c r="I2831" s="2" t="n">
        <v>148198</v>
      </c>
      <c r="J2831" t="n">
        <v>-52.21</v>
      </c>
      <c r="K2831" t="n">
        <v>-4.79</v>
      </c>
      <c r="L2831" s="2" t="n">
        <v>187396</v>
      </c>
      <c r="M2831" t="n">
        <v>48.08</v>
      </c>
      <c r="N2831" t="inlineStr">
        <is>
          <t>20250514800593</t>
        </is>
      </c>
      <c r="O2831">
        <f>HYPERLINK("https://dart.fss.or.kr/dsaf001/main.do?rcpNo=20250514800593", "공시열람")</f>
        <v/>
      </c>
    </row>
    <row r="2832">
      <c r="A2832" t="inlineStr">
        <is>
          <t>2025-05-14</t>
        </is>
      </c>
      <c r="B2832" t="inlineStr">
        <is>
          <t>메리츠금융지주</t>
        </is>
      </c>
      <c r="C2832" t="inlineStr">
        <is>
          <t>138040</t>
        </is>
      </c>
      <c r="D2832" t="inlineStr">
        <is>
          <t>별도</t>
        </is>
      </c>
      <c r="E2832" t="inlineStr">
        <is>
          <t>2025Q1</t>
        </is>
      </c>
      <c r="F2832" s="2" t="n">
        <v>3013698</v>
      </c>
      <c r="G2832" t="n">
        <v>0.4</v>
      </c>
      <c r="H2832" t="n">
        <v>3.5</v>
      </c>
      <c r="I2832" s="2" t="n">
        <v>621907</v>
      </c>
      <c r="J2832" t="n">
        <v>113.6</v>
      </c>
      <c r="K2832" t="n">
        <v>-5.9</v>
      </c>
      <c r="L2832" s="2" t="n">
        <v>462513</v>
      </c>
      <c r="M2832" t="n">
        <v>-5.8</v>
      </c>
      <c r="N2832" t="inlineStr">
        <is>
          <t>20250514800580</t>
        </is>
      </c>
      <c r="O2832">
        <f>HYPERLINK("https://dart.fss.or.kr/dsaf001/main.do?rcpNo=20250514800580", "공시열람")</f>
        <v/>
      </c>
    </row>
    <row r="2833">
      <c r="A2833" t="inlineStr">
        <is>
          <t>2025-05-14</t>
        </is>
      </c>
      <c r="B2833" t="inlineStr">
        <is>
          <t>현대해상</t>
        </is>
      </c>
      <c r="C2833" t="inlineStr">
        <is>
          <t>001450</t>
        </is>
      </c>
      <c r="D2833" t="inlineStr">
        <is>
          <t>별도</t>
        </is>
      </c>
      <c r="E2833" t="inlineStr">
        <is>
          <t>2025Q1</t>
        </is>
      </c>
      <c r="F2833" s="2" t="n">
        <v>4202906</v>
      </c>
      <c r="G2833" t="n">
        <v>-12.4</v>
      </c>
      <c r="H2833" t="n">
        <v>-5.3</v>
      </c>
      <c r="I2833" s="2" t="n">
        <v>285057</v>
      </c>
      <c r="J2833" t="inlineStr"/>
      <c r="K2833" t="n">
        <v>-55.5</v>
      </c>
      <c r="L2833" s="2" t="n">
        <v>203195</v>
      </c>
      <c r="M2833" t="n">
        <v>-57.4</v>
      </c>
      <c r="N2833" t="inlineStr">
        <is>
          <t>20250514800374</t>
        </is>
      </c>
      <c r="O2833">
        <f>HYPERLINK("https://dart.fss.or.kr/dsaf001/main.do?rcpNo=20250514800374", "공시열람")</f>
        <v/>
      </c>
    </row>
    <row r="2834">
      <c r="A2834" t="inlineStr">
        <is>
          <t>2025-05-14</t>
        </is>
      </c>
      <c r="B2834" t="inlineStr">
        <is>
          <t>DB손해보험</t>
        </is>
      </c>
      <c r="C2834" t="inlineStr">
        <is>
          <t>005830</t>
        </is>
      </c>
      <c r="D2834" t="inlineStr">
        <is>
          <t>별도</t>
        </is>
      </c>
      <c r="E2834" t="inlineStr">
        <is>
          <t>2025Q1</t>
        </is>
      </c>
      <c r="F2834" s="2" t="n">
        <v>4974160</v>
      </c>
      <c r="G2834" t="n">
        <v>-3.3</v>
      </c>
      <c r="H2834" t="n">
        <v>7.4</v>
      </c>
      <c r="I2834" s="2" t="n">
        <v>646688</v>
      </c>
      <c r="J2834" t="n">
        <v>127.3</v>
      </c>
      <c r="K2834" t="n">
        <v>-15.6</v>
      </c>
      <c r="L2834" s="2" t="n">
        <v>446987</v>
      </c>
      <c r="M2834" t="n">
        <v>-23.4</v>
      </c>
      <c r="N2834" t="inlineStr">
        <is>
          <t>20250514800285</t>
        </is>
      </c>
      <c r="O2834">
        <f>HYPERLINK("https://dart.fss.or.kr/dsaf001/main.do?rcpNo=20250514800285", "공시열람")</f>
        <v/>
      </c>
    </row>
    <row r="2835">
      <c r="A2835" t="inlineStr">
        <is>
          <t>2025-05-14</t>
        </is>
      </c>
      <c r="B2835" t="inlineStr">
        <is>
          <t>한화손해보험</t>
        </is>
      </c>
      <c r="C2835" t="inlineStr">
        <is>
          <t>000370</t>
        </is>
      </c>
      <c r="D2835" t="inlineStr">
        <is>
          <t>별도</t>
        </is>
      </c>
      <c r="E2835" t="inlineStr">
        <is>
          <t>2025Q1</t>
        </is>
      </c>
      <c r="F2835" s="2" t="n">
        <v>1609270</v>
      </c>
      <c r="G2835" t="n">
        <v>-0.5</v>
      </c>
      <c r="H2835" t="n">
        <v>10.5</v>
      </c>
      <c r="I2835" s="2" t="n">
        <v>187628</v>
      </c>
      <c r="J2835" t="n">
        <v>353.5</v>
      </c>
      <c r="K2835" t="n">
        <v>8.800000000000001</v>
      </c>
      <c r="L2835" s="2" t="n">
        <v>142654</v>
      </c>
      <c r="M2835" t="n">
        <v>14.3</v>
      </c>
      <c r="N2835" t="inlineStr">
        <is>
          <t>20250514800252</t>
        </is>
      </c>
      <c r="O2835">
        <f>HYPERLINK("https://dart.fss.or.kr/dsaf001/main.do?rcpNo=20250514800252", "공시열람")</f>
        <v/>
      </c>
    </row>
    <row r="2836">
      <c r="A2836" t="inlineStr">
        <is>
          <t>2025-05-14</t>
        </is>
      </c>
      <c r="B2836" t="inlineStr">
        <is>
          <t>위메이드플레이</t>
        </is>
      </c>
      <c r="C2836" t="inlineStr">
        <is>
          <t>123420</t>
        </is>
      </c>
      <c r="D2836" t="inlineStr">
        <is>
          <t>연결</t>
        </is>
      </c>
      <c r="E2836" t="inlineStr">
        <is>
          <t>2025Q1</t>
        </is>
      </c>
      <c r="F2836" s="2" t="n">
        <v>32397</v>
      </c>
      <c r="G2836" t="inlineStr"/>
      <c r="H2836" t="inlineStr"/>
      <c r="I2836" s="2" t="n">
        <v>1758</v>
      </c>
      <c r="J2836" t="inlineStr"/>
      <c r="K2836" t="inlineStr"/>
      <c r="L2836" s="2" t="n">
        <v>4090</v>
      </c>
      <c r="M2836" t="inlineStr"/>
      <c r="N2836" t="inlineStr">
        <is>
          <t>20250514900122</t>
        </is>
      </c>
      <c r="O2836">
        <f>HYPERLINK("https://dart.fss.or.kr/dsaf001/main.do?rcpNo=20250514900122", "공시열람")</f>
        <v/>
      </c>
    </row>
    <row r="2837">
      <c r="A2837" t="inlineStr">
        <is>
          <t>2025-05-14</t>
        </is>
      </c>
      <c r="B2837" t="inlineStr">
        <is>
          <t>위메이드맥스</t>
        </is>
      </c>
      <c r="C2837" t="inlineStr">
        <is>
          <t>101730</t>
        </is>
      </c>
      <c r="D2837" t="inlineStr">
        <is>
          <t>연결</t>
        </is>
      </c>
      <c r="E2837" t="inlineStr">
        <is>
          <t>2025Q1</t>
        </is>
      </c>
      <c r="F2837" s="2" t="n">
        <v>47112</v>
      </c>
      <c r="G2837" t="inlineStr"/>
      <c r="H2837" t="inlineStr"/>
      <c r="I2837" s="2" t="n">
        <v>-2395</v>
      </c>
      <c r="J2837" t="inlineStr"/>
      <c r="K2837" t="inlineStr"/>
      <c r="L2837" s="2" t="n">
        <v>-686</v>
      </c>
      <c r="M2837" t="inlineStr"/>
      <c r="N2837" t="inlineStr">
        <is>
          <t>20250514900092</t>
        </is>
      </c>
      <c r="O2837">
        <f>HYPERLINK("https://dart.fss.or.kr/dsaf001/main.do?rcpNo=20250514900092", "공시열람")</f>
        <v/>
      </c>
    </row>
    <row r="2838">
      <c r="A2838" t="inlineStr">
        <is>
          <t>2025-05-14</t>
        </is>
      </c>
      <c r="B2838" t="inlineStr">
        <is>
          <t>위메이드</t>
        </is>
      </c>
      <c r="C2838" t="inlineStr">
        <is>
          <t>112040</t>
        </is>
      </c>
      <c r="D2838" t="inlineStr">
        <is>
          <t>연결</t>
        </is>
      </c>
      <c r="E2838" t="inlineStr">
        <is>
          <t>2025Q1</t>
        </is>
      </c>
      <c r="F2838" s="2" t="n">
        <v>141833</v>
      </c>
      <c r="G2838" t="inlineStr"/>
      <c r="H2838" t="inlineStr"/>
      <c r="I2838" s="2" t="n">
        <v>-11337</v>
      </c>
      <c r="J2838" t="inlineStr"/>
      <c r="K2838" t="inlineStr"/>
      <c r="L2838" s="2" t="n">
        <v>-20621</v>
      </c>
      <c r="M2838" t="inlineStr"/>
      <c r="N2838" t="inlineStr">
        <is>
          <t>20250514900087</t>
        </is>
      </c>
      <c r="O2838">
        <f>HYPERLINK("https://dart.fss.or.kr/dsaf001/main.do?rcpNo=20250514900087", "공시열람")</f>
        <v/>
      </c>
    </row>
    <row r="2839">
      <c r="A2839" t="inlineStr">
        <is>
          <t>2025-05-14</t>
        </is>
      </c>
      <c r="B2839" t="inlineStr">
        <is>
          <t>더블유게임즈</t>
        </is>
      </c>
      <c r="C2839" t="inlineStr">
        <is>
          <t>192080</t>
        </is>
      </c>
      <c r="D2839" t="inlineStr">
        <is>
          <t>별도</t>
        </is>
      </c>
      <c r="E2839" t="inlineStr">
        <is>
          <t>2025Q1</t>
        </is>
      </c>
      <c r="F2839" s="2" t="n">
        <v>43911</v>
      </c>
      <c r="G2839" t="n">
        <v>-1.1</v>
      </c>
      <c r="H2839" t="n">
        <v>-3.8</v>
      </c>
      <c r="I2839" s="2" t="n">
        <v>11823</v>
      </c>
      <c r="J2839" t="n">
        <v>-10.3</v>
      </c>
      <c r="K2839" t="n">
        <v>-40.1</v>
      </c>
      <c r="L2839" s="2" t="n">
        <v>11040</v>
      </c>
      <c r="M2839" t="n">
        <v>-45.5</v>
      </c>
      <c r="N2839" t="inlineStr">
        <is>
          <t>20250514800012</t>
        </is>
      </c>
      <c r="O2839">
        <f>HYPERLINK("https://dart.fss.or.kr/dsaf001/main.do?rcpNo=20250514800012", "공시열람")</f>
        <v/>
      </c>
    </row>
    <row r="2840">
      <c r="A2840" t="inlineStr">
        <is>
          <t>2025-05-14</t>
        </is>
      </c>
      <c r="B2840" t="inlineStr">
        <is>
          <t>더블유게임즈</t>
        </is>
      </c>
      <c r="C2840" t="inlineStr">
        <is>
          <t>192080</t>
        </is>
      </c>
      <c r="D2840" t="inlineStr">
        <is>
          <t>연결</t>
        </is>
      </c>
      <c r="E2840" t="inlineStr">
        <is>
          <t>2025Q1</t>
        </is>
      </c>
      <c r="F2840" s="2" t="n">
        <v>161980</v>
      </c>
      <c r="G2840" t="n">
        <v>4</v>
      </c>
      <c r="H2840" t="n">
        <v>0.9</v>
      </c>
      <c r="I2840" s="2" t="n">
        <v>54754</v>
      </c>
      <c r="J2840" t="n">
        <v>-9.5</v>
      </c>
      <c r="K2840" t="n">
        <v>-11.2</v>
      </c>
      <c r="L2840" s="2" t="n">
        <v>45798</v>
      </c>
      <c r="M2840" t="n">
        <v>-24.2</v>
      </c>
      <c r="N2840" t="inlineStr">
        <is>
          <t>20250514800011</t>
        </is>
      </c>
      <c r="O2840">
        <f>HYPERLINK("https://dart.fss.or.kr/dsaf001/main.do?rcpNo=20250514800011", "공시열람")</f>
        <v/>
      </c>
    </row>
    <row r="2841">
      <c r="A2841" t="inlineStr">
        <is>
          <t>2025-05-14</t>
        </is>
      </c>
      <c r="B2841" t="inlineStr">
        <is>
          <t>NC</t>
        </is>
      </c>
      <c r="C2841" t="inlineStr">
        <is>
          <t>036570</t>
        </is>
      </c>
      <c r="D2841" t="inlineStr">
        <is>
          <t>연결</t>
        </is>
      </c>
      <c r="E2841" t="inlineStr">
        <is>
          <t>2025Q1</t>
        </is>
      </c>
      <c r="F2841" s="2" t="n">
        <v>360278</v>
      </c>
      <c r="G2841" t="inlineStr"/>
      <c r="H2841" t="inlineStr"/>
      <c r="I2841" s="2" t="n">
        <v>5220</v>
      </c>
      <c r="J2841" t="inlineStr"/>
      <c r="K2841" t="inlineStr"/>
      <c r="L2841" s="2" t="n">
        <v>37507</v>
      </c>
      <c r="M2841" t="inlineStr"/>
      <c r="N2841" t="inlineStr">
        <is>
          <t>20250514800010</t>
        </is>
      </c>
      <c r="O2841">
        <f>HYPERLINK("https://dart.fss.or.kr/dsaf001/main.do?rcpNo=20250514800010", "공시열람")</f>
        <v/>
      </c>
    </row>
    <row r="2842">
      <c r="A2842" t="inlineStr">
        <is>
          <t>2025-05-14</t>
        </is>
      </c>
      <c r="B2842" t="inlineStr">
        <is>
          <t>펄어비스</t>
        </is>
      </c>
      <c r="C2842" t="inlineStr">
        <is>
          <t>263750</t>
        </is>
      </c>
      <c r="D2842" t="inlineStr">
        <is>
          <t>연결</t>
        </is>
      </c>
      <c r="E2842" t="inlineStr">
        <is>
          <t>2025Q1</t>
        </is>
      </c>
      <c r="F2842" s="2" t="n">
        <v>83685</v>
      </c>
      <c r="G2842" t="inlineStr"/>
      <c r="H2842" t="inlineStr"/>
      <c r="I2842" s="2" t="n">
        <v>-5242</v>
      </c>
      <c r="J2842" t="inlineStr"/>
      <c r="K2842" t="inlineStr"/>
      <c r="L2842" s="2" t="n">
        <v>499</v>
      </c>
      <c r="M2842" t="inlineStr"/>
      <c r="N2842" t="inlineStr">
        <is>
          <t>20250514900001</t>
        </is>
      </c>
      <c r="O2842">
        <f>HYPERLINK("https://dart.fss.or.kr/dsaf001/main.do?rcpNo=20250514900001", "공시열람")</f>
        <v/>
      </c>
    </row>
    <row r="2843">
      <c r="A2843" t="inlineStr">
        <is>
          <t>2025-05-14</t>
        </is>
      </c>
      <c r="B2843" t="inlineStr">
        <is>
          <t>삼성화재해상보험</t>
        </is>
      </c>
      <c r="C2843" t="inlineStr">
        <is>
          <t>000810</t>
        </is>
      </c>
      <c r="D2843" t="inlineStr">
        <is>
          <t>연결</t>
        </is>
      </c>
      <c r="E2843" t="inlineStr">
        <is>
          <t>2025Q1</t>
        </is>
      </c>
      <c r="F2843" s="2" t="n">
        <v>6105845</v>
      </c>
      <c r="G2843" t="n">
        <v>-3</v>
      </c>
      <c r="H2843" t="n">
        <v>10.9</v>
      </c>
      <c r="I2843" s="2" t="n">
        <v>792356</v>
      </c>
      <c r="J2843" t="n">
        <v>213.4</v>
      </c>
      <c r="K2843" t="n">
        <v>-11.7</v>
      </c>
      <c r="L2843" s="2" t="n">
        <v>609031</v>
      </c>
      <c r="M2843" t="n">
        <v>-13.2</v>
      </c>
      <c r="N2843" t="inlineStr">
        <is>
          <t>20250514800008</t>
        </is>
      </c>
      <c r="O2843">
        <f>HYPERLINK("https://dart.fss.or.kr/dsaf001/main.do?rcpNo=20250514800008", "공시열람")</f>
        <v/>
      </c>
    </row>
    <row r="2844">
      <c r="A2844" t="inlineStr">
        <is>
          <t>2025-05-13</t>
        </is>
      </c>
      <c r="B2844" t="inlineStr">
        <is>
          <t>컴투스</t>
        </is>
      </c>
      <c r="C2844" t="inlineStr">
        <is>
          <t>078340</t>
        </is>
      </c>
      <c r="D2844" t="inlineStr">
        <is>
          <t>별도</t>
        </is>
      </c>
      <c r="E2844" t="inlineStr">
        <is>
          <t>2025Q1</t>
        </is>
      </c>
      <c r="F2844" s="2" t="n">
        <v>130550</v>
      </c>
      <c r="G2844" t="inlineStr"/>
      <c r="H2844" t="inlineStr"/>
      <c r="I2844" s="2" t="n">
        <v>5239</v>
      </c>
      <c r="J2844" t="inlineStr"/>
      <c r="K2844" t="inlineStr"/>
      <c r="L2844" s="2" t="n">
        <v>15333</v>
      </c>
      <c r="M2844" t="inlineStr"/>
      <c r="N2844" t="inlineStr">
        <is>
          <t>20250513900831</t>
        </is>
      </c>
      <c r="O2844">
        <f>HYPERLINK("https://dart.fss.or.kr/dsaf001/main.do?rcpNo=20250513900831", "공시열람")</f>
        <v/>
      </c>
    </row>
    <row r="2845">
      <c r="A2845" t="inlineStr">
        <is>
          <t>2025-05-13</t>
        </is>
      </c>
      <c r="B2845" t="inlineStr">
        <is>
          <t>신세계</t>
        </is>
      </c>
      <c r="C2845" t="inlineStr">
        <is>
          <t>004170</t>
        </is>
      </c>
      <c r="D2845" t="inlineStr">
        <is>
          <t>연결</t>
        </is>
      </c>
      <c r="E2845" t="inlineStr">
        <is>
          <t>2025Q1</t>
        </is>
      </c>
      <c r="F2845" s="2" t="n">
        <v>1665840</v>
      </c>
      <c r="G2845" t="n">
        <v>-8.529999999999999</v>
      </c>
      <c r="H2845" t="n">
        <v>3.81</v>
      </c>
      <c r="I2845" s="2" t="n">
        <v>132333</v>
      </c>
      <c r="J2845" t="n">
        <v>27.72</v>
      </c>
      <c r="K2845" t="n">
        <v>-18.81</v>
      </c>
      <c r="L2845" s="2" t="n">
        <v>77096</v>
      </c>
      <c r="M2845" t="n">
        <v>-40.52</v>
      </c>
      <c r="N2845" t="inlineStr">
        <is>
          <t>20250513800338</t>
        </is>
      </c>
      <c r="O2845">
        <f>HYPERLINK("https://dart.fss.or.kr/dsaf001/main.do?rcpNo=20250513800338", "공시열람")</f>
        <v/>
      </c>
    </row>
    <row r="2846">
      <c r="A2846" t="inlineStr">
        <is>
          <t>2025-05-13</t>
        </is>
      </c>
      <c r="B2846" t="inlineStr">
        <is>
          <t>NHN KCP</t>
        </is>
      </c>
      <c r="C2846" t="inlineStr">
        <is>
          <t>060250</t>
        </is>
      </c>
      <c r="D2846" t="inlineStr">
        <is>
          <t>연결</t>
        </is>
      </c>
      <c r="E2846" t="inlineStr">
        <is>
          <t>2025Q1</t>
        </is>
      </c>
      <c r="F2846" s="2" t="n">
        <v>281071</v>
      </c>
      <c r="G2846" t="inlineStr"/>
      <c r="H2846" t="inlineStr"/>
      <c r="I2846" s="2" t="n">
        <v>10907</v>
      </c>
      <c r="J2846" t="inlineStr"/>
      <c r="K2846" t="inlineStr"/>
      <c r="L2846" s="2" t="n">
        <v>9945</v>
      </c>
      <c r="M2846" t="inlineStr"/>
      <c r="N2846" t="inlineStr">
        <is>
          <t>20250513900006</t>
        </is>
      </c>
      <c r="O2846">
        <f>HYPERLINK("https://dart.fss.or.kr/dsaf001/main.do?rcpNo=20250513900006", "공시열람")</f>
        <v/>
      </c>
    </row>
    <row r="2847">
      <c r="A2847" t="inlineStr">
        <is>
          <t>2025-05-13</t>
        </is>
      </c>
      <c r="B2847" t="inlineStr">
        <is>
          <t>NHN</t>
        </is>
      </c>
      <c r="C2847" t="inlineStr">
        <is>
          <t>181710</t>
        </is>
      </c>
      <c r="D2847" t="inlineStr">
        <is>
          <t>연결</t>
        </is>
      </c>
      <c r="E2847" t="inlineStr">
        <is>
          <t>2025Q1</t>
        </is>
      </c>
      <c r="F2847" s="2" t="n">
        <v>600129</v>
      </c>
      <c r="G2847" t="inlineStr"/>
      <c r="H2847" t="inlineStr"/>
      <c r="I2847" s="2" t="n">
        <v>27646</v>
      </c>
      <c r="J2847" t="inlineStr"/>
      <c r="K2847" t="inlineStr"/>
      <c r="L2847" s="2" t="n">
        <v>-238</v>
      </c>
      <c r="M2847" t="inlineStr"/>
      <c r="N2847" t="inlineStr">
        <is>
          <t>20250513800030</t>
        </is>
      </c>
      <c r="O2847">
        <f>HYPERLINK("https://dart.fss.or.kr/dsaf001/main.do?rcpNo=20250513800030", "공시열람")</f>
        <v/>
      </c>
    </row>
    <row r="2848">
      <c r="A2848" t="inlineStr">
        <is>
          <t>2025-05-13</t>
        </is>
      </c>
      <c r="B2848" t="inlineStr">
        <is>
          <t>CJ씨푸드</t>
        </is>
      </c>
      <c r="C2848" t="inlineStr">
        <is>
          <t>011150</t>
        </is>
      </c>
      <c r="D2848" t="inlineStr">
        <is>
          <t>연결</t>
        </is>
      </c>
      <c r="E2848" t="inlineStr">
        <is>
          <t>2025Q1</t>
        </is>
      </c>
      <c r="F2848" s="2" t="n">
        <v>52528</v>
      </c>
      <c r="G2848" t="n">
        <v>31</v>
      </c>
      <c r="H2848" t="n">
        <v>0.1</v>
      </c>
      <c r="I2848" s="2" t="n">
        <v>-1000</v>
      </c>
      <c r="J2848" t="inlineStr"/>
      <c r="K2848" t="inlineStr"/>
      <c r="L2848" s="2" t="n">
        <v>231</v>
      </c>
      <c r="M2848" t="n">
        <v>-83.8</v>
      </c>
      <c r="N2848" t="inlineStr">
        <is>
          <t>20250513800305</t>
        </is>
      </c>
      <c r="O2848">
        <f>HYPERLINK("https://dart.fss.or.kr/dsaf001/main.do?rcpNo=20250513800305", "공시열람")</f>
        <v/>
      </c>
    </row>
    <row r="2849">
      <c r="A2849" t="inlineStr">
        <is>
          <t>2025-05-13</t>
        </is>
      </c>
      <c r="B2849" t="inlineStr">
        <is>
          <t>KT나스미디어</t>
        </is>
      </c>
      <c r="C2849" t="inlineStr">
        <is>
          <t>089600</t>
        </is>
      </c>
      <c r="D2849" t="inlineStr">
        <is>
          <t>별도</t>
        </is>
      </c>
      <c r="E2849" t="inlineStr">
        <is>
          <t>2025Q1</t>
        </is>
      </c>
      <c r="F2849" s="2" t="n">
        <v>23511</v>
      </c>
      <c r="G2849" t="inlineStr"/>
      <c r="H2849" t="inlineStr"/>
      <c r="I2849" s="2" t="n">
        <v>2432</v>
      </c>
      <c r="J2849" t="inlineStr"/>
      <c r="K2849" t="inlineStr"/>
      <c r="L2849" s="2" t="n">
        <v>2894</v>
      </c>
      <c r="M2849" t="inlineStr"/>
      <c r="N2849" t="inlineStr">
        <is>
          <t>20250513900932</t>
        </is>
      </c>
      <c r="O2849">
        <f>HYPERLINK("https://dart.fss.or.kr/dsaf001/main.do?rcpNo=20250513900932", "공시열람")</f>
        <v/>
      </c>
    </row>
    <row r="2850">
      <c r="A2850" t="inlineStr">
        <is>
          <t>2025-05-13</t>
        </is>
      </c>
      <c r="B2850" t="inlineStr">
        <is>
          <t>KT나스미디어</t>
        </is>
      </c>
      <c r="C2850" t="inlineStr">
        <is>
          <t>089600</t>
        </is>
      </c>
      <c r="D2850" t="inlineStr">
        <is>
          <t>연결</t>
        </is>
      </c>
      <c r="E2850" t="inlineStr">
        <is>
          <t>2025Q1</t>
        </is>
      </c>
      <c r="F2850" s="2" t="n">
        <v>23511</v>
      </c>
      <c r="G2850" t="inlineStr"/>
      <c r="H2850" t="inlineStr"/>
      <c r="I2850" s="2" t="n">
        <v>2420</v>
      </c>
      <c r="J2850" t="inlineStr"/>
      <c r="K2850" t="inlineStr"/>
      <c r="L2850" s="2" t="n">
        <v>2966</v>
      </c>
      <c r="M2850" t="inlineStr"/>
      <c r="N2850" t="inlineStr">
        <is>
          <t>20250513900934</t>
        </is>
      </c>
      <c r="O2850">
        <f>HYPERLINK("https://dart.fss.or.kr/dsaf001/main.do?rcpNo=20250513900934", "공시열람")</f>
        <v/>
      </c>
    </row>
    <row r="2851">
      <c r="A2851" t="inlineStr">
        <is>
          <t>2025-05-13</t>
        </is>
      </c>
      <c r="B2851" t="inlineStr">
        <is>
          <t>광동제약</t>
        </is>
      </c>
      <c r="C2851" t="inlineStr">
        <is>
          <t>009290</t>
        </is>
      </c>
      <c r="D2851" t="inlineStr">
        <is>
          <t>연결</t>
        </is>
      </c>
      <c r="E2851" t="inlineStr">
        <is>
          <t>2025Q1</t>
        </is>
      </c>
      <c r="F2851" s="2" t="n">
        <v>377604</v>
      </c>
      <c r="G2851" t="n">
        <v>-3.4</v>
      </c>
      <c r="H2851" t="n">
        <v>-8.5</v>
      </c>
      <c r="I2851" s="2" t="n">
        <v>3309</v>
      </c>
      <c r="J2851" t="n">
        <v>-50.3</v>
      </c>
      <c r="K2851" t="n">
        <v>-80.59999999999999</v>
      </c>
      <c r="L2851" s="2" t="n">
        <v>4061</v>
      </c>
      <c r="M2851" t="n">
        <v>-77.90000000000001</v>
      </c>
      <c r="N2851" t="inlineStr">
        <is>
          <t>20250513800915</t>
        </is>
      </c>
      <c r="O2851">
        <f>HYPERLINK("https://dart.fss.or.kr/dsaf001/main.do?rcpNo=20250513800915", "공시열람")</f>
        <v/>
      </c>
    </row>
    <row r="2852">
      <c r="A2852" t="inlineStr">
        <is>
          <t>2025-05-13</t>
        </is>
      </c>
      <c r="B2852" t="inlineStr">
        <is>
          <t>대신증권</t>
        </is>
      </c>
      <c r="C2852" t="inlineStr">
        <is>
          <t>003540</t>
        </is>
      </c>
      <c r="D2852" t="inlineStr">
        <is>
          <t>연결</t>
        </is>
      </c>
      <c r="E2852" t="inlineStr">
        <is>
          <t>2025Q1</t>
        </is>
      </c>
      <c r="F2852" s="2" t="n">
        <v>1124734</v>
      </c>
      <c r="G2852" t="n">
        <v>3.4</v>
      </c>
      <c r="H2852" t="n">
        <v>4.5</v>
      </c>
      <c r="I2852" s="2" t="n">
        <v>38788</v>
      </c>
      <c r="J2852" t="inlineStr"/>
      <c r="K2852" t="n">
        <v>-46.9</v>
      </c>
      <c r="L2852" s="2" t="n">
        <v>76867</v>
      </c>
      <c r="M2852" t="n">
        <v>44.8</v>
      </c>
      <c r="N2852" t="inlineStr">
        <is>
          <t>20250513800752</t>
        </is>
      </c>
      <c r="O2852">
        <f>HYPERLINK("https://dart.fss.or.kr/dsaf001/main.do?rcpNo=20250513800752", "공시열람")</f>
        <v/>
      </c>
    </row>
    <row r="2853">
      <c r="A2853" t="inlineStr">
        <is>
          <t>2025-05-13</t>
        </is>
      </c>
      <c r="B2853" t="inlineStr">
        <is>
          <t>한국공항</t>
        </is>
      </c>
      <c r="C2853" t="inlineStr">
        <is>
          <t>005430</t>
        </is>
      </c>
      <c r="D2853" t="inlineStr">
        <is>
          <t>연결</t>
        </is>
      </c>
      <c r="E2853" t="inlineStr">
        <is>
          <t>2025Q1</t>
        </is>
      </c>
      <c r="F2853" s="2" t="n">
        <v>156868</v>
      </c>
      <c r="G2853" t="n">
        <v>-7.36</v>
      </c>
      <c r="H2853" t="n">
        <v>4.62</v>
      </c>
      <c r="I2853" s="2" t="n">
        <v>14527</v>
      </c>
      <c r="J2853" t="inlineStr"/>
      <c r="K2853" t="n">
        <v>-2.99</v>
      </c>
      <c r="L2853" s="2" t="n">
        <v>11446</v>
      </c>
      <c r="M2853" t="n">
        <v>-12.08</v>
      </c>
      <c r="N2853" t="inlineStr">
        <is>
          <t>20250513800745</t>
        </is>
      </c>
      <c r="O2853">
        <f>HYPERLINK("https://dart.fss.or.kr/dsaf001/main.do?rcpNo=20250513800745", "공시열람")</f>
        <v/>
      </c>
    </row>
    <row r="2854">
      <c r="A2854" t="inlineStr">
        <is>
          <t>2025-05-13</t>
        </is>
      </c>
      <c r="B2854" t="inlineStr">
        <is>
          <t>바텍</t>
        </is>
      </c>
      <c r="C2854" t="inlineStr">
        <is>
          <t>043150</t>
        </is>
      </c>
      <c r="D2854" t="inlineStr">
        <is>
          <t>연결</t>
        </is>
      </c>
      <c r="E2854" t="inlineStr">
        <is>
          <t>2025Q1</t>
        </is>
      </c>
      <c r="F2854" s="2" t="n">
        <v>101316</v>
      </c>
      <c r="G2854" t="inlineStr"/>
      <c r="H2854" t="inlineStr"/>
      <c r="I2854" s="2" t="n">
        <v>13206</v>
      </c>
      <c r="J2854" t="inlineStr"/>
      <c r="K2854" t="inlineStr"/>
      <c r="L2854" s="2" t="n">
        <v>11674</v>
      </c>
      <c r="M2854" t="inlineStr"/>
      <c r="N2854" t="inlineStr">
        <is>
          <t>20250513900614</t>
        </is>
      </c>
      <c r="O2854">
        <f>HYPERLINK("https://dart.fss.or.kr/dsaf001/main.do?rcpNo=20250513900614", "공시열람")</f>
        <v/>
      </c>
    </row>
    <row r="2855">
      <c r="A2855" t="inlineStr">
        <is>
          <t>2025-05-13</t>
        </is>
      </c>
      <c r="B2855" t="inlineStr">
        <is>
          <t>아이마켓코리아</t>
        </is>
      </c>
      <c r="C2855" t="inlineStr">
        <is>
          <t>122900</t>
        </is>
      </c>
      <c r="D2855" t="inlineStr">
        <is>
          <t>연결</t>
        </is>
      </c>
      <c r="E2855" t="inlineStr">
        <is>
          <t>2025Q1</t>
        </is>
      </c>
      <c r="F2855" s="2" t="n">
        <v>747505</v>
      </c>
      <c r="G2855" t="n">
        <v>-8.369999999999999</v>
      </c>
      <c r="H2855" t="n">
        <v>-17.14</v>
      </c>
      <c r="I2855" s="2" t="n">
        <v>9727</v>
      </c>
      <c r="J2855" t="n">
        <v>-21.64</v>
      </c>
      <c r="K2855" t="n">
        <v>-20.74</v>
      </c>
      <c r="L2855" s="2" t="n">
        <v>3761</v>
      </c>
      <c r="M2855" t="n">
        <v>-50.4</v>
      </c>
      <c r="N2855" t="inlineStr">
        <is>
          <t>20250513800617</t>
        </is>
      </c>
      <c r="O2855">
        <f>HYPERLINK("https://dart.fss.or.kr/dsaf001/main.do?rcpNo=20250513800617", "공시열람")</f>
        <v/>
      </c>
    </row>
    <row r="2856">
      <c r="A2856" t="inlineStr">
        <is>
          <t>2025-05-13</t>
        </is>
      </c>
      <c r="B2856" t="inlineStr">
        <is>
          <t>쏘카</t>
        </is>
      </c>
      <c r="C2856" t="inlineStr">
        <is>
          <t>403550</t>
        </is>
      </c>
      <c r="D2856" t="inlineStr">
        <is>
          <t>연결</t>
        </is>
      </c>
      <c r="E2856" t="inlineStr">
        <is>
          <t>2025Q1</t>
        </is>
      </c>
      <c r="F2856" s="2" t="n">
        <v>131505</v>
      </c>
      <c r="G2856" t="n">
        <v>7.4</v>
      </c>
      <c r="H2856" t="n">
        <v>45.2</v>
      </c>
      <c r="I2856" s="2" t="n">
        <v>1414</v>
      </c>
      <c r="J2856" t="n">
        <v>-52.3</v>
      </c>
      <c r="K2856" t="inlineStr"/>
      <c r="L2856" s="2" t="n">
        <v>-3513</v>
      </c>
      <c r="M2856" t="n">
        <v>79</v>
      </c>
      <c r="N2856" t="inlineStr">
        <is>
          <t>20250513800567</t>
        </is>
      </c>
      <c r="O2856">
        <f>HYPERLINK("https://dart.fss.or.kr/dsaf001/main.do?rcpNo=20250513800567", "공시열람")</f>
        <v/>
      </c>
    </row>
    <row r="2857">
      <c r="A2857" t="inlineStr">
        <is>
          <t>2025-05-13</t>
        </is>
      </c>
      <c r="B2857" t="inlineStr">
        <is>
          <t>레이언스</t>
        </is>
      </c>
      <c r="C2857" t="inlineStr">
        <is>
          <t>228850</t>
        </is>
      </c>
      <c r="D2857" t="inlineStr">
        <is>
          <t>연결</t>
        </is>
      </c>
      <c r="E2857" t="inlineStr">
        <is>
          <t>2025Q1</t>
        </is>
      </c>
      <c r="F2857" s="2" t="n">
        <v>27247</v>
      </c>
      <c r="G2857" t="inlineStr"/>
      <c r="H2857" t="inlineStr"/>
      <c r="I2857" s="2" t="n">
        <v>-1731</v>
      </c>
      <c r="J2857" t="inlineStr"/>
      <c r="K2857" t="inlineStr"/>
      <c r="L2857" s="2" t="n">
        <v>224</v>
      </c>
      <c r="M2857" t="inlineStr"/>
      <c r="N2857" t="inlineStr">
        <is>
          <t>20250513900610</t>
        </is>
      </c>
      <c r="O2857">
        <f>HYPERLINK("https://dart.fss.or.kr/dsaf001/main.do?rcpNo=20250513900610", "공시열람")</f>
        <v/>
      </c>
    </row>
    <row r="2858">
      <c r="A2858" t="inlineStr">
        <is>
          <t>2025-05-13</t>
        </is>
      </c>
      <c r="B2858" t="inlineStr">
        <is>
          <t>롯데케미칼</t>
        </is>
      </c>
      <c r="C2858" t="inlineStr">
        <is>
          <t>011170</t>
        </is>
      </c>
      <c r="D2858" t="inlineStr">
        <is>
          <t>연결</t>
        </is>
      </c>
      <c r="E2858" t="inlineStr">
        <is>
          <t>2025Q1</t>
        </is>
      </c>
      <c r="F2858" s="2" t="n">
        <v>4901761</v>
      </c>
      <c r="G2858" t="n">
        <v>0.1</v>
      </c>
      <c r="H2858" t="n">
        <v>-3.6</v>
      </c>
      <c r="I2858" s="2" t="n">
        <v>-126600</v>
      </c>
      <c r="J2858" t="n">
        <v>45.9</v>
      </c>
      <c r="K2858" t="n">
        <v>6.4</v>
      </c>
      <c r="L2858" s="2" t="n">
        <v>-246315</v>
      </c>
      <c r="M2858" t="n">
        <v>-307.5</v>
      </c>
      <c r="N2858" t="inlineStr">
        <is>
          <t>20250513800576</t>
        </is>
      </c>
      <c r="O2858">
        <f>HYPERLINK("https://dart.fss.or.kr/dsaf001/main.do?rcpNo=20250513800576", "공시열람")</f>
        <v/>
      </c>
    </row>
    <row r="2859">
      <c r="A2859" t="inlineStr">
        <is>
          <t>2025-05-13</t>
        </is>
      </c>
      <c r="B2859" t="inlineStr">
        <is>
          <t>코스맥스엔비티</t>
        </is>
      </c>
      <c r="C2859" t="inlineStr">
        <is>
          <t>222040</t>
        </is>
      </c>
      <c r="D2859" t="inlineStr">
        <is>
          <t>연결</t>
        </is>
      </c>
      <c r="E2859" t="inlineStr">
        <is>
          <t>2025Q1</t>
        </is>
      </c>
      <c r="F2859" s="2" t="n">
        <v>72177</v>
      </c>
      <c r="G2859" t="inlineStr"/>
      <c r="H2859" t="inlineStr"/>
      <c r="I2859" s="2" t="n">
        <v>871</v>
      </c>
      <c r="J2859" t="inlineStr"/>
      <c r="K2859" t="inlineStr"/>
      <c r="L2859" s="2" t="n">
        <v>-2287</v>
      </c>
      <c r="M2859" t="inlineStr"/>
      <c r="N2859" t="inlineStr">
        <is>
          <t>20250513900570</t>
        </is>
      </c>
      <c r="O2859">
        <f>HYPERLINK("https://dart.fss.or.kr/dsaf001/main.do?rcpNo=20250513900570", "공시열람")</f>
        <v/>
      </c>
    </row>
    <row r="2860">
      <c r="A2860" t="inlineStr">
        <is>
          <t>2025-05-13</t>
        </is>
      </c>
      <c r="B2860" t="inlineStr">
        <is>
          <t>코스맥스</t>
        </is>
      </c>
      <c r="C2860" t="inlineStr">
        <is>
          <t>192820</t>
        </is>
      </c>
      <c r="D2860" t="inlineStr">
        <is>
          <t>연결</t>
        </is>
      </c>
      <c r="E2860" t="inlineStr">
        <is>
          <t>2025Q1</t>
        </is>
      </c>
      <c r="F2860" s="2" t="n">
        <v>588574</v>
      </c>
      <c r="G2860" t="n">
        <v>5.48</v>
      </c>
      <c r="H2860" t="n">
        <v>11.73</v>
      </c>
      <c r="I2860" s="2" t="n">
        <v>51346</v>
      </c>
      <c r="J2860" t="n">
        <v>28.96</v>
      </c>
      <c r="K2860" t="n">
        <v>12.97</v>
      </c>
      <c r="L2860" s="2" t="n">
        <v>10629</v>
      </c>
      <c r="M2860" t="n">
        <v>-45.82</v>
      </c>
      <c r="N2860" t="inlineStr">
        <is>
          <t>20250513800554</t>
        </is>
      </c>
      <c r="O2860">
        <f>HYPERLINK("https://dart.fss.or.kr/dsaf001/main.do?rcpNo=20250513800554", "공시열람")</f>
        <v/>
      </c>
    </row>
    <row r="2861">
      <c r="A2861" t="inlineStr">
        <is>
          <t>2025-05-13</t>
        </is>
      </c>
      <c r="B2861" t="inlineStr">
        <is>
          <t>한국가스공사</t>
        </is>
      </c>
      <c r="C2861" t="inlineStr">
        <is>
          <t>036460</t>
        </is>
      </c>
      <c r="D2861" t="inlineStr">
        <is>
          <t>연결</t>
        </is>
      </c>
      <c r="E2861" t="inlineStr">
        <is>
          <t>2025Q1</t>
        </is>
      </c>
      <c r="F2861" s="2" t="n">
        <v>12732709</v>
      </c>
      <c r="G2861" t="n">
        <v>27.6</v>
      </c>
      <c r="H2861" t="n">
        <v>-0.6</v>
      </c>
      <c r="I2861" s="2" t="n">
        <v>833934</v>
      </c>
      <c r="J2861" t="n">
        <v>-29.1</v>
      </c>
      <c r="K2861" t="n">
        <v>-9.5</v>
      </c>
      <c r="L2861" s="2" t="n">
        <v>367175</v>
      </c>
      <c r="M2861" t="n">
        <v>-9.800000000000001</v>
      </c>
      <c r="N2861" t="inlineStr">
        <is>
          <t>20250513800571</t>
        </is>
      </c>
      <c r="O2861">
        <f>HYPERLINK("https://dart.fss.or.kr/dsaf001/main.do?rcpNo=20250513800571", "공시열람")</f>
        <v/>
      </c>
    </row>
    <row r="2862">
      <c r="A2862" t="inlineStr">
        <is>
          <t>2025-05-13</t>
        </is>
      </c>
      <c r="B2862" t="inlineStr">
        <is>
          <t>웹젠</t>
        </is>
      </c>
      <c r="C2862" t="inlineStr">
        <is>
          <t>069080</t>
        </is>
      </c>
      <c r="D2862" t="inlineStr">
        <is>
          <t>연결</t>
        </is>
      </c>
      <c r="E2862" t="inlineStr">
        <is>
          <t>2025Q1</t>
        </is>
      </c>
      <c r="F2862" s="2" t="n">
        <v>41554</v>
      </c>
      <c r="G2862" t="inlineStr"/>
      <c r="H2862" t="inlineStr"/>
      <c r="I2862" s="2" t="n">
        <v>8903</v>
      </c>
      <c r="J2862" t="inlineStr"/>
      <c r="K2862" t="inlineStr"/>
      <c r="L2862" s="2" t="n">
        <v>1268</v>
      </c>
      <c r="M2862" t="inlineStr"/>
      <c r="N2862" t="inlineStr">
        <is>
          <t>20250513900569</t>
        </is>
      </c>
      <c r="O2862">
        <f>HYPERLINK("https://dart.fss.or.kr/dsaf001/main.do?rcpNo=20250513900569", "공시열람")</f>
        <v/>
      </c>
    </row>
    <row r="2863">
      <c r="A2863" t="inlineStr">
        <is>
          <t>2025-05-13</t>
        </is>
      </c>
      <c r="B2863" t="inlineStr">
        <is>
          <t>SK네트웍스</t>
        </is>
      </c>
      <c r="C2863" t="inlineStr">
        <is>
          <t>001740</t>
        </is>
      </c>
      <c r="D2863" t="inlineStr">
        <is>
          <t>연결</t>
        </is>
      </c>
      <c r="E2863" t="inlineStr">
        <is>
          <t>2025Q1</t>
        </is>
      </c>
      <c r="F2863" s="2" t="n">
        <v>1636685</v>
      </c>
      <c r="G2863" t="n">
        <v>-11.5</v>
      </c>
      <c r="H2863" t="n">
        <v>-21.1</v>
      </c>
      <c r="I2863" s="2" t="n">
        <v>16476</v>
      </c>
      <c r="J2863" t="n">
        <v>-55.1</v>
      </c>
      <c r="K2863" t="n">
        <v>-15.6</v>
      </c>
      <c r="L2863" s="2" t="n">
        <v>-5383</v>
      </c>
      <c r="M2863" t="inlineStr"/>
      <c r="N2863" t="inlineStr">
        <is>
          <t>20250513800550</t>
        </is>
      </c>
      <c r="O2863">
        <f>HYPERLINK("https://dart.fss.or.kr/dsaf001/main.do?rcpNo=20250513800550", "공시열람")</f>
        <v/>
      </c>
    </row>
    <row r="2864">
      <c r="A2864" t="inlineStr">
        <is>
          <t>2025-05-13</t>
        </is>
      </c>
      <c r="B2864" t="inlineStr">
        <is>
          <t>광주신세계</t>
        </is>
      </c>
      <c r="C2864" t="inlineStr">
        <is>
          <t>037710</t>
        </is>
      </c>
      <c r="D2864" t="inlineStr">
        <is>
          <t>별도</t>
        </is>
      </c>
      <c r="E2864" t="inlineStr">
        <is>
          <t>2025Q1</t>
        </is>
      </c>
      <c r="F2864" s="2" t="n">
        <v>14416</v>
      </c>
      <c r="G2864" t="n">
        <v>-10.1</v>
      </c>
      <c r="H2864" t="n">
        <v>-1.4</v>
      </c>
      <c r="I2864" s="2" t="inlineStr"/>
      <c r="J2864" t="inlineStr"/>
      <c r="K2864" t="inlineStr"/>
      <c r="L2864" s="2" t="inlineStr"/>
      <c r="M2864" t="inlineStr"/>
      <c r="N2864" t="inlineStr">
        <is>
          <t>20250513800384</t>
        </is>
      </c>
      <c r="O2864">
        <f>HYPERLINK("https://dart.fss.or.kr/dsaf001/main.do?rcpNo=20250513800384", "공시열람")</f>
        <v/>
      </c>
    </row>
    <row r="2865">
      <c r="A2865" t="inlineStr">
        <is>
          <t>2025-05-13</t>
        </is>
      </c>
      <c r="B2865" t="inlineStr">
        <is>
          <t>컴투스</t>
        </is>
      </c>
      <c r="C2865" t="inlineStr">
        <is>
          <t>078340</t>
        </is>
      </c>
      <c r="D2865" t="inlineStr">
        <is>
          <t>연결</t>
        </is>
      </c>
      <c r="E2865" t="inlineStr">
        <is>
          <t>2025Q1</t>
        </is>
      </c>
      <c r="F2865" s="2" t="n">
        <v>168005</v>
      </c>
      <c r="G2865" t="inlineStr"/>
      <c r="H2865" t="inlineStr"/>
      <c r="I2865" s="2" t="n">
        <v>1674</v>
      </c>
      <c r="J2865" t="inlineStr"/>
      <c r="K2865" t="inlineStr"/>
      <c r="L2865" s="2" t="n">
        <v>2048</v>
      </c>
      <c r="M2865" t="inlineStr"/>
      <c r="N2865" t="inlineStr">
        <is>
          <t>20250513900135</t>
        </is>
      </c>
      <c r="O2865">
        <f>HYPERLINK("https://dart.fss.or.kr/dsaf001/main.do?rcpNo=20250513900135", "공시열람")</f>
        <v/>
      </c>
    </row>
    <row r="2866">
      <c r="A2866" t="inlineStr">
        <is>
          <t>2025-05-13</t>
        </is>
      </c>
      <c r="B2866" t="inlineStr">
        <is>
          <t>광주신세계</t>
        </is>
      </c>
      <c r="C2866" t="inlineStr">
        <is>
          <t>037710</t>
        </is>
      </c>
      <c r="D2866" t="inlineStr">
        <is>
          <t>별도</t>
        </is>
      </c>
      <c r="E2866" t="inlineStr">
        <is>
          <t>2025Q1</t>
        </is>
      </c>
      <c r="F2866" s="2" t="n">
        <v>45468</v>
      </c>
      <c r="G2866" t="n">
        <v>-14.5</v>
      </c>
      <c r="H2866" t="n">
        <v>3</v>
      </c>
      <c r="I2866" s="2" t="n">
        <v>12893</v>
      </c>
      <c r="J2866" t="n">
        <v>-21.4</v>
      </c>
      <c r="K2866" t="n">
        <v>-1.6</v>
      </c>
      <c r="L2866" s="2" t="n">
        <v>11290</v>
      </c>
      <c r="M2866" t="n">
        <v>-13</v>
      </c>
      <c r="N2866" t="inlineStr">
        <is>
          <t>20250513800380</t>
        </is>
      </c>
      <c r="O2866">
        <f>HYPERLINK("https://dart.fss.or.kr/dsaf001/main.do?rcpNo=20250513800380", "공시열람")</f>
        <v/>
      </c>
    </row>
    <row r="2867">
      <c r="A2867" t="inlineStr">
        <is>
          <t>2025-05-13</t>
        </is>
      </c>
      <c r="B2867" t="inlineStr">
        <is>
          <t>CJ제일제당</t>
        </is>
      </c>
      <c r="C2867" t="inlineStr">
        <is>
          <t>097950</t>
        </is>
      </c>
      <c r="D2867" t="inlineStr">
        <is>
          <t>연결</t>
        </is>
      </c>
      <c r="E2867" t="inlineStr">
        <is>
          <t>2025Q1</t>
        </is>
      </c>
      <c r="F2867" s="2" t="n">
        <v>7208471</v>
      </c>
      <c r="G2867" t="n">
        <v>-3.8</v>
      </c>
      <c r="H2867" t="n">
        <v>-0.1</v>
      </c>
      <c r="I2867" s="2" t="n">
        <v>333168</v>
      </c>
      <c r="J2867" t="n">
        <v>-11.7</v>
      </c>
      <c r="K2867" t="n">
        <v>-11.4</v>
      </c>
      <c r="L2867" s="2" t="n">
        <v>57389</v>
      </c>
      <c r="M2867" t="n">
        <v>-62.9</v>
      </c>
      <c r="N2867" t="inlineStr">
        <is>
          <t>20250513800129</t>
        </is>
      </c>
      <c r="O2867">
        <f>HYPERLINK("https://dart.fss.or.kr/dsaf001/main.do?rcpNo=20250513800129", "공시열람")</f>
        <v/>
      </c>
    </row>
    <row r="2868">
      <c r="A2868" t="inlineStr">
        <is>
          <t>2025-05-13</t>
        </is>
      </c>
      <c r="B2868" t="inlineStr">
        <is>
          <t>컴투스홀딩스</t>
        </is>
      </c>
      <c r="C2868" t="inlineStr">
        <is>
          <t>063080</t>
        </is>
      </c>
      <c r="D2868" t="inlineStr">
        <is>
          <t>연결</t>
        </is>
      </c>
      <c r="E2868" t="inlineStr">
        <is>
          <t>2025Q1</t>
        </is>
      </c>
      <c r="F2868" s="2" t="n">
        <v>24318</v>
      </c>
      <c r="G2868" t="inlineStr"/>
      <c r="H2868" t="inlineStr"/>
      <c r="I2868" s="2" t="n">
        <v>-3196</v>
      </c>
      <c r="J2868" t="inlineStr"/>
      <c r="K2868" t="inlineStr"/>
      <c r="L2868" s="2" t="n">
        <v>-6566</v>
      </c>
      <c r="M2868" t="inlineStr"/>
      <c r="N2868" t="inlineStr">
        <is>
          <t>20250513900136</t>
        </is>
      </c>
      <c r="O2868">
        <f>HYPERLINK("https://dart.fss.or.kr/dsaf001/main.do?rcpNo=20250513900136", "공시열람")</f>
        <v/>
      </c>
    </row>
    <row r="2869">
      <c r="A2869" t="inlineStr">
        <is>
          <t>2025-05-13</t>
        </is>
      </c>
      <c r="B2869" t="inlineStr">
        <is>
          <t>한국전력공사</t>
        </is>
      </c>
      <c r="C2869" t="inlineStr">
        <is>
          <t>015760</t>
        </is>
      </c>
      <c r="D2869" t="inlineStr">
        <is>
          <t>연결</t>
        </is>
      </c>
      <c r="E2869" t="inlineStr">
        <is>
          <t>2025Q1</t>
        </is>
      </c>
      <c r="F2869" s="2" t="n">
        <v>24223984</v>
      </c>
      <c r="G2869" t="n">
        <v>3</v>
      </c>
      <c r="H2869" t="n">
        <v>4</v>
      </c>
      <c r="I2869" s="2" t="n">
        <v>3753607</v>
      </c>
      <c r="J2869" t="n">
        <v>55.2</v>
      </c>
      <c r="K2869" t="n">
        <v>188.9</v>
      </c>
      <c r="L2869" s="2" t="n">
        <v>2361708</v>
      </c>
      <c r="M2869" t="n">
        <v>296.3</v>
      </c>
      <c r="N2869" t="inlineStr">
        <is>
          <t>20250513800375</t>
        </is>
      </c>
      <c r="O2869">
        <f>HYPERLINK("https://dart.fss.or.kr/dsaf001/main.do?rcpNo=20250513800375", "공시열람")</f>
        <v/>
      </c>
    </row>
    <row r="2870">
      <c r="A2870" t="inlineStr">
        <is>
          <t>2025-05-13</t>
        </is>
      </c>
      <c r="B2870" t="inlineStr">
        <is>
          <t>신성이엔지</t>
        </is>
      </c>
      <c r="C2870" t="inlineStr">
        <is>
          <t>011930</t>
        </is>
      </c>
      <c r="D2870" t="inlineStr">
        <is>
          <t>연결</t>
        </is>
      </c>
      <c r="E2870" t="inlineStr">
        <is>
          <t>2025Q1</t>
        </is>
      </c>
      <c r="F2870" s="2" t="n">
        <v>116301</v>
      </c>
      <c r="G2870" t="inlineStr"/>
      <c r="H2870" t="inlineStr"/>
      <c r="I2870" s="2" t="n">
        <v>-5239</v>
      </c>
      <c r="J2870" t="inlineStr"/>
      <c r="K2870" t="inlineStr"/>
      <c r="L2870" s="2" t="n">
        <v>-6918</v>
      </c>
      <c r="M2870" t="inlineStr"/>
      <c r="N2870" t="inlineStr">
        <is>
          <t>20250513800371</t>
        </is>
      </c>
      <c r="O2870">
        <f>HYPERLINK("https://dart.fss.or.kr/dsaf001/main.do?rcpNo=20250513800371", "공시열람")</f>
        <v/>
      </c>
    </row>
    <row r="2871">
      <c r="A2871" t="inlineStr">
        <is>
          <t>2025-05-13</t>
        </is>
      </c>
      <c r="B2871" t="inlineStr">
        <is>
          <t>신세계인터내셔날</t>
        </is>
      </c>
      <c r="C2871" t="inlineStr">
        <is>
          <t>031430</t>
        </is>
      </c>
      <c r="D2871" t="inlineStr">
        <is>
          <t>연결</t>
        </is>
      </c>
      <c r="E2871" t="inlineStr">
        <is>
          <t>2025Q1</t>
        </is>
      </c>
      <c r="F2871" s="2" t="n">
        <v>304192</v>
      </c>
      <c r="G2871" t="n">
        <v>-20.4</v>
      </c>
      <c r="H2871" t="n">
        <v>-1.7</v>
      </c>
      <c r="I2871" s="2" t="n">
        <v>4668</v>
      </c>
      <c r="J2871" t="n">
        <v>1475.5</v>
      </c>
      <c r="K2871" t="n">
        <v>-58.3</v>
      </c>
      <c r="L2871" s="2" t="n">
        <v>4509</v>
      </c>
      <c r="M2871" t="n">
        <v>-64.2</v>
      </c>
      <c r="N2871" t="inlineStr">
        <is>
          <t>20250513800367</t>
        </is>
      </c>
      <c r="O2871">
        <f>HYPERLINK("https://dart.fss.or.kr/dsaf001/main.do?rcpNo=20250513800367", "공시열람")</f>
        <v/>
      </c>
    </row>
    <row r="2872">
      <c r="A2872" t="inlineStr">
        <is>
          <t>2025-05-13</t>
        </is>
      </c>
      <c r="B2872" t="inlineStr">
        <is>
          <t>NHN</t>
        </is>
      </c>
      <c r="C2872" t="inlineStr">
        <is>
          <t>181710</t>
        </is>
      </c>
      <c r="D2872" t="inlineStr">
        <is>
          <t>별도</t>
        </is>
      </c>
      <c r="E2872" t="inlineStr">
        <is>
          <t>2025Q1</t>
        </is>
      </c>
      <c r="F2872" s="2" t="n">
        <v>94284</v>
      </c>
      <c r="G2872" t="inlineStr"/>
      <c r="H2872" t="inlineStr"/>
      <c r="I2872" s="2" t="n">
        <v>23135</v>
      </c>
      <c r="J2872" t="inlineStr"/>
      <c r="K2872" t="inlineStr"/>
      <c r="L2872" s="2" t="n">
        <v>3017</v>
      </c>
      <c r="M2872" t="inlineStr"/>
      <c r="N2872" t="inlineStr">
        <is>
          <t>20250513800028</t>
        </is>
      </c>
      <c r="O2872">
        <f>HYPERLINK("https://dart.fss.or.kr/dsaf001/main.do?rcpNo=20250513800028", "공시열람")</f>
        <v/>
      </c>
    </row>
    <row r="2873">
      <c r="A2873" t="inlineStr">
        <is>
          <t>2025-05-13</t>
        </is>
      </c>
      <c r="B2873" t="inlineStr">
        <is>
          <t>네오위즈</t>
        </is>
      </c>
      <c r="C2873" t="inlineStr">
        <is>
          <t>095660</t>
        </is>
      </c>
      <c r="D2873" t="inlineStr">
        <is>
          <t>연결</t>
        </is>
      </c>
      <c r="E2873" t="inlineStr">
        <is>
          <t>2025Q1</t>
        </is>
      </c>
      <c r="F2873" s="2" t="n">
        <v>89030</v>
      </c>
      <c r="G2873" t="inlineStr"/>
      <c r="H2873" t="inlineStr"/>
      <c r="I2873" s="2" t="n">
        <v>10229</v>
      </c>
      <c r="J2873" t="inlineStr"/>
      <c r="K2873" t="inlineStr"/>
      <c r="L2873" s="2" t="n">
        <v>6109</v>
      </c>
      <c r="M2873" t="inlineStr"/>
      <c r="N2873" t="inlineStr">
        <is>
          <t>20250513900156</t>
        </is>
      </c>
      <c r="O2873">
        <f>HYPERLINK("https://dart.fss.or.kr/dsaf001/main.do?rcpNo=20250513900156", "공시열람")</f>
        <v/>
      </c>
    </row>
    <row r="2874">
      <c r="A2874" t="inlineStr">
        <is>
          <t>2025-05-13</t>
        </is>
      </c>
      <c r="B2874" t="inlineStr">
        <is>
          <t>NHN KCP</t>
        </is>
      </c>
      <c r="C2874" t="inlineStr">
        <is>
          <t>060250</t>
        </is>
      </c>
      <c r="D2874" t="inlineStr">
        <is>
          <t>별도</t>
        </is>
      </c>
      <c r="E2874" t="inlineStr">
        <is>
          <t>2025Q1</t>
        </is>
      </c>
      <c r="F2874" s="2" t="n">
        <v>265355</v>
      </c>
      <c r="G2874" t="inlineStr"/>
      <c r="H2874" t="inlineStr"/>
      <c r="I2874" s="2" t="n">
        <v>10969</v>
      </c>
      <c r="J2874" t="inlineStr"/>
      <c r="K2874" t="inlineStr"/>
      <c r="L2874" s="2" t="n">
        <v>9994</v>
      </c>
      <c r="M2874" t="inlineStr"/>
      <c r="N2874" t="inlineStr">
        <is>
          <t>20250513900009</t>
        </is>
      </c>
      <c r="O2874">
        <f>HYPERLINK("https://dart.fss.or.kr/dsaf001/main.do?rcpNo=20250513900009", "공시열람")</f>
        <v/>
      </c>
    </row>
    <row r="2875">
      <c r="A2875" t="inlineStr">
        <is>
          <t>2025-05-13</t>
        </is>
      </c>
      <c r="B2875" t="inlineStr">
        <is>
          <t>CJ대한통운</t>
        </is>
      </c>
      <c r="C2875" t="inlineStr">
        <is>
          <t>000120</t>
        </is>
      </c>
      <c r="D2875" t="inlineStr">
        <is>
          <t>연결</t>
        </is>
      </c>
      <c r="E2875" t="inlineStr">
        <is>
          <t>2025Q1</t>
        </is>
      </c>
      <c r="F2875" s="2" t="n">
        <v>2992586</v>
      </c>
      <c r="G2875" t="n">
        <v>-5.3</v>
      </c>
      <c r="H2875" t="n">
        <v>2.4</v>
      </c>
      <c r="I2875" s="2" t="n">
        <v>85367</v>
      </c>
      <c r="J2875" t="n">
        <v>-44.7</v>
      </c>
      <c r="K2875" t="n">
        <v>-21.9</v>
      </c>
      <c r="L2875" s="2" t="n">
        <v>40977</v>
      </c>
      <c r="M2875" t="n">
        <v>-26.1</v>
      </c>
      <c r="N2875" t="inlineStr">
        <is>
          <t>20250513800157</t>
        </is>
      </c>
      <c r="O2875">
        <f>HYPERLINK("https://dart.fss.or.kr/dsaf001/main.do?rcpNo=20250513800157", "공시열람")</f>
        <v/>
      </c>
    </row>
    <row r="2876">
      <c r="A2876" t="inlineStr">
        <is>
          <t>2025-05-13</t>
        </is>
      </c>
      <c r="B2876" t="inlineStr">
        <is>
          <t>신세계</t>
        </is>
      </c>
      <c r="C2876" t="inlineStr">
        <is>
          <t>004170</t>
        </is>
      </c>
      <c r="D2876" t="inlineStr">
        <is>
          <t>별도</t>
        </is>
      </c>
      <c r="E2876" t="inlineStr">
        <is>
          <t>2025Q1</t>
        </is>
      </c>
      <c r="F2876" s="2" t="n">
        <v>150685</v>
      </c>
      <c r="G2876" t="n">
        <v>-8.91</v>
      </c>
      <c r="H2876" t="n">
        <v>-4.77</v>
      </c>
      <c r="I2876" s="2" t="inlineStr"/>
      <c r="J2876" t="inlineStr"/>
      <c r="K2876" t="inlineStr"/>
      <c r="L2876" s="2" t="inlineStr"/>
      <c r="M2876" t="inlineStr"/>
      <c r="N2876" t="inlineStr">
        <is>
          <t>20250513800341</t>
        </is>
      </c>
      <c r="O2876">
        <f>HYPERLINK("https://dart.fss.or.kr/dsaf001/main.do?rcpNo=20250513800341", "공시열람")</f>
        <v/>
      </c>
    </row>
    <row r="2877">
      <c r="A2877" t="inlineStr">
        <is>
          <t>2025-05-13</t>
        </is>
      </c>
      <c r="B2877" t="inlineStr">
        <is>
          <t>파마리서치</t>
        </is>
      </c>
      <c r="C2877" t="inlineStr">
        <is>
          <t>214450</t>
        </is>
      </c>
      <c r="D2877" t="inlineStr">
        <is>
          <t>연결</t>
        </is>
      </c>
      <c r="E2877" t="inlineStr">
        <is>
          <t>2025Q1</t>
        </is>
      </c>
      <c r="F2877" s="2" t="n">
        <v>116910</v>
      </c>
      <c r="G2877" t="inlineStr"/>
      <c r="H2877" t="inlineStr"/>
      <c r="I2877" s="2" t="n">
        <v>44733</v>
      </c>
      <c r="J2877" t="inlineStr"/>
      <c r="K2877" t="inlineStr"/>
      <c r="L2877" s="2" t="n">
        <v>36027</v>
      </c>
      <c r="M2877" t="inlineStr"/>
      <c r="N2877" t="inlineStr">
        <is>
          <t>20250513900226</t>
        </is>
      </c>
      <c r="O2877">
        <f>HYPERLINK("https://dart.fss.or.kr/dsaf001/main.do?rcpNo=20250513900226", "공시열람")</f>
        <v/>
      </c>
    </row>
    <row r="2878">
      <c r="A2878" t="inlineStr">
        <is>
          <t>2025-05-13</t>
        </is>
      </c>
      <c r="B2878" t="inlineStr">
        <is>
          <t>NHN벅스</t>
        </is>
      </c>
      <c r="C2878" t="inlineStr">
        <is>
          <t>104200</t>
        </is>
      </c>
      <c r="D2878" t="inlineStr">
        <is>
          <t>별도</t>
        </is>
      </c>
      <c r="E2878" t="inlineStr">
        <is>
          <t>2025Q1</t>
        </is>
      </c>
      <c r="F2878" s="2" t="n">
        <v>11073</v>
      </c>
      <c r="G2878" t="inlineStr"/>
      <c r="H2878" t="inlineStr"/>
      <c r="I2878" s="2" t="n">
        <v>-626</v>
      </c>
      <c r="J2878" t="inlineStr"/>
      <c r="K2878" t="inlineStr"/>
      <c r="L2878" s="2" t="n">
        <v>-524</v>
      </c>
      <c r="M2878" t="inlineStr"/>
      <c r="N2878" t="inlineStr">
        <is>
          <t>20250513900247</t>
        </is>
      </c>
      <c r="O2878">
        <f>HYPERLINK("https://dart.fss.or.kr/dsaf001/main.do?rcpNo=20250513900247", "공시열람")</f>
        <v/>
      </c>
    </row>
    <row r="2879">
      <c r="A2879" t="inlineStr">
        <is>
          <t>2025-05-13</t>
        </is>
      </c>
      <c r="B2879" t="inlineStr">
        <is>
          <t>케어젠</t>
        </is>
      </c>
      <c r="C2879" t="inlineStr">
        <is>
          <t>214370</t>
        </is>
      </c>
      <c r="D2879" t="inlineStr">
        <is>
          <t>연결</t>
        </is>
      </c>
      <c r="E2879" t="inlineStr">
        <is>
          <t>2025Q1</t>
        </is>
      </c>
      <c r="F2879" s="2" t="n">
        <v>21292</v>
      </c>
      <c r="G2879" t="inlineStr"/>
      <c r="H2879" t="inlineStr"/>
      <c r="I2879" s="2" t="n">
        <v>10166</v>
      </c>
      <c r="J2879" t="inlineStr"/>
      <c r="K2879" t="inlineStr"/>
      <c r="L2879" s="2" t="n">
        <v>8430</v>
      </c>
      <c r="M2879" t="inlineStr"/>
      <c r="N2879" t="inlineStr">
        <is>
          <t>20250513900206</t>
        </is>
      </c>
      <c r="O2879">
        <f>HYPERLINK("https://dart.fss.or.kr/dsaf001/main.do?rcpNo=20250513900206", "공시열람")</f>
        <v/>
      </c>
    </row>
    <row r="2880">
      <c r="A2880" t="inlineStr">
        <is>
          <t>2025-05-13</t>
        </is>
      </c>
      <c r="B2880" t="inlineStr">
        <is>
          <t>에스피지</t>
        </is>
      </c>
      <c r="C2880" t="inlineStr">
        <is>
          <t>058610</t>
        </is>
      </c>
      <c r="D2880" t="inlineStr">
        <is>
          <t>연결</t>
        </is>
      </c>
      <c r="E2880" t="inlineStr">
        <is>
          <t>2025Q1</t>
        </is>
      </c>
      <c r="F2880" s="2" t="n">
        <v>93295</v>
      </c>
      <c r="G2880" t="inlineStr"/>
      <c r="H2880" t="inlineStr"/>
      <c r="I2880" s="2" t="n">
        <v>4089</v>
      </c>
      <c r="J2880" t="inlineStr"/>
      <c r="K2880" t="inlineStr"/>
      <c r="L2880" s="2" t="n">
        <v>3118</v>
      </c>
      <c r="M2880" t="inlineStr"/>
      <c r="N2880" t="inlineStr">
        <is>
          <t>20250513900195</t>
        </is>
      </c>
      <c r="O2880">
        <f>HYPERLINK("https://dart.fss.or.kr/dsaf001/main.do?rcpNo=20250513900195", "공시열람")</f>
        <v/>
      </c>
    </row>
    <row r="2881">
      <c r="A2881" t="inlineStr">
        <is>
          <t>2025-05-13</t>
        </is>
      </c>
      <c r="B2881" t="inlineStr">
        <is>
          <t>지역난방공사</t>
        </is>
      </c>
      <c r="C2881" t="inlineStr">
        <is>
          <t>071320</t>
        </is>
      </c>
      <c r="D2881" t="inlineStr">
        <is>
          <t>연결</t>
        </is>
      </c>
      <c r="E2881" t="inlineStr">
        <is>
          <t>2025Q1</t>
        </is>
      </c>
      <c r="F2881" s="2" t="n">
        <v>1576835</v>
      </c>
      <c r="G2881" t="inlineStr"/>
      <c r="H2881" t="inlineStr"/>
      <c r="I2881" s="2" t="n">
        <v>323778</v>
      </c>
      <c r="J2881" t="inlineStr"/>
      <c r="K2881" t="inlineStr"/>
      <c r="L2881" s="2" t="n">
        <v>233486</v>
      </c>
      <c r="M2881" t="inlineStr"/>
      <c r="N2881" t="inlineStr">
        <is>
          <t>20250513800184</t>
        </is>
      </c>
      <c r="O2881">
        <f>HYPERLINK("https://dart.fss.or.kr/dsaf001/main.do?rcpNo=20250513800184", "공시열람")</f>
        <v/>
      </c>
    </row>
    <row r="2882">
      <c r="A2882" t="inlineStr">
        <is>
          <t>2025-05-12</t>
        </is>
      </c>
      <c r="B2882" t="inlineStr">
        <is>
          <t>심텍홀딩스</t>
        </is>
      </c>
      <c r="C2882" t="inlineStr">
        <is>
          <t>036710</t>
        </is>
      </c>
      <c r="D2882" t="inlineStr">
        <is>
          <t>연결</t>
        </is>
      </c>
      <c r="E2882" t="inlineStr">
        <is>
          <t>2025Q1</t>
        </is>
      </c>
      <c r="F2882" s="2" t="n">
        <v>324355</v>
      </c>
      <c r="G2882" t="inlineStr"/>
      <c r="H2882" t="inlineStr"/>
      <c r="I2882" s="2" t="n">
        <v>-36836</v>
      </c>
      <c r="J2882" t="inlineStr"/>
      <c r="K2882" t="inlineStr"/>
      <c r="L2882" s="2" t="n">
        <v>-54865</v>
      </c>
      <c r="M2882" t="inlineStr"/>
      <c r="N2882" t="inlineStr">
        <is>
          <t>20250512900376</t>
        </is>
      </c>
      <c r="O2882">
        <f>HYPERLINK("https://dart.fss.or.kr/dsaf001/main.do?rcpNo=20250512900376", "공시열람")</f>
        <v/>
      </c>
    </row>
    <row r="2883">
      <c r="A2883" t="inlineStr">
        <is>
          <t>2025-05-12</t>
        </is>
      </c>
      <c r="B2883" t="inlineStr">
        <is>
          <t>파라다이스</t>
        </is>
      </c>
      <c r="C2883" t="inlineStr">
        <is>
          <t>034230</t>
        </is>
      </c>
      <c r="D2883" t="inlineStr">
        <is>
          <t>연결</t>
        </is>
      </c>
      <c r="E2883" t="inlineStr">
        <is>
          <t>2025Q1</t>
        </is>
      </c>
      <c r="F2883" s="2" t="n">
        <v>283300</v>
      </c>
      <c r="G2883" t="n">
        <v>6.6</v>
      </c>
      <c r="H2883" t="n">
        <v>7</v>
      </c>
      <c r="I2883" s="2" t="n">
        <v>57300</v>
      </c>
      <c r="J2883" t="n">
        <v>194.7</v>
      </c>
      <c r="K2883" t="n">
        <v>18.3</v>
      </c>
      <c r="L2883" s="2" t="n">
        <v>43100</v>
      </c>
      <c r="M2883" t="n">
        <v>16.6</v>
      </c>
      <c r="N2883" t="inlineStr">
        <is>
          <t>20250512800411</t>
        </is>
      </c>
      <c r="O2883">
        <f>HYPERLINK("https://dart.fss.or.kr/dsaf001/main.do?rcpNo=20250512800411", "공시열람")</f>
        <v/>
      </c>
    </row>
    <row r="2884">
      <c r="A2884" t="inlineStr">
        <is>
          <t>2025-05-12</t>
        </is>
      </c>
      <c r="B2884" t="inlineStr">
        <is>
          <t>클래시스</t>
        </is>
      </c>
      <c r="C2884" t="inlineStr">
        <is>
          <t>214150</t>
        </is>
      </c>
      <c r="D2884" t="inlineStr">
        <is>
          <t>연결</t>
        </is>
      </c>
      <c r="E2884" t="inlineStr">
        <is>
          <t>2025Q1</t>
        </is>
      </c>
      <c r="F2884" s="2" t="n">
        <v>77113</v>
      </c>
      <c r="G2884" t="inlineStr"/>
      <c r="H2884" t="inlineStr"/>
      <c r="I2884" s="2" t="n">
        <v>38782</v>
      </c>
      <c r="J2884" t="inlineStr"/>
      <c r="K2884" t="inlineStr"/>
      <c r="L2884" s="2" t="n">
        <v>29724</v>
      </c>
      <c r="M2884" t="inlineStr"/>
      <c r="N2884" t="inlineStr">
        <is>
          <t>20250512900140</t>
        </is>
      </c>
      <c r="O2884">
        <f>HYPERLINK("https://dart.fss.or.kr/dsaf001/main.do?rcpNo=20250512900140", "공시열람")</f>
        <v/>
      </c>
    </row>
    <row r="2885">
      <c r="A2885" t="inlineStr">
        <is>
          <t>2025-05-12</t>
        </is>
      </c>
      <c r="B2885" t="inlineStr">
        <is>
          <t>비엠티</t>
        </is>
      </c>
      <c r="C2885" t="inlineStr">
        <is>
          <t>086670</t>
        </is>
      </c>
      <c r="D2885" t="inlineStr">
        <is>
          <t>별도</t>
        </is>
      </c>
      <c r="E2885" t="inlineStr">
        <is>
          <t>2025Q1</t>
        </is>
      </c>
      <c r="F2885" s="2" t="n">
        <v>36596</v>
      </c>
      <c r="G2885" t="inlineStr"/>
      <c r="H2885" t="inlineStr"/>
      <c r="I2885" s="2" t="n">
        <v>3052</v>
      </c>
      <c r="J2885" t="inlineStr"/>
      <c r="K2885" t="inlineStr"/>
      <c r="L2885" s="2" t="n">
        <v>6584</v>
      </c>
      <c r="M2885" t="inlineStr"/>
      <c r="N2885" t="inlineStr">
        <is>
          <t>20250512900145</t>
        </is>
      </c>
      <c r="O2885">
        <f>HYPERLINK("https://dart.fss.or.kr/dsaf001/main.do?rcpNo=20250512900145", "공시열람")</f>
        <v/>
      </c>
    </row>
    <row r="2886">
      <c r="A2886" t="inlineStr">
        <is>
          <t>2025-05-12</t>
        </is>
      </c>
      <c r="B2886" t="inlineStr">
        <is>
          <t>비엠티</t>
        </is>
      </c>
      <c r="C2886" t="inlineStr">
        <is>
          <t>086670</t>
        </is>
      </c>
      <c r="D2886" t="inlineStr">
        <is>
          <t>연결</t>
        </is>
      </c>
      <c r="E2886" t="inlineStr">
        <is>
          <t>2025Q1</t>
        </is>
      </c>
      <c r="F2886" s="2" t="n">
        <v>36598</v>
      </c>
      <c r="G2886" t="inlineStr"/>
      <c r="H2886" t="inlineStr"/>
      <c r="I2886" s="2" t="n">
        <v>2777</v>
      </c>
      <c r="J2886" t="inlineStr"/>
      <c r="K2886" t="inlineStr"/>
      <c r="L2886" s="2" t="n">
        <v>3588</v>
      </c>
      <c r="M2886" t="inlineStr"/>
      <c r="N2886" t="inlineStr">
        <is>
          <t>20250512900147</t>
        </is>
      </c>
      <c r="O2886">
        <f>HYPERLINK("https://dart.fss.or.kr/dsaf001/main.do?rcpNo=20250512900147", "공시열람")</f>
        <v/>
      </c>
    </row>
    <row r="2887">
      <c r="A2887" t="inlineStr">
        <is>
          <t>2025-05-12</t>
        </is>
      </c>
      <c r="B2887" t="inlineStr">
        <is>
          <t>NH농우바이오</t>
        </is>
      </c>
      <c r="C2887" t="inlineStr">
        <is>
          <t>054050</t>
        </is>
      </c>
      <c r="D2887" t="inlineStr">
        <is>
          <t>연결</t>
        </is>
      </c>
      <c r="E2887" t="inlineStr">
        <is>
          <t>2025Q1</t>
        </is>
      </c>
      <c r="F2887" s="2" t="n">
        <v>37382</v>
      </c>
      <c r="G2887" t="inlineStr"/>
      <c r="H2887" t="inlineStr"/>
      <c r="I2887" s="2" t="n">
        <v>7558</v>
      </c>
      <c r="J2887" t="inlineStr"/>
      <c r="K2887" t="inlineStr"/>
      <c r="L2887" s="2" t="n">
        <v>6454</v>
      </c>
      <c r="M2887" t="inlineStr"/>
      <c r="N2887" t="inlineStr">
        <is>
          <t>20250512900154</t>
        </is>
      </c>
      <c r="O2887">
        <f>HYPERLINK("https://dart.fss.or.kr/dsaf001/main.do?rcpNo=20250512900154", "공시열람")</f>
        <v/>
      </c>
    </row>
    <row r="2888">
      <c r="A2888" t="inlineStr">
        <is>
          <t>2025-05-12</t>
        </is>
      </c>
      <c r="B2888" t="inlineStr">
        <is>
          <t>메디톡스</t>
        </is>
      </c>
      <c r="C2888" t="inlineStr">
        <is>
          <t>086900</t>
        </is>
      </c>
      <c r="D2888" t="inlineStr">
        <is>
          <t>연결</t>
        </is>
      </c>
      <c r="E2888" t="inlineStr">
        <is>
          <t>2025Q1</t>
        </is>
      </c>
      <c r="F2888" s="2" t="n">
        <v>63957</v>
      </c>
      <c r="G2888" t="inlineStr"/>
      <c r="H2888" t="inlineStr"/>
      <c r="I2888" s="2" t="n">
        <v>5476</v>
      </c>
      <c r="J2888" t="inlineStr"/>
      <c r="K2888" t="inlineStr"/>
      <c r="L2888" s="2" t="n">
        <v>3330</v>
      </c>
      <c r="M2888" t="inlineStr"/>
      <c r="N2888" t="inlineStr">
        <is>
          <t>20250512900198</t>
        </is>
      </c>
      <c r="O2888">
        <f>HYPERLINK("https://dart.fss.or.kr/dsaf001/main.do?rcpNo=20250512900198", "공시열람")</f>
        <v/>
      </c>
    </row>
    <row r="2889">
      <c r="A2889" t="inlineStr">
        <is>
          <t>2025-05-12</t>
        </is>
      </c>
      <c r="B2889" t="inlineStr">
        <is>
          <t>SK텔레콤</t>
        </is>
      </c>
      <c r="C2889" t="inlineStr">
        <is>
          <t>017670</t>
        </is>
      </c>
      <c r="D2889" t="inlineStr">
        <is>
          <t>연결</t>
        </is>
      </c>
      <c r="E2889" t="inlineStr">
        <is>
          <t>2025Q1</t>
        </is>
      </c>
      <c r="F2889" s="2" t="n">
        <v>4453700</v>
      </c>
      <c r="G2889" t="n">
        <v>-1.28</v>
      </c>
      <c r="H2889" t="n">
        <v>-0.47</v>
      </c>
      <c r="I2889" s="2" t="n">
        <v>567400</v>
      </c>
      <c r="J2889" t="n">
        <v>123.25</v>
      </c>
      <c r="K2889" t="n">
        <v>13.82</v>
      </c>
      <c r="L2889" s="2" t="n">
        <v>361600</v>
      </c>
      <c r="M2889" t="n">
        <v>-0.1</v>
      </c>
      <c r="N2889" t="inlineStr">
        <is>
          <t>20250512800156</t>
        </is>
      </c>
      <c r="O2889">
        <f>HYPERLINK("https://dart.fss.or.kr/dsaf001/main.do?rcpNo=20250512800156", "공시열람")</f>
        <v/>
      </c>
    </row>
    <row r="2890">
      <c r="A2890" t="inlineStr">
        <is>
          <t>2025-05-12</t>
        </is>
      </c>
      <c r="B2890" t="inlineStr">
        <is>
          <t>이마트</t>
        </is>
      </c>
      <c r="C2890" t="inlineStr">
        <is>
          <t>139480</t>
        </is>
      </c>
      <c r="D2890" t="inlineStr">
        <is>
          <t>연결</t>
        </is>
      </c>
      <c r="E2890" t="inlineStr">
        <is>
          <t>2025Q1</t>
        </is>
      </c>
      <c r="F2890" s="2" t="n">
        <v>7218900</v>
      </c>
      <c r="G2890" t="n">
        <v>-0.4</v>
      </c>
      <c r="H2890" t="n">
        <v>0.2</v>
      </c>
      <c r="I2890" s="2" t="n">
        <v>159300</v>
      </c>
      <c r="J2890" t="inlineStr"/>
      <c r="K2890" t="n">
        <v>238.2</v>
      </c>
      <c r="L2890" s="2" t="n">
        <v>83600</v>
      </c>
      <c r="M2890" t="n">
        <v>184.6</v>
      </c>
      <c r="N2890" t="inlineStr">
        <is>
          <t>20250512800172</t>
        </is>
      </c>
      <c r="O2890">
        <f>HYPERLINK("https://dart.fss.or.kr/dsaf001/main.do?rcpNo=20250512800172", "공시열람")</f>
        <v/>
      </c>
    </row>
    <row r="2891">
      <c r="A2891" t="inlineStr">
        <is>
          <t>2025-05-12</t>
        </is>
      </c>
      <c r="B2891" t="inlineStr">
        <is>
          <t>이마트</t>
        </is>
      </c>
      <c r="C2891" t="inlineStr">
        <is>
          <t>139480</t>
        </is>
      </c>
      <c r="D2891" t="inlineStr">
        <is>
          <t>별도</t>
        </is>
      </c>
      <c r="E2891" t="inlineStr">
        <is>
          <t>2025Q1</t>
        </is>
      </c>
      <c r="F2891" s="2" t="n">
        <v>1268900</v>
      </c>
      <c r="G2891" t="n">
        <v>-5.3</v>
      </c>
      <c r="H2891" t="n">
        <v>11.7</v>
      </c>
      <c r="I2891" s="2" t="inlineStr"/>
      <c r="J2891" t="inlineStr"/>
      <c r="K2891" t="inlineStr"/>
      <c r="L2891" s="2" t="inlineStr"/>
      <c r="M2891" t="inlineStr"/>
      <c r="N2891" t="inlineStr">
        <is>
          <t>20250512800173</t>
        </is>
      </c>
      <c r="O2891">
        <f>HYPERLINK("https://dart.fss.or.kr/dsaf001/main.do?rcpNo=20250512800173", "공시열람")</f>
        <v/>
      </c>
    </row>
    <row r="2892">
      <c r="A2892" t="inlineStr">
        <is>
          <t>2025-05-12</t>
        </is>
      </c>
      <c r="B2892" t="inlineStr">
        <is>
          <t>빅텍</t>
        </is>
      </c>
      <c r="C2892" t="inlineStr">
        <is>
          <t>065450</t>
        </is>
      </c>
      <c r="D2892" t="inlineStr">
        <is>
          <t>연결</t>
        </is>
      </c>
      <c r="E2892" t="inlineStr">
        <is>
          <t>2025Q1</t>
        </is>
      </c>
      <c r="F2892" s="2" t="n">
        <v>14974</v>
      </c>
      <c r="G2892" t="inlineStr"/>
      <c r="H2892" t="inlineStr"/>
      <c r="I2892" s="2" t="n">
        <v>78</v>
      </c>
      <c r="J2892" t="inlineStr"/>
      <c r="K2892" t="inlineStr"/>
      <c r="L2892" s="2" t="n">
        <v>-472</v>
      </c>
      <c r="M2892" t="inlineStr"/>
      <c r="N2892" t="inlineStr">
        <is>
          <t>20250512900294</t>
        </is>
      </c>
      <c r="O2892">
        <f>HYPERLINK("https://dart.fss.or.kr/dsaf001/main.do?rcpNo=20250512900294", "공시열람")</f>
        <v/>
      </c>
    </row>
    <row r="2893">
      <c r="A2893" t="inlineStr">
        <is>
          <t>2025-05-12</t>
        </is>
      </c>
      <c r="B2893" t="inlineStr">
        <is>
          <t>GKL</t>
        </is>
      </c>
      <c r="C2893" t="inlineStr">
        <is>
          <t>114090</t>
        </is>
      </c>
      <c r="D2893" t="inlineStr">
        <is>
          <t>연결</t>
        </is>
      </c>
      <c r="E2893" t="inlineStr">
        <is>
          <t>2025Q1</t>
        </is>
      </c>
      <c r="F2893" s="2" t="n">
        <v>109863</v>
      </c>
      <c r="G2893" t="inlineStr"/>
      <c r="H2893" t="inlineStr"/>
      <c r="I2893" s="2" t="n">
        <v>20170</v>
      </c>
      <c r="J2893" t="inlineStr"/>
      <c r="K2893" t="inlineStr"/>
      <c r="L2893" s="2" t="n">
        <v>16105</v>
      </c>
      <c r="M2893" t="inlineStr"/>
      <c r="N2893" t="inlineStr">
        <is>
          <t>20250512800297</t>
        </is>
      </c>
      <c r="O2893">
        <f>HYPERLINK("https://dart.fss.or.kr/dsaf001/main.do?rcpNo=20250512800297", "공시열람")</f>
        <v/>
      </c>
    </row>
    <row r="2894">
      <c r="A2894" t="inlineStr">
        <is>
          <t>2025-05-12</t>
        </is>
      </c>
      <c r="B2894" t="inlineStr">
        <is>
          <t>한국앤컴퍼니</t>
        </is>
      </c>
      <c r="C2894" t="inlineStr">
        <is>
          <t>000240</t>
        </is>
      </c>
      <c r="D2894" t="inlineStr">
        <is>
          <t>연결</t>
        </is>
      </c>
      <c r="E2894" t="inlineStr">
        <is>
          <t>2025Q1</t>
        </is>
      </c>
      <c r="F2894" s="2" t="n">
        <v>388686</v>
      </c>
      <c r="G2894" t="inlineStr"/>
      <c r="H2894" t="inlineStr"/>
      <c r="I2894" s="2" t="n">
        <v>126893</v>
      </c>
      <c r="J2894" t="inlineStr"/>
      <c r="K2894" t="inlineStr"/>
      <c r="L2894" s="2" t="n">
        <v>115439</v>
      </c>
      <c r="M2894" t="inlineStr"/>
      <c r="N2894" t="inlineStr">
        <is>
          <t>20250512800177</t>
        </is>
      </c>
      <c r="O2894">
        <f>HYPERLINK("https://dart.fss.or.kr/dsaf001/main.do?rcpNo=20250512800177", "공시열람")</f>
        <v/>
      </c>
    </row>
    <row r="2895">
      <c r="A2895" t="inlineStr">
        <is>
          <t>2025-05-12</t>
        </is>
      </c>
      <c r="B2895" t="inlineStr">
        <is>
          <t>이스트소프트</t>
        </is>
      </c>
      <c r="C2895" t="inlineStr">
        <is>
          <t>047560</t>
        </is>
      </c>
      <c r="D2895" t="inlineStr">
        <is>
          <t>연결</t>
        </is>
      </c>
      <c r="E2895" t="inlineStr">
        <is>
          <t>2025Q1</t>
        </is>
      </c>
      <c r="F2895" s="2" t="n">
        <v>25197</v>
      </c>
      <c r="G2895" t="inlineStr"/>
      <c r="H2895" t="inlineStr"/>
      <c r="I2895" s="2" t="n">
        <v>-4372</v>
      </c>
      <c r="J2895" t="inlineStr"/>
      <c r="K2895" t="inlineStr"/>
      <c r="L2895" s="2" t="n">
        <v>-4681</v>
      </c>
      <c r="M2895" t="inlineStr"/>
      <c r="N2895" t="inlineStr">
        <is>
          <t>20250512900331</t>
        </is>
      </c>
      <c r="O2895">
        <f>HYPERLINK("https://dart.fss.or.kr/dsaf001/main.do?rcpNo=20250512900331", "공시열람")</f>
        <v/>
      </c>
    </row>
    <row r="2896">
      <c r="A2896" t="inlineStr">
        <is>
          <t>2025-05-12</t>
        </is>
      </c>
      <c r="B2896" t="inlineStr">
        <is>
          <t>코스메카코리아</t>
        </is>
      </c>
      <c r="C2896" t="inlineStr">
        <is>
          <t>241710</t>
        </is>
      </c>
      <c r="D2896" t="inlineStr">
        <is>
          <t>연결</t>
        </is>
      </c>
      <c r="E2896" t="inlineStr">
        <is>
          <t>2025Q1</t>
        </is>
      </c>
      <c r="F2896" s="2" t="n">
        <v>118366</v>
      </c>
      <c r="G2896" t="inlineStr"/>
      <c r="H2896" t="inlineStr"/>
      <c r="I2896" s="2" t="n">
        <v>12290</v>
      </c>
      <c r="J2896" t="inlineStr"/>
      <c r="K2896" t="inlineStr"/>
      <c r="L2896" s="2" t="n">
        <v>9220</v>
      </c>
      <c r="M2896" t="inlineStr"/>
      <c r="N2896" t="inlineStr">
        <is>
          <t>20250512900349</t>
        </is>
      </c>
      <c r="O2896">
        <f>HYPERLINK("https://dart.fss.or.kr/dsaf001/main.do?rcpNo=20250512900349", "공시열람")</f>
        <v/>
      </c>
    </row>
    <row r="2897">
      <c r="A2897" t="inlineStr">
        <is>
          <t>2025-05-12</t>
        </is>
      </c>
      <c r="B2897" t="inlineStr">
        <is>
          <t>경동나비엔</t>
        </is>
      </c>
      <c r="C2897" t="inlineStr">
        <is>
          <t>009450</t>
        </is>
      </c>
      <c r="D2897" t="inlineStr">
        <is>
          <t>연결</t>
        </is>
      </c>
      <c r="E2897" t="inlineStr">
        <is>
          <t>2025Q1</t>
        </is>
      </c>
      <c r="F2897" s="2" t="n">
        <v>365181</v>
      </c>
      <c r="G2897" t="n">
        <v>-8.800000000000001</v>
      </c>
      <c r="H2897" t="n">
        <v>13</v>
      </c>
      <c r="I2897" s="2" t="n">
        <v>39450</v>
      </c>
      <c r="J2897" t="n">
        <v>17</v>
      </c>
      <c r="K2897" t="n">
        <v>21.2</v>
      </c>
      <c r="L2897" s="2" t="n">
        <v>37706</v>
      </c>
      <c r="M2897" t="n">
        <v>20.1</v>
      </c>
      <c r="N2897" t="inlineStr">
        <is>
          <t>20250512800697</t>
        </is>
      </c>
      <c r="O2897">
        <f>HYPERLINK("https://dart.fss.or.kr/dsaf001/main.do?rcpNo=20250512800697", "공시열람")</f>
        <v/>
      </c>
    </row>
    <row r="2898">
      <c r="A2898" t="inlineStr">
        <is>
          <t>2025-05-12</t>
        </is>
      </c>
      <c r="B2898" t="inlineStr">
        <is>
          <t>LX홀딩스</t>
        </is>
      </c>
      <c r="C2898" t="inlineStr">
        <is>
          <t>383800</t>
        </is>
      </c>
      <c r="D2898" t="inlineStr">
        <is>
          <t>연결</t>
        </is>
      </c>
      <c r="E2898" t="inlineStr">
        <is>
          <t>2025Q1</t>
        </is>
      </c>
      <c r="F2898" s="2" t="n">
        <v>10062</v>
      </c>
      <c r="G2898" t="n">
        <v>2.1</v>
      </c>
      <c r="H2898" t="n">
        <v>9.699999999999999</v>
      </c>
      <c r="I2898" s="2" t="n">
        <v>71375</v>
      </c>
      <c r="J2898" t="inlineStr"/>
      <c r="K2898" t="n">
        <v>46.8</v>
      </c>
      <c r="L2898" s="2" t="n">
        <v>70469</v>
      </c>
      <c r="M2898" t="n">
        <v>45.7</v>
      </c>
      <c r="N2898" t="inlineStr">
        <is>
          <t>20250512800688</t>
        </is>
      </c>
      <c r="O2898">
        <f>HYPERLINK("https://dart.fss.or.kr/dsaf001/main.do?rcpNo=20250512800688", "공시열람")</f>
        <v/>
      </c>
    </row>
    <row r="2899">
      <c r="A2899" t="inlineStr">
        <is>
          <t>2025-05-12</t>
        </is>
      </c>
      <c r="B2899" t="inlineStr">
        <is>
          <t>시프트업</t>
        </is>
      </c>
      <c r="C2899" t="inlineStr">
        <is>
          <t>462870</t>
        </is>
      </c>
      <c r="D2899" t="inlineStr">
        <is>
          <t>별도</t>
        </is>
      </c>
      <c r="E2899" t="inlineStr">
        <is>
          <t>2025Q1</t>
        </is>
      </c>
      <c r="F2899" s="2" t="n">
        <v>42235</v>
      </c>
      <c r="G2899" t="n">
        <v>-33.5</v>
      </c>
      <c r="H2899" t="n">
        <v>13</v>
      </c>
      <c r="I2899" s="2" t="n">
        <v>26251</v>
      </c>
      <c r="J2899" t="n">
        <v>-43.1</v>
      </c>
      <c r="K2899" t="n">
        <v>1.2</v>
      </c>
      <c r="L2899" s="2" t="n">
        <v>26846</v>
      </c>
      <c r="M2899" t="n">
        <v>8.699999999999999</v>
      </c>
      <c r="N2899" t="inlineStr">
        <is>
          <t>20250512800617</t>
        </is>
      </c>
      <c r="O2899">
        <f>HYPERLINK("https://dart.fss.or.kr/dsaf001/main.do?rcpNo=20250512800617", "공시열람")</f>
        <v/>
      </c>
    </row>
    <row r="2900">
      <c r="A2900" t="inlineStr">
        <is>
          <t>2025-05-12</t>
        </is>
      </c>
      <c r="B2900" t="inlineStr">
        <is>
          <t>잉글우드랩</t>
        </is>
      </c>
      <c r="C2900" t="inlineStr">
        <is>
          <t>950140</t>
        </is>
      </c>
      <c r="D2900" t="inlineStr">
        <is>
          <t>연결</t>
        </is>
      </c>
      <c r="E2900" t="inlineStr">
        <is>
          <t>2025Q1</t>
        </is>
      </c>
      <c r="F2900" s="2" t="n">
        <v>42531</v>
      </c>
      <c r="G2900" t="inlineStr"/>
      <c r="H2900" t="inlineStr"/>
      <c r="I2900" s="2" t="n">
        <v>4573</v>
      </c>
      <c r="J2900" t="inlineStr"/>
      <c r="K2900" t="inlineStr"/>
      <c r="L2900" s="2" t="n">
        <v>3245</v>
      </c>
      <c r="M2900" t="inlineStr"/>
      <c r="N2900" t="inlineStr">
        <is>
          <t>20250512900365</t>
        </is>
      </c>
      <c r="O2900">
        <f>HYPERLINK("https://dart.fss.or.kr/dsaf001/main.do?rcpNo=20250512900365", "공시열람")</f>
        <v/>
      </c>
    </row>
    <row r="2901">
      <c r="A2901" t="inlineStr">
        <is>
          <t>2025-05-12</t>
        </is>
      </c>
      <c r="B2901" t="inlineStr">
        <is>
          <t>한샘</t>
        </is>
      </c>
      <c r="C2901" t="inlineStr">
        <is>
          <t>009240</t>
        </is>
      </c>
      <c r="D2901" t="inlineStr">
        <is>
          <t>연결</t>
        </is>
      </c>
      <c r="E2901" t="inlineStr">
        <is>
          <t>2025Q1</t>
        </is>
      </c>
      <c r="F2901" s="2" t="n">
        <v>443446</v>
      </c>
      <c r="G2901" t="n">
        <v>-9.6</v>
      </c>
      <c r="H2901" t="n">
        <v>-8.699999999999999</v>
      </c>
      <c r="I2901" s="2" t="n">
        <v>6440</v>
      </c>
      <c r="J2901" t="n">
        <v>66.90000000000001</v>
      </c>
      <c r="K2901" t="n">
        <v>-50.4</v>
      </c>
      <c r="L2901" s="2" t="n">
        <v>9595</v>
      </c>
      <c r="M2901" t="n">
        <v>-80.2</v>
      </c>
      <c r="N2901" t="inlineStr">
        <is>
          <t>20250512800566</t>
        </is>
      </c>
      <c r="O2901">
        <f>HYPERLINK("https://dart.fss.or.kr/dsaf001/main.do?rcpNo=20250512800566", "공시열람")</f>
        <v/>
      </c>
    </row>
    <row r="2902">
      <c r="A2902" t="inlineStr">
        <is>
          <t>2025-05-12</t>
        </is>
      </c>
      <c r="B2902" t="inlineStr">
        <is>
          <t>케이씨씨글라스</t>
        </is>
      </c>
      <c r="C2902" t="inlineStr">
        <is>
          <t>344820</t>
        </is>
      </c>
      <c r="D2902" t="inlineStr">
        <is>
          <t>연결</t>
        </is>
      </c>
      <c r="E2902" t="inlineStr">
        <is>
          <t>2025Q1</t>
        </is>
      </c>
      <c r="F2902" s="2" t="n">
        <v>448678</v>
      </c>
      <c r="G2902" t="n">
        <v>-12.4</v>
      </c>
      <c r="H2902" t="n">
        <v>15.3</v>
      </c>
      <c r="I2902" s="2" t="n">
        <v>-5625</v>
      </c>
      <c r="J2902" t="inlineStr"/>
      <c r="K2902" t="inlineStr"/>
      <c r="L2902" s="2" t="n">
        <v>-11226</v>
      </c>
      <c r="M2902" t="inlineStr"/>
      <c r="N2902" t="inlineStr">
        <is>
          <t>20250512800562</t>
        </is>
      </c>
      <c r="O2902">
        <f>HYPERLINK("https://dart.fss.or.kr/dsaf001/main.do?rcpNo=20250512800562", "공시열람")</f>
        <v/>
      </c>
    </row>
    <row r="2903">
      <c r="A2903" t="inlineStr">
        <is>
          <t>2025-05-12</t>
        </is>
      </c>
      <c r="B2903" t="inlineStr">
        <is>
          <t>일동제약</t>
        </is>
      </c>
      <c r="C2903" t="inlineStr">
        <is>
          <t>249420</t>
        </is>
      </c>
      <c r="D2903" t="inlineStr">
        <is>
          <t>별도</t>
        </is>
      </c>
      <c r="E2903" t="inlineStr">
        <is>
          <t>2025Q1</t>
        </is>
      </c>
      <c r="F2903" s="2" t="n">
        <v>134019</v>
      </c>
      <c r="G2903" t="inlineStr"/>
      <c r="H2903" t="inlineStr"/>
      <c r="I2903" s="2" t="n">
        <v>6068</v>
      </c>
      <c r="J2903" t="inlineStr"/>
      <c r="K2903" t="inlineStr"/>
      <c r="L2903" s="2" t="n">
        <v>2823</v>
      </c>
      <c r="M2903" t="inlineStr"/>
      <c r="N2903" t="inlineStr">
        <is>
          <t>20250512800543</t>
        </is>
      </c>
      <c r="O2903">
        <f>HYPERLINK("https://dart.fss.or.kr/dsaf001/main.do?rcpNo=20250512800543", "공시열람")</f>
        <v/>
      </c>
    </row>
    <row r="2904">
      <c r="A2904" t="inlineStr">
        <is>
          <t>2025-05-12</t>
        </is>
      </c>
      <c r="B2904" t="inlineStr">
        <is>
          <t>일동제약</t>
        </is>
      </c>
      <c r="C2904" t="inlineStr">
        <is>
          <t>249420</t>
        </is>
      </c>
      <c r="D2904" t="inlineStr">
        <is>
          <t>연결</t>
        </is>
      </c>
      <c r="E2904" t="inlineStr">
        <is>
          <t>2025Q1</t>
        </is>
      </c>
      <c r="F2904" s="2" t="n">
        <v>135977</v>
      </c>
      <c r="G2904" t="inlineStr"/>
      <c r="H2904" t="inlineStr"/>
      <c r="I2904" s="2" t="n">
        <v>4195</v>
      </c>
      <c r="J2904" t="inlineStr"/>
      <c r="K2904" t="inlineStr"/>
      <c r="L2904" s="2" t="n">
        <v>500</v>
      </c>
      <c r="M2904" t="inlineStr"/>
      <c r="N2904" t="inlineStr">
        <is>
          <t>20250512800536</t>
        </is>
      </c>
      <c r="O2904">
        <f>HYPERLINK("https://dart.fss.or.kr/dsaf001/main.do?rcpNo=20250512800536", "공시열람")</f>
        <v/>
      </c>
    </row>
    <row r="2905">
      <c r="A2905" t="inlineStr">
        <is>
          <t>2025-05-12</t>
        </is>
      </c>
      <c r="B2905" t="inlineStr">
        <is>
          <t>일동홀딩스</t>
        </is>
      </c>
      <c r="C2905" t="inlineStr">
        <is>
          <t>000230</t>
        </is>
      </c>
      <c r="D2905" t="inlineStr">
        <is>
          <t>연결</t>
        </is>
      </c>
      <c r="E2905" t="inlineStr">
        <is>
          <t>2025Q1</t>
        </is>
      </c>
      <c r="F2905" s="2" t="n">
        <v>149763</v>
      </c>
      <c r="G2905" t="inlineStr"/>
      <c r="H2905" t="inlineStr"/>
      <c r="I2905" s="2" t="n">
        <v>4088</v>
      </c>
      <c r="J2905" t="inlineStr"/>
      <c r="K2905" t="inlineStr"/>
      <c r="L2905" s="2" t="n">
        <v>-5224</v>
      </c>
      <c r="M2905" t="inlineStr"/>
      <c r="N2905" t="inlineStr">
        <is>
          <t>20250512800520</t>
        </is>
      </c>
      <c r="O2905">
        <f>HYPERLINK("https://dart.fss.or.kr/dsaf001/main.do?rcpNo=20250512800520", "공시열람")</f>
        <v/>
      </c>
    </row>
    <row r="2906">
      <c r="A2906" t="inlineStr">
        <is>
          <t>2025-05-12</t>
        </is>
      </c>
      <c r="B2906" t="inlineStr">
        <is>
          <t>아이크래프트</t>
        </is>
      </c>
      <c r="C2906" t="inlineStr">
        <is>
          <t>052460</t>
        </is>
      </c>
      <c r="D2906" t="inlineStr">
        <is>
          <t>연결</t>
        </is>
      </c>
      <c r="E2906" t="inlineStr">
        <is>
          <t>2025Q1</t>
        </is>
      </c>
      <c r="F2906" s="2" t="n">
        <v>40294</v>
      </c>
      <c r="G2906" t="inlineStr"/>
      <c r="H2906" t="inlineStr"/>
      <c r="I2906" s="2" t="n">
        <v>-1637</v>
      </c>
      <c r="J2906" t="inlineStr"/>
      <c r="K2906" t="inlineStr"/>
      <c r="L2906" s="2" t="n">
        <v>-1139</v>
      </c>
      <c r="M2906" t="inlineStr"/>
      <c r="N2906" t="inlineStr">
        <is>
          <t>20250512900457</t>
        </is>
      </c>
      <c r="O2906">
        <f>HYPERLINK("https://dart.fss.or.kr/dsaf001/main.do?rcpNo=20250512900457", "공시열람")</f>
        <v/>
      </c>
    </row>
    <row r="2907">
      <c r="A2907" t="inlineStr">
        <is>
          <t>2025-05-12</t>
        </is>
      </c>
      <c r="B2907" t="inlineStr">
        <is>
          <t>아이크래프트</t>
        </is>
      </c>
      <c r="C2907" t="inlineStr">
        <is>
          <t>052460</t>
        </is>
      </c>
      <c r="D2907" t="inlineStr">
        <is>
          <t>별도</t>
        </is>
      </c>
      <c r="E2907" t="inlineStr">
        <is>
          <t>2025Q1</t>
        </is>
      </c>
      <c r="F2907" s="2" t="n">
        <v>37128</v>
      </c>
      <c r="G2907" t="inlineStr"/>
      <c r="H2907" t="inlineStr"/>
      <c r="I2907" s="2" t="n">
        <v>-1587</v>
      </c>
      <c r="J2907" t="inlineStr"/>
      <c r="K2907" t="inlineStr"/>
      <c r="L2907" s="2" t="n">
        <v>-1015</v>
      </c>
      <c r="M2907" t="inlineStr"/>
      <c r="N2907" t="inlineStr">
        <is>
          <t>20250512900450</t>
        </is>
      </c>
      <c r="O2907">
        <f>HYPERLINK("https://dart.fss.or.kr/dsaf001/main.do?rcpNo=20250512900450", "공시열람")</f>
        <v/>
      </c>
    </row>
    <row r="2908">
      <c r="A2908" t="inlineStr">
        <is>
          <t>2025-05-12</t>
        </is>
      </c>
      <c r="B2908" t="inlineStr">
        <is>
          <t>키다리스튜디오</t>
        </is>
      </c>
      <c r="C2908" t="inlineStr">
        <is>
          <t>020120</t>
        </is>
      </c>
      <c r="D2908" t="inlineStr">
        <is>
          <t>연결</t>
        </is>
      </c>
      <c r="E2908" t="inlineStr">
        <is>
          <t>2025Q1</t>
        </is>
      </c>
      <c r="F2908" s="2" t="n">
        <v>48245</v>
      </c>
      <c r="G2908" t="n">
        <v>-13.55</v>
      </c>
      <c r="H2908" t="n">
        <v>-2.27</v>
      </c>
      <c r="I2908" s="2" t="n">
        <v>510</v>
      </c>
      <c r="J2908" t="n">
        <v>25.38</v>
      </c>
      <c r="K2908" t="n">
        <v>-0.02</v>
      </c>
      <c r="L2908" s="2" t="n">
        <v>2043</v>
      </c>
      <c r="M2908" t="inlineStr"/>
      <c r="N2908" t="inlineStr">
        <is>
          <t>20250512800428</t>
        </is>
      </c>
      <c r="O2908">
        <f>HYPERLINK("https://dart.fss.or.kr/dsaf001/main.do?rcpNo=20250512800428", "공시열람")</f>
        <v/>
      </c>
    </row>
    <row r="2909">
      <c r="A2909" t="inlineStr">
        <is>
          <t>2025-05-12</t>
        </is>
      </c>
      <c r="B2909" t="inlineStr">
        <is>
          <t>케이카</t>
        </is>
      </c>
      <c r="C2909" t="inlineStr">
        <is>
          <t>381970</t>
        </is>
      </c>
      <c r="D2909" t="inlineStr">
        <is>
          <t>별도</t>
        </is>
      </c>
      <c r="E2909" t="inlineStr">
        <is>
          <t>2025Q1</t>
        </is>
      </c>
      <c r="F2909" s="2" t="n">
        <v>604654</v>
      </c>
      <c r="G2909" t="inlineStr"/>
      <c r="H2909" t="inlineStr"/>
      <c r="I2909" s="2" t="n">
        <v>21464</v>
      </c>
      <c r="J2909" t="inlineStr"/>
      <c r="K2909" t="inlineStr"/>
      <c r="L2909" s="2" t="n">
        <v>14439</v>
      </c>
      <c r="M2909" t="inlineStr"/>
      <c r="N2909" t="inlineStr">
        <is>
          <t>20250512800040</t>
        </is>
      </c>
      <c r="O2909">
        <f>HYPERLINK("https://dart.fss.or.kr/dsaf001/main.do?rcpNo=20250512800040", "공시열람")</f>
        <v/>
      </c>
    </row>
    <row r="2910">
      <c r="A2910" t="inlineStr">
        <is>
          <t>2025-05-12</t>
        </is>
      </c>
      <c r="B2910" t="inlineStr">
        <is>
          <t>SK텔레콤</t>
        </is>
      </c>
      <c r="C2910" t="inlineStr">
        <is>
          <t>017670</t>
        </is>
      </c>
      <c r="D2910" t="inlineStr">
        <is>
          <t>별도</t>
        </is>
      </c>
      <c r="E2910" t="inlineStr">
        <is>
          <t>2025Q1</t>
        </is>
      </c>
      <c r="F2910" s="2" t="n">
        <v>3167500</v>
      </c>
      <c r="G2910" t="n">
        <v>-0.73</v>
      </c>
      <c r="H2910" t="n">
        <v>-0.67</v>
      </c>
      <c r="I2910" s="2" t="n">
        <v>482400</v>
      </c>
      <c r="J2910" t="n">
        <v>168.96</v>
      </c>
      <c r="K2910" t="n">
        <v>10.53</v>
      </c>
      <c r="L2910" s="2" t="n">
        <v>474600</v>
      </c>
      <c r="M2910" t="n">
        <v>-3.56</v>
      </c>
      <c r="N2910" t="inlineStr">
        <is>
          <t>20250512800155</t>
        </is>
      </c>
      <c r="O2910">
        <f>HYPERLINK("https://dart.fss.or.kr/dsaf001/main.do?rcpNo=20250512800155", "공시열람")</f>
        <v/>
      </c>
    </row>
    <row r="2911">
      <c r="A2911" t="inlineStr">
        <is>
          <t>2025-05-09</t>
        </is>
      </c>
      <c r="B2911" t="inlineStr">
        <is>
          <t>GS</t>
        </is>
      </c>
      <c r="C2911" t="inlineStr">
        <is>
          <t>078930</t>
        </is>
      </c>
      <c r="D2911" t="inlineStr">
        <is>
          <t>연결</t>
        </is>
      </c>
      <c r="E2911" t="inlineStr">
        <is>
          <t>2025Q1</t>
        </is>
      </c>
      <c r="F2911" s="2" t="n">
        <v>6238785</v>
      </c>
      <c r="G2911" t="n">
        <v>-2.63</v>
      </c>
      <c r="H2911" t="n">
        <v>-0.8</v>
      </c>
      <c r="I2911" s="2" t="n">
        <v>800160</v>
      </c>
      <c r="J2911" t="n">
        <v>29.46</v>
      </c>
      <c r="K2911" t="n">
        <v>-21.27</v>
      </c>
      <c r="L2911" s="2" t="n">
        <v>291451</v>
      </c>
      <c r="M2911" t="n">
        <v>-38.77</v>
      </c>
      <c r="N2911" t="inlineStr">
        <is>
          <t>20250509800327</t>
        </is>
      </c>
      <c r="O2911">
        <f>HYPERLINK("https://dart.fss.or.kr/dsaf001/main.do?rcpNo=20250509800327", "공시열람")</f>
        <v/>
      </c>
    </row>
    <row r="2912">
      <c r="A2912" t="inlineStr">
        <is>
          <t>2025-05-09</t>
        </is>
      </c>
      <c r="B2912" t="inlineStr">
        <is>
          <t>NAVER</t>
        </is>
      </c>
      <c r="C2912" t="inlineStr">
        <is>
          <t>035420</t>
        </is>
      </c>
      <c r="D2912" t="inlineStr">
        <is>
          <t>별도</t>
        </is>
      </c>
      <c r="E2912" t="inlineStr">
        <is>
          <t>2025Q1</t>
        </is>
      </c>
      <c r="F2912" s="2" t="n">
        <v>1617400</v>
      </c>
      <c r="G2912" t="n">
        <v>-4.5</v>
      </c>
      <c r="H2912" t="n">
        <v>13.8</v>
      </c>
      <c r="I2912" s="2" t="n">
        <v>483300</v>
      </c>
      <c r="J2912" t="n">
        <v>-8.699999999999999</v>
      </c>
      <c r="K2912" t="n">
        <v>18.9</v>
      </c>
      <c r="L2912" s="2" t="n">
        <v>404800</v>
      </c>
      <c r="M2912" t="n">
        <v>80.40000000000001</v>
      </c>
      <c r="N2912" t="inlineStr">
        <is>
          <t>20250509800010</t>
        </is>
      </c>
      <c r="O2912">
        <f>HYPERLINK("https://dart.fss.or.kr/dsaf001/main.do?rcpNo=20250509800010", "공시열람")</f>
        <v/>
      </c>
    </row>
    <row r="2913">
      <c r="A2913" t="inlineStr">
        <is>
          <t>2025-05-09</t>
        </is>
      </c>
      <c r="B2913" t="inlineStr">
        <is>
          <t>YG PLUS</t>
        </is>
      </c>
      <c r="C2913" t="inlineStr">
        <is>
          <t>037270</t>
        </is>
      </c>
      <c r="D2913" t="inlineStr">
        <is>
          <t>연결</t>
        </is>
      </c>
      <c r="E2913" t="inlineStr">
        <is>
          <t>2025Q1</t>
        </is>
      </c>
      <c r="F2913" s="2" t="n">
        <v>59010</v>
      </c>
      <c r="G2913" t="n">
        <v>8.57</v>
      </c>
      <c r="H2913" t="n">
        <v>42.33</v>
      </c>
      <c r="I2913" s="2" t="n">
        <v>8718</v>
      </c>
      <c r="J2913" t="n">
        <v>326.62</v>
      </c>
      <c r="K2913" t="inlineStr"/>
      <c r="L2913" s="2" t="n">
        <v>6958</v>
      </c>
      <c r="M2913" t="inlineStr"/>
      <c r="N2913" t="inlineStr">
        <is>
          <t>20250509800391</t>
        </is>
      </c>
      <c r="O2913">
        <f>HYPERLINK("https://dart.fss.or.kr/dsaf001/main.do?rcpNo=20250509800391", "공시열람")</f>
        <v/>
      </c>
    </row>
    <row r="2914">
      <c r="A2914" t="inlineStr">
        <is>
          <t>2025-05-09</t>
        </is>
      </c>
      <c r="B2914" t="inlineStr">
        <is>
          <t>쎌바이오텍</t>
        </is>
      </c>
      <c r="C2914" t="inlineStr">
        <is>
          <t>049960</t>
        </is>
      </c>
      <c r="D2914" t="inlineStr">
        <is>
          <t>연결</t>
        </is>
      </c>
      <c r="E2914" t="inlineStr">
        <is>
          <t>2025Q1</t>
        </is>
      </c>
      <c r="F2914" s="2" t="n">
        <v>11229</v>
      </c>
      <c r="G2914" t="inlineStr"/>
      <c r="H2914" t="inlineStr"/>
      <c r="I2914" s="2" t="n">
        <v>1362</v>
      </c>
      <c r="J2914" t="inlineStr"/>
      <c r="K2914" t="inlineStr"/>
      <c r="L2914" s="2" t="n">
        <v>2070</v>
      </c>
      <c r="M2914" t="inlineStr"/>
      <c r="N2914" t="inlineStr">
        <is>
          <t>20250509900407</t>
        </is>
      </c>
      <c r="O2914">
        <f>HYPERLINK("https://dart.fss.or.kr/dsaf001/main.do?rcpNo=20250509900407", "공시열람")</f>
        <v/>
      </c>
    </row>
    <row r="2915">
      <c r="A2915" t="inlineStr">
        <is>
          <t>2025-05-09</t>
        </is>
      </c>
      <c r="B2915" t="inlineStr">
        <is>
          <t>네오팜</t>
        </is>
      </c>
      <c r="C2915" t="inlineStr">
        <is>
          <t>092730</t>
        </is>
      </c>
      <c r="D2915" t="inlineStr">
        <is>
          <t>연결</t>
        </is>
      </c>
      <c r="E2915" t="inlineStr">
        <is>
          <t>2025Q1</t>
        </is>
      </c>
      <c r="F2915" s="2" t="n">
        <v>31608</v>
      </c>
      <c r="G2915" t="inlineStr"/>
      <c r="H2915" t="inlineStr"/>
      <c r="I2915" s="2" t="n">
        <v>7780</v>
      </c>
      <c r="J2915" t="inlineStr"/>
      <c r="K2915" t="inlineStr"/>
      <c r="L2915" s="2" t="n">
        <v>7136</v>
      </c>
      <c r="M2915" t="inlineStr"/>
      <c r="N2915" t="inlineStr">
        <is>
          <t>20250509900409</t>
        </is>
      </c>
      <c r="O2915">
        <f>HYPERLINK("https://dart.fss.or.kr/dsaf001/main.do?rcpNo=20250509900409", "공시열람")</f>
        <v/>
      </c>
    </row>
    <row r="2916">
      <c r="A2916" t="inlineStr">
        <is>
          <t>2025-05-09</t>
        </is>
      </c>
      <c r="B2916" t="inlineStr">
        <is>
          <t>이노션</t>
        </is>
      </c>
      <c r="C2916" t="inlineStr">
        <is>
          <t>214320</t>
        </is>
      </c>
      <c r="D2916" t="inlineStr">
        <is>
          <t>연결</t>
        </is>
      </c>
      <c r="E2916" t="inlineStr">
        <is>
          <t>2025Q1</t>
        </is>
      </c>
      <c r="F2916" s="2" t="n">
        <v>503391</v>
      </c>
      <c r="G2916" t="n">
        <v>-16</v>
      </c>
      <c r="H2916" t="n">
        <v>3.3</v>
      </c>
      <c r="I2916" s="2" t="n">
        <v>29842</v>
      </c>
      <c r="J2916" t="n">
        <v>-30</v>
      </c>
      <c r="K2916" t="n">
        <v>-2.1</v>
      </c>
      <c r="L2916" s="2" t="n">
        <v>16890</v>
      </c>
      <c r="M2916" t="n">
        <v>-42.6</v>
      </c>
      <c r="N2916" t="inlineStr">
        <is>
          <t>20250509800433</t>
        </is>
      </c>
      <c r="O2916">
        <f>HYPERLINK("https://dart.fss.or.kr/dsaf001/main.do?rcpNo=20250509800433", "공시열람")</f>
        <v/>
      </c>
    </row>
    <row r="2917">
      <c r="A2917" t="inlineStr">
        <is>
          <t>2025-05-09</t>
        </is>
      </c>
      <c r="B2917" t="inlineStr">
        <is>
          <t>현대백화점</t>
        </is>
      </c>
      <c r="C2917" t="inlineStr">
        <is>
          <t>069960</t>
        </is>
      </c>
      <c r="D2917" t="inlineStr">
        <is>
          <t>연결</t>
        </is>
      </c>
      <c r="E2917" t="inlineStr">
        <is>
          <t>2025Q1</t>
        </is>
      </c>
      <c r="F2917" s="2" t="n">
        <v>1098100</v>
      </c>
      <c r="G2917" t="n">
        <v>-6.6</v>
      </c>
      <c r="H2917" t="n">
        <v>15.4</v>
      </c>
      <c r="I2917" s="2" t="n">
        <v>112500</v>
      </c>
      <c r="J2917" t="n">
        <v>4.4</v>
      </c>
      <c r="K2917" t="n">
        <v>63.3</v>
      </c>
      <c r="L2917" s="2" t="n">
        <v>88300</v>
      </c>
      <c r="M2917" t="n">
        <v>24.8</v>
      </c>
      <c r="N2917" t="inlineStr">
        <is>
          <t>20250509800422</t>
        </is>
      </c>
      <c r="O2917">
        <f>HYPERLINK("https://dart.fss.or.kr/dsaf001/main.do?rcpNo=20250509800422", "공시열람")</f>
        <v/>
      </c>
    </row>
    <row r="2918">
      <c r="A2918" t="inlineStr">
        <is>
          <t>2025-05-09</t>
        </is>
      </c>
      <c r="B2918" t="inlineStr">
        <is>
          <t>씨젠</t>
        </is>
      </c>
      <c r="C2918" t="inlineStr">
        <is>
          <t>096530</t>
        </is>
      </c>
      <c r="D2918" t="inlineStr">
        <is>
          <t>연결</t>
        </is>
      </c>
      <c r="E2918" t="inlineStr">
        <is>
          <t>2025Q1</t>
        </is>
      </c>
      <c r="F2918" s="2" t="n">
        <v>115997</v>
      </c>
      <c r="G2918" t="inlineStr"/>
      <c r="H2918" t="inlineStr"/>
      <c r="I2918" s="2" t="n">
        <v>14847</v>
      </c>
      <c r="J2918" t="inlineStr"/>
      <c r="K2918" t="inlineStr"/>
      <c r="L2918" s="2" t="n">
        <v>28928</v>
      </c>
      <c r="M2918" t="inlineStr"/>
      <c r="N2918" t="inlineStr">
        <is>
          <t>20250509900428</t>
        </is>
      </c>
      <c r="O2918">
        <f>HYPERLINK("https://dart.fss.or.kr/dsaf001/main.do?rcpNo=20250509900428", "공시열람")</f>
        <v/>
      </c>
    </row>
    <row r="2919">
      <c r="A2919" t="inlineStr">
        <is>
          <t>2025-05-09</t>
        </is>
      </c>
      <c r="B2919" t="inlineStr">
        <is>
          <t>화천기계</t>
        </is>
      </c>
      <c r="C2919" t="inlineStr">
        <is>
          <t>010660</t>
        </is>
      </c>
      <c r="D2919" t="inlineStr">
        <is>
          <t>별도</t>
        </is>
      </c>
      <c r="E2919" t="inlineStr">
        <is>
          <t>2025Q1</t>
        </is>
      </c>
      <c r="F2919" s="2" t="n">
        <v>45817</v>
      </c>
      <c r="G2919" t="n">
        <v>-25.3</v>
      </c>
      <c r="H2919" t="n">
        <v>-1.5</v>
      </c>
      <c r="I2919" s="2" t="n">
        <v>-992</v>
      </c>
      <c r="J2919" t="n">
        <v>-454.2</v>
      </c>
      <c r="K2919" t="inlineStr"/>
      <c r="L2919" s="2" t="n">
        <v>-726</v>
      </c>
      <c r="M2919" t="inlineStr"/>
      <c r="N2919" t="inlineStr">
        <is>
          <t>20250509800426</t>
        </is>
      </c>
      <c r="O2919">
        <f>HYPERLINK("https://dart.fss.or.kr/dsaf001/main.do?rcpNo=20250509800426", "공시열람")</f>
        <v/>
      </c>
    </row>
    <row r="2920">
      <c r="A2920" t="inlineStr">
        <is>
          <t>2025-05-09</t>
        </is>
      </c>
      <c r="B2920" t="inlineStr">
        <is>
          <t>CJ프레시웨이</t>
        </is>
      </c>
      <c r="C2920" t="inlineStr">
        <is>
          <t>051500</t>
        </is>
      </c>
      <c r="D2920" t="inlineStr">
        <is>
          <t>연결</t>
        </is>
      </c>
      <c r="E2920" t="inlineStr">
        <is>
          <t>2025Q1</t>
        </is>
      </c>
      <c r="F2920" s="2" t="n">
        <v>798639</v>
      </c>
      <c r="G2920" t="inlineStr"/>
      <c r="H2920" t="inlineStr"/>
      <c r="I2920" s="2" t="n">
        <v>10631</v>
      </c>
      <c r="J2920" t="inlineStr"/>
      <c r="K2920" t="inlineStr"/>
      <c r="L2920" s="2" t="n">
        <v>1599</v>
      </c>
      <c r="M2920" t="inlineStr"/>
      <c r="N2920" t="inlineStr">
        <is>
          <t>20250509900451</t>
        </is>
      </c>
      <c r="O2920">
        <f>HYPERLINK("https://dart.fss.or.kr/dsaf001/main.do?rcpNo=20250509900451", "공시열람")</f>
        <v/>
      </c>
    </row>
    <row r="2921">
      <c r="A2921" t="inlineStr">
        <is>
          <t>2025-05-09</t>
        </is>
      </c>
      <c r="B2921" t="inlineStr">
        <is>
          <t>셀트리온</t>
        </is>
      </c>
      <c r="C2921" t="inlineStr">
        <is>
          <t>068270</t>
        </is>
      </c>
      <c r="D2921" t="inlineStr">
        <is>
          <t>별도</t>
        </is>
      </c>
      <c r="E2921" t="inlineStr">
        <is>
          <t>2025Q1</t>
        </is>
      </c>
      <c r="F2921" s="2" t="n">
        <v>634007</v>
      </c>
      <c r="G2921" t="inlineStr"/>
      <c r="H2921" t="inlineStr"/>
      <c r="I2921" s="2" t="n">
        <v>136423</v>
      </c>
      <c r="J2921" t="inlineStr"/>
      <c r="K2921" t="inlineStr"/>
      <c r="L2921" s="2" t="n">
        <v>166572</v>
      </c>
      <c r="M2921" t="inlineStr"/>
      <c r="N2921" t="inlineStr">
        <is>
          <t>20250509800437</t>
        </is>
      </c>
      <c r="O2921">
        <f>HYPERLINK("https://dart.fss.or.kr/dsaf001/main.do?rcpNo=20250509800437", "공시열람")</f>
        <v/>
      </c>
    </row>
    <row r="2922">
      <c r="A2922" t="inlineStr">
        <is>
          <t>2025-05-09</t>
        </is>
      </c>
      <c r="B2922" t="inlineStr">
        <is>
          <t>롯데웰푸드</t>
        </is>
      </c>
      <c r="C2922" t="inlineStr">
        <is>
          <t>280360</t>
        </is>
      </c>
      <c r="D2922" t="inlineStr">
        <is>
          <t>연결</t>
        </is>
      </c>
      <c r="E2922" t="inlineStr">
        <is>
          <t>2025Q1</t>
        </is>
      </c>
      <c r="F2922" s="2" t="n">
        <v>975126</v>
      </c>
      <c r="G2922" t="n">
        <v>0.5</v>
      </c>
      <c r="H2922" t="n">
        <v>2.5</v>
      </c>
      <c r="I2922" s="2" t="n">
        <v>16386</v>
      </c>
      <c r="J2922" t="inlineStr"/>
      <c r="K2922" t="n">
        <v>-56.1</v>
      </c>
      <c r="L2922" s="2" t="n">
        <v>22747</v>
      </c>
      <c r="M2922" t="n">
        <v>13.3</v>
      </c>
      <c r="N2922" t="inlineStr">
        <is>
          <t>20250509800337</t>
        </is>
      </c>
      <c r="O2922">
        <f>HYPERLINK("https://dart.fss.or.kr/dsaf001/main.do?rcpNo=20250509800337", "공시열람")</f>
        <v/>
      </c>
    </row>
    <row r="2923">
      <c r="A2923" t="inlineStr">
        <is>
          <t>2025-05-09</t>
        </is>
      </c>
      <c r="B2923" t="inlineStr">
        <is>
          <t>HS애드</t>
        </is>
      </c>
      <c r="C2923" t="inlineStr">
        <is>
          <t>035000</t>
        </is>
      </c>
      <c r="D2923" t="inlineStr">
        <is>
          <t>연결</t>
        </is>
      </c>
      <c r="E2923" t="inlineStr">
        <is>
          <t>2025Q1</t>
        </is>
      </c>
      <c r="F2923" s="2" t="n">
        <v>80768</v>
      </c>
      <c r="G2923" t="n">
        <v>-64.45</v>
      </c>
      <c r="H2923" t="n">
        <v>-6.41</v>
      </c>
      <c r="I2923" s="2" t="n">
        <v>-9519</v>
      </c>
      <c r="J2923" t="inlineStr"/>
      <c r="K2923" t="n">
        <v>-26.46</v>
      </c>
      <c r="L2923" s="2" t="n">
        <v>-7799</v>
      </c>
      <c r="M2923" t="n">
        <v>-3.83</v>
      </c>
      <c r="N2923" t="inlineStr">
        <is>
          <t>20250509800634</t>
        </is>
      </c>
      <c r="O2923">
        <f>HYPERLINK("https://dart.fss.or.kr/dsaf001/main.do?rcpNo=20250509800634", "공시열람")</f>
        <v/>
      </c>
    </row>
    <row r="2924">
      <c r="A2924" t="inlineStr">
        <is>
          <t>2025-05-09</t>
        </is>
      </c>
      <c r="B2924" t="inlineStr">
        <is>
          <t>콜마홀딩스</t>
        </is>
      </c>
      <c r="C2924" t="inlineStr">
        <is>
          <t>024720</t>
        </is>
      </c>
      <c r="D2924" t="inlineStr">
        <is>
          <t>연결</t>
        </is>
      </c>
      <c r="E2924" t="inlineStr">
        <is>
          <t>2025Q1</t>
        </is>
      </c>
      <c r="F2924" s="2" t="n">
        <v>152411</v>
      </c>
      <c r="G2924" t="n">
        <v>-3</v>
      </c>
      <c r="H2924" t="n">
        <v>-13.58</v>
      </c>
      <c r="I2924" s="2" t="n">
        <v>3139</v>
      </c>
      <c r="J2924" t="n">
        <v>-62.4</v>
      </c>
      <c r="K2924" t="n">
        <v>-64.44</v>
      </c>
      <c r="L2924" s="2" t="n">
        <v>1088</v>
      </c>
      <c r="M2924" t="n">
        <v>-87.17</v>
      </c>
      <c r="N2924" t="inlineStr">
        <is>
          <t>20250509800589</t>
        </is>
      </c>
      <c r="O2924">
        <f>HYPERLINK("https://dart.fss.or.kr/dsaf001/main.do?rcpNo=20250509800589", "공시열람")</f>
        <v/>
      </c>
    </row>
    <row r="2925">
      <c r="A2925" t="inlineStr">
        <is>
          <t>2025-05-09</t>
        </is>
      </c>
      <c r="B2925" t="inlineStr">
        <is>
          <t>KTcs</t>
        </is>
      </c>
      <c r="C2925" t="inlineStr">
        <is>
          <t>058850</t>
        </is>
      </c>
      <c r="D2925" t="inlineStr">
        <is>
          <t>연결</t>
        </is>
      </c>
      <c r="E2925" t="inlineStr">
        <is>
          <t>2025Q1</t>
        </is>
      </c>
      <c r="F2925" s="2" t="n">
        <v>235235</v>
      </c>
      <c r="G2925" t="inlineStr"/>
      <c r="H2925" t="inlineStr"/>
      <c r="I2925" s="2" t="n">
        <v>6631</v>
      </c>
      <c r="J2925" t="inlineStr"/>
      <c r="K2925" t="inlineStr"/>
      <c r="L2925" s="2" t="n">
        <v>5295</v>
      </c>
      <c r="M2925" t="inlineStr"/>
      <c r="N2925" t="inlineStr">
        <is>
          <t>20250509800528</t>
        </is>
      </c>
      <c r="O2925">
        <f>HYPERLINK("https://dart.fss.or.kr/dsaf001/main.do?rcpNo=20250509800528", "공시열람")</f>
        <v/>
      </c>
    </row>
    <row r="2926">
      <c r="A2926" t="inlineStr">
        <is>
          <t>2025-05-09</t>
        </is>
      </c>
      <c r="B2926" t="inlineStr">
        <is>
          <t>KTcs</t>
        </is>
      </c>
      <c r="C2926" t="inlineStr">
        <is>
          <t>058850</t>
        </is>
      </c>
      <c r="D2926" t="inlineStr">
        <is>
          <t>별도</t>
        </is>
      </c>
      <c r="E2926" t="inlineStr">
        <is>
          <t>2025Q1</t>
        </is>
      </c>
      <c r="F2926" s="2" t="n">
        <v>162543</v>
      </c>
      <c r="G2926" t="inlineStr"/>
      <c r="H2926" t="inlineStr"/>
      <c r="I2926" s="2" t="n">
        <v>4545</v>
      </c>
      <c r="J2926" t="inlineStr"/>
      <c r="K2926" t="inlineStr"/>
      <c r="L2926" s="2" t="n">
        <v>3548</v>
      </c>
      <c r="M2926" t="inlineStr"/>
      <c r="N2926" t="inlineStr">
        <is>
          <t>20250509800522</t>
        </is>
      </c>
      <c r="O2926">
        <f>HYPERLINK("https://dart.fss.or.kr/dsaf001/main.do?rcpNo=20250509800522", "공시열람")</f>
        <v/>
      </c>
    </row>
    <row r="2927">
      <c r="A2927" t="inlineStr">
        <is>
          <t>2025-05-09</t>
        </is>
      </c>
      <c r="B2927" t="inlineStr">
        <is>
          <t>콜마홀딩스</t>
        </is>
      </c>
      <c r="C2927" t="inlineStr">
        <is>
          <t>024720</t>
        </is>
      </c>
      <c r="D2927" t="inlineStr">
        <is>
          <t>별도</t>
        </is>
      </c>
      <c r="E2927" t="inlineStr">
        <is>
          <t>2025Q1</t>
        </is>
      </c>
      <c r="F2927" s="2" t="n">
        <v>16703</v>
      </c>
      <c r="G2927" t="n">
        <v>53.35</v>
      </c>
      <c r="H2927" t="n">
        <v>0.46</v>
      </c>
      <c r="I2927" s="2" t="n">
        <v>5729</v>
      </c>
      <c r="J2927" t="inlineStr"/>
      <c r="K2927" t="n">
        <v>-21.35</v>
      </c>
      <c r="L2927" s="2" t="n">
        <v>5087</v>
      </c>
      <c r="M2927" t="n">
        <v>-59.5</v>
      </c>
      <c r="N2927" t="inlineStr">
        <is>
          <t>20250509800488</t>
        </is>
      </c>
      <c r="O2927">
        <f>HYPERLINK("https://dart.fss.or.kr/dsaf001/main.do?rcpNo=20250509800488", "공시열람")</f>
        <v/>
      </c>
    </row>
    <row r="2928">
      <c r="A2928" t="inlineStr">
        <is>
          <t>2025-05-09</t>
        </is>
      </c>
      <c r="B2928" t="inlineStr">
        <is>
          <t>SK가스</t>
        </is>
      </c>
      <c r="C2928" t="inlineStr">
        <is>
          <t>018670</t>
        </is>
      </c>
      <c r="D2928" t="inlineStr">
        <is>
          <t>연결</t>
        </is>
      </c>
      <c r="E2928" t="inlineStr">
        <is>
          <t>2025Q1</t>
        </is>
      </c>
      <c r="F2928" s="2" t="n">
        <v>1827031</v>
      </c>
      <c r="G2928" t="n">
        <v>-7.9</v>
      </c>
      <c r="H2928" t="n">
        <v>5.9</v>
      </c>
      <c r="I2928" s="2" t="n">
        <v>112910</v>
      </c>
      <c r="J2928" t="n">
        <v>-7.9</v>
      </c>
      <c r="K2928" t="n">
        <v>51.3</v>
      </c>
      <c r="L2928" s="2" t="n">
        <v>87305</v>
      </c>
      <c r="M2928" t="n">
        <v>330.3</v>
      </c>
      <c r="N2928" t="inlineStr">
        <is>
          <t>20250509800501</t>
        </is>
      </c>
      <c r="O2928">
        <f>HYPERLINK("https://dart.fss.or.kr/dsaf001/main.do?rcpNo=20250509800501", "공시열람")</f>
        <v/>
      </c>
    </row>
    <row r="2929">
      <c r="A2929" t="inlineStr">
        <is>
          <t>2025-05-09</t>
        </is>
      </c>
      <c r="B2929" t="inlineStr">
        <is>
          <t>티케이지휴켐스</t>
        </is>
      </c>
      <c r="C2929" t="inlineStr">
        <is>
          <t>069260</t>
        </is>
      </c>
      <c r="D2929" t="inlineStr">
        <is>
          <t>연결</t>
        </is>
      </c>
      <c r="E2929" t="inlineStr">
        <is>
          <t>2025Q1</t>
        </is>
      </c>
      <c r="F2929" s="2" t="n">
        <v>269267</v>
      </c>
      <c r="G2929" t="n">
        <v>-13.7</v>
      </c>
      <c r="H2929" t="n">
        <v>-10.5</v>
      </c>
      <c r="I2929" s="2" t="n">
        <v>12619</v>
      </c>
      <c r="J2929" t="n">
        <v>53.5</v>
      </c>
      <c r="K2929" t="n">
        <v>-60</v>
      </c>
      <c r="L2929" s="2" t="n">
        <v>13969</v>
      </c>
      <c r="M2929" t="n">
        <v>-54</v>
      </c>
      <c r="N2929" t="inlineStr">
        <is>
          <t>20250509800460</t>
        </is>
      </c>
      <c r="O2929">
        <f>HYPERLINK("https://dart.fss.or.kr/dsaf001/main.do?rcpNo=20250509800460", "공시열람")</f>
        <v/>
      </c>
    </row>
    <row r="2930">
      <c r="A2930" t="inlineStr">
        <is>
          <t>2025-05-09</t>
        </is>
      </c>
      <c r="B2930" t="inlineStr">
        <is>
          <t>태광</t>
        </is>
      </c>
      <c r="C2930" t="inlineStr">
        <is>
          <t>023160</t>
        </is>
      </c>
      <c r="D2930" t="inlineStr">
        <is>
          <t>연결</t>
        </is>
      </c>
      <c r="E2930" t="inlineStr">
        <is>
          <t>2025Q1</t>
        </is>
      </c>
      <c r="F2930" s="2" t="n">
        <v>62635</v>
      </c>
      <c r="G2930" t="inlineStr"/>
      <c r="H2930" t="inlineStr"/>
      <c r="I2930" s="2" t="n">
        <v>7404</v>
      </c>
      <c r="J2930" t="inlineStr"/>
      <c r="K2930" t="inlineStr"/>
      <c r="L2930" s="2" t="n">
        <v>10238</v>
      </c>
      <c r="M2930" t="inlineStr"/>
      <c r="N2930" t="inlineStr">
        <is>
          <t>20250509900449</t>
        </is>
      </c>
      <c r="O2930">
        <f>HYPERLINK("https://dart.fss.or.kr/dsaf001/main.do?rcpNo=20250509900449", "공시열람")</f>
        <v/>
      </c>
    </row>
    <row r="2931">
      <c r="A2931" t="inlineStr">
        <is>
          <t>2025-05-09</t>
        </is>
      </c>
      <c r="B2931" t="inlineStr">
        <is>
          <t>서울반도체</t>
        </is>
      </c>
      <c r="C2931" t="inlineStr">
        <is>
          <t>046890</t>
        </is>
      </c>
      <c r="D2931" t="inlineStr">
        <is>
          <t>연결</t>
        </is>
      </c>
      <c r="E2931" t="inlineStr">
        <is>
          <t>2025Q1</t>
        </is>
      </c>
      <c r="F2931" s="2" t="n">
        <v>239227</v>
      </c>
      <c r="G2931" t="inlineStr"/>
      <c r="H2931" t="inlineStr"/>
      <c r="I2931" s="2" t="n">
        <v>-19645</v>
      </c>
      <c r="J2931" t="inlineStr"/>
      <c r="K2931" t="inlineStr"/>
      <c r="L2931" s="2" t="n">
        <v>-24741</v>
      </c>
      <c r="M2931" t="inlineStr"/>
      <c r="N2931" t="inlineStr">
        <is>
          <t>20250509900408</t>
        </is>
      </c>
      <c r="O2931">
        <f>HYPERLINK("https://dart.fss.or.kr/dsaf001/main.do?rcpNo=20250509900408", "공시열람")</f>
        <v/>
      </c>
    </row>
    <row r="2932">
      <c r="A2932" t="inlineStr">
        <is>
          <t>2025-05-09</t>
        </is>
      </c>
      <c r="B2932" t="inlineStr">
        <is>
          <t>롯데에너지머티리얼즈</t>
        </is>
      </c>
      <c r="C2932" t="inlineStr">
        <is>
          <t>020150</t>
        </is>
      </c>
      <c r="D2932" t="inlineStr">
        <is>
          <t>연결</t>
        </is>
      </c>
      <c r="E2932" t="inlineStr">
        <is>
          <t>2025Q1</t>
        </is>
      </c>
      <c r="F2932" s="2" t="n">
        <v>158000</v>
      </c>
      <c r="G2932" t="n">
        <v>-15.2</v>
      </c>
      <c r="H2932" t="n">
        <v>-34.6</v>
      </c>
      <c r="I2932" s="2" t="n">
        <v>-46000</v>
      </c>
      <c r="J2932" t="n">
        <v>-14.9</v>
      </c>
      <c r="K2932" t="inlineStr"/>
      <c r="L2932" s="2" t="n">
        <v>-54800</v>
      </c>
      <c r="M2932" t="n">
        <v>-9809.799999999999</v>
      </c>
      <c r="N2932" t="inlineStr">
        <is>
          <t>20250509800450</t>
        </is>
      </c>
      <c r="O2932">
        <f>HYPERLINK("https://dart.fss.or.kr/dsaf001/main.do?rcpNo=20250509800450", "공시열람")</f>
        <v/>
      </c>
    </row>
    <row r="2933">
      <c r="A2933" t="inlineStr">
        <is>
          <t>2025-05-09</t>
        </is>
      </c>
      <c r="B2933" t="inlineStr">
        <is>
          <t>현대지에프홀딩스</t>
        </is>
      </c>
      <c r="C2933" t="inlineStr">
        <is>
          <t>005440</t>
        </is>
      </c>
      <c r="D2933" t="inlineStr">
        <is>
          <t>연결</t>
        </is>
      </c>
      <c r="E2933" t="inlineStr">
        <is>
          <t>2025Q1</t>
        </is>
      </c>
      <c r="F2933" s="2" t="n">
        <v>2072100</v>
      </c>
      <c r="G2933" t="n">
        <v>-3.5</v>
      </c>
      <c r="H2933" t="n">
        <v>77.40000000000001</v>
      </c>
      <c r="I2933" s="2" t="n">
        <v>95600</v>
      </c>
      <c r="J2933" t="n">
        <v>369.9</v>
      </c>
      <c r="K2933" t="n">
        <v>159.8</v>
      </c>
      <c r="L2933" s="2" t="n">
        <v>203800</v>
      </c>
      <c r="M2933" t="n">
        <v>183.6</v>
      </c>
      <c r="N2933" t="inlineStr">
        <is>
          <t>20250509800442</t>
        </is>
      </c>
      <c r="O2933">
        <f>HYPERLINK("https://dart.fss.or.kr/dsaf001/main.do?rcpNo=20250509800442", "공시열람")</f>
        <v/>
      </c>
    </row>
    <row r="2934">
      <c r="A2934" t="inlineStr">
        <is>
          <t>2025-05-09</t>
        </is>
      </c>
      <c r="B2934" t="inlineStr">
        <is>
          <t>NAVER</t>
        </is>
      </c>
      <c r="C2934" t="inlineStr">
        <is>
          <t>035420</t>
        </is>
      </c>
      <c r="D2934" t="inlineStr">
        <is>
          <t>연결</t>
        </is>
      </c>
      <c r="E2934" t="inlineStr">
        <is>
          <t>2025Q1</t>
        </is>
      </c>
      <c r="F2934" s="2" t="n">
        <v>2786800</v>
      </c>
      <c r="G2934" t="n">
        <v>-3.4</v>
      </c>
      <c r="H2934" t="n">
        <v>10.3</v>
      </c>
      <c r="I2934" s="2" t="n">
        <v>505300</v>
      </c>
      <c r="J2934" t="n">
        <v>-6.8</v>
      </c>
      <c r="K2934" t="n">
        <v>15</v>
      </c>
      <c r="L2934" s="2" t="n">
        <v>423700</v>
      </c>
      <c r="M2934" t="n">
        <v>-23.8</v>
      </c>
      <c r="N2934" t="inlineStr">
        <is>
          <t>20250509800009</t>
        </is>
      </c>
      <c r="O2934">
        <f>HYPERLINK("https://dart.fss.or.kr/dsaf001/main.do?rcpNo=20250509800009", "공시열람")</f>
        <v/>
      </c>
    </row>
    <row r="2935">
      <c r="A2935" t="inlineStr">
        <is>
          <t>2025-05-09</t>
        </is>
      </c>
      <c r="B2935" t="inlineStr">
        <is>
          <t>셀트리온</t>
        </is>
      </c>
      <c r="C2935" t="inlineStr">
        <is>
          <t>068270</t>
        </is>
      </c>
      <c r="D2935" t="inlineStr">
        <is>
          <t>연결</t>
        </is>
      </c>
      <c r="E2935" t="inlineStr">
        <is>
          <t>2025Q1</t>
        </is>
      </c>
      <c r="F2935" s="2" t="n">
        <v>841912</v>
      </c>
      <c r="G2935" t="inlineStr"/>
      <c r="H2935" t="inlineStr"/>
      <c r="I2935" s="2" t="n">
        <v>149421</v>
      </c>
      <c r="J2935" t="inlineStr"/>
      <c r="K2935" t="inlineStr"/>
      <c r="L2935" s="2" t="n">
        <v>108333</v>
      </c>
      <c r="M2935" t="inlineStr"/>
      <c r="N2935" t="inlineStr">
        <is>
          <t>20250509800439</t>
        </is>
      </c>
      <c r="O2935">
        <f>HYPERLINK("https://dart.fss.or.kr/dsaf001/main.do?rcpNo=20250509800439", "공시열람")</f>
        <v/>
      </c>
    </row>
    <row r="2936">
      <c r="A2936" t="inlineStr">
        <is>
          <t>2025-05-09</t>
        </is>
      </c>
      <c r="B2936" t="inlineStr">
        <is>
          <t>롯데쇼핑</t>
        </is>
      </c>
      <c r="C2936" t="inlineStr">
        <is>
          <t>023530</t>
        </is>
      </c>
      <c r="D2936" t="inlineStr">
        <is>
          <t>연결</t>
        </is>
      </c>
      <c r="E2936" t="inlineStr">
        <is>
          <t>2025Q1</t>
        </is>
      </c>
      <c r="F2936" s="2" t="n">
        <v>3456771</v>
      </c>
      <c r="G2936" t="n">
        <v>-0.6</v>
      </c>
      <c r="H2936" t="n">
        <v>-1.6</v>
      </c>
      <c r="I2936" s="2" t="n">
        <v>148236</v>
      </c>
      <c r="J2936" t="n">
        <v>0.7</v>
      </c>
      <c r="K2936" t="n">
        <v>29</v>
      </c>
      <c r="L2936" s="2" t="n">
        <v>18118</v>
      </c>
      <c r="M2936" t="n">
        <v>-75.09999999999999</v>
      </c>
      <c r="N2936" t="inlineStr">
        <is>
          <t>20250509800044</t>
        </is>
      </c>
      <c r="O2936">
        <f>HYPERLINK("https://dart.fss.or.kr/dsaf001/main.do?rcpNo=20250509800044", "공시열람")</f>
        <v/>
      </c>
    </row>
    <row r="2937">
      <c r="A2937" t="inlineStr">
        <is>
          <t>2025-05-09</t>
        </is>
      </c>
      <c r="B2937" t="inlineStr">
        <is>
          <t>GS리테일</t>
        </is>
      </c>
      <c r="C2937" t="inlineStr">
        <is>
          <t>007070</t>
        </is>
      </c>
      <c r="D2937" t="inlineStr">
        <is>
          <t>연결</t>
        </is>
      </c>
      <c r="E2937" t="inlineStr">
        <is>
          <t>2025Q1</t>
        </is>
      </c>
      <c r="F2937" s="2" t="n">
        <v>2761297</v>
      </c>
      <c r="G2937" t="inlineStr"/>
      <c r="H2937" t="inlineStr"/>
      <c r="I2937" s="2" t="n">
        <v>38668</v>
      </c>
      <c r="J2937" t="inlineStr"/>
      <c r="K2937" t="inlineStr"/>
      <c r="L2937" s="2" t="n">
        <v>4810</v>
      </c>
      <c r="M2937" t="inlineStr"/>
      <c r="N2937" t="inlineStr">
        <is>
          <t>20250509800120</t>
        </is>
      </c>
      <c r="O2937">
        <f>HYPERLINK("https://dart.fss.or.kr/dsaf001/main.do?rcpNo=20250509800120", "공시열람")</f>
        <v/>
      </c>
    </row>
    <row r="2938">
      <c r="A2938" t="inlineStr">
        <is>
          <t>2025-05-09</t>
        </is>
      </c>
      <c r="B2938" t="inlineStr">
        <is>
          <t>KT지니뮤직</t>
        </is>
      </c>
      <c r="C2938" t="inlineStr">
        <is>
          <t>043610</t>
        </is>
      </c>
      <c r="D2938" t="inlineStr">
        <is>
          <t>연결</t>
        </is>
      </c>
      <c r="E2938" t="inlineStr">
        <is>
          <t>2025Q1</t>
        </is>
      </c>
      <c r="F2938" s="2" t="n">
        <v>69318</v>
      </c>
      <c r="G2938" t="inlineStr"/>
      <c r="H2938" t="inlineStr"/>
      <c r="I2938" s="2" t="n">
        <v>4035</v>
      </c>
      <c r="J2938" t="inlineStr"/>
      <c r="K2938" t="inlineStr"/>
      <c r="L2938" s="2" t="n">
        <v>2308</v>
      </c>
      <c r="M2938" t="inlineStr"/>
      <c r="N2938" t="inlineStr">
        <is>
          <t>20250509900323</t>
        </is>
      </c>
      <c r="O2938">
        <f>HYPERLINK("https://dart.fss.or.kr/dsaf001/main.do?rcpNo=20250509900323", "공시열람")</f>
        <v/>
      </c>
    </row>
    <row r="2939">
      <c r="A2939" t="inlineStr">
        <is>
          <t>2025-05-09</t>
        </is>
      </c>
      <c r="B2939" t="inlineStr">
        <is>
          <t>SG세계물산</t>
        </is>
      </c>
      <c r="C2939" t="inlineStr">
        <is>
          <t>004060</t>
        </is>
      </c>
      <c r="D2939" t="inlineStr">
        <is>
          <t>연결</t>
        </is>
      </c>
      <c r="E2939" t="inlineStr">
        <is>
          <t>2025Q1</t>
        </is>
      </c>
      <c r="F2939" s="2" t="n">
        <v>33745</v>
      </c>
      <c r="G2939" t="inlineStr"/>
      <c r="H2939" t="inlineStr"/>
      <c r="I2939" s="2" t="n">
        <v>-821</v>
      </c>
      <c r="J2939" t="inlineStr"/>
      <c r="K2939" t="inlineStr"/>
      <c r="L2939" s="2" t="n">
        <v>229</v>
      </c>
      <c r="M2939" t="inlineStr"/>
      <c r="N2939" t="inlineStr">
        <is>
          <t>20250509800318</t>
        </is>
      </c>
      <c r="O2939">
        <f>HYPERLINK("https://dart.fss.or.kr/dsaf001/main.do?rcpNo=20250509800318", "공시열람")</f>
        <v/>
      </c>
    </row>
    <row r="2940">
      <c r="A2940" t="inlineStr">
        <is>
          <t>2025-05-09</t>
        </is>
      </c>
      <c r="B2940" t="inlineStr">
        <is>
          <t>씨앤씨인터내셔널</t>
        </is>
      </c>
      <c r="C2940" t="inlineStr">
        <is>
          <t>352480</t>
        </is>
      </c>
      <c r="D2940" t="inlineStr">
        <is>
          <t>연결</t>
        </is>
      </c>
      <c r="E2940" t="inlineStr">
        <is>
          <t>2025Q1</t>
        </is>
      </c>
      <c r="F2940" s="2" t="n">
        <v>65982</v>
      </c>
      <c r="G2940" t="inlineStr"/>
      <c r="H2940" t="inlineStr"/>
      <c r="I2940" s="2" t="n">
        <v>5555</v>
      </c>
      <c r="J2940" t="inlineStr"/>
      <c r="K2940" t="inlineStr"/>
      <c r="L2940" s="2" t="n">
        <v>4060</v>
      </c>
      <c r="M2940" t="inlineStr"/>
      <c r="N2940" t="inlineStr">
        <is>
          <t>20250509900273</t>
        </is>
      </c>
      <c r="O2940">
        <f>HYPERLINK("https://dart.fss.or.kr/dsaf001/main.do?rcpNo=20250509900273", "공시열람")</f>
        <v/>
      </c>
    </row>
    <row r="2941">
      <c r="A2941" t="inlineStr">
        <is>
          <t>2025-05-09</t>
        </is>
      </c>
      <c r="B2941" t="inlineStr">
        <is>
          <t>티비에이치글로벌</t>
        </is>
      </c>
      <c r="C2941" t="inlineStr">
        <is>
          <t>084870</t>
        </is>
      </c>
      <c r="D2941" t="inlineStr">
        <is>
          <t>연결</t>
        </is>
      </c>
      <c r="E2941" t="inlineStr">
        <is>
          <t>2025Q1</t>
        </is>
      </c>
      <c r="F2941" s="2" t="n">
        <v>40448</v>
      </c>
      <c r="G2941" t="n">
        <v>-27.9</v>
      </c>
      <c r="H2941" t="n">
        <v>-0.6</v>
      </c>
      <c r="I2941" s="2" t="n">
        <v>-2784</v>
      </c>
      <c r="J2941" t="inlineStr"/>
      <c r="K2941" t="n">
        <v>-369.4</v>
      </c>
      <c r="L2941" s="2" t="n">
        <v>-2677</v>
      </c>
      <c r="M2941" t="n">
        <v>-87.8</v>
      </c>
      <c r="N2941" t="inlineStr">
        <is>
          <t>20250509800279</t>
        </is>
      </c>
      <c r="O2941">
        <f>HYPERLINK("https://dart.fss.or.kr/dsaf001/main.do?rcpNo=20250509800279", "공시열람")</f>
        <v/>
      </c>
    </row>
    <row r="2942">
      <c r="A2942" t="inlineStr">
        <is>
          <t>2025-05-09</t>
        </is>
      </c>
      <c r="B2942" t="inlineStr">
        <is>
          <t>메쎄이상</t>
        </is>
      </c>
      <c r="C2942" t="inlineStr">
        <is>
          <t>408920</t>
        </is>
      </c>
      <c r="D2942" t="inlineStr">
        <is>
          <t>연결</t>
        </is>
      </c>
      <c r="E2942" t="inlineStr">
        <is>
          <t>2025Q1</t>
        </is>
      </c>
      <c r="F2942" s="2" t="n">
        <v>13174</v>
      </c>
      <c r="G2942" t="inlineStr"/>
      <c r="H2942" t="inlineStr"/>
      <c r="I2942" s="2" t="n">
        <v>3291</v>
      </c>
      <c r="J2942" t="inlineStr"/>
      <c r="K2942" t="inlineStr"/>
      <c r="L2942" s="2" t="n">
        <v>2775</v>
      </c>
      <c r="M2942" t="inlineStr"/>
      <c r="N2942" t="inlineStr">
        <is>
          <t>20250509900350</t>
        </is>
      </c>
      <c r="O2942">
        <f>HYPERLINK("https://dart.fss.or.kr/dsaf001/main.do?rcpNo=20250509900350", "공시열람")</f>
        <v/>
      </c>
    </row>
    <row r="2943">
      <c r="A2943" t="inlineStr">
        <is>
          <t>2025-05-09</t>
        </is>
      </c>
      <c r="B2943" t="inlineStr">
        <is>
          <t>한국타이어앤테크놀로지</t>
        </is>
      </c>
      <c r="C2943" t="inlineStr">
        <is>
          <t>161390</t>
        </is>
      </c>
      <c r="D2943" t="inlineStr">
        <is>
          <t>연결</t>
        </is>
      </c>
      <c r="E2943" t="inlineStr">
        <is>
          <t>2025Q1</t>
        </is>
      </c>
      <c r="F2943" s="2" t="n">
        <v>4963667</v>
      </c>
      <c r="G2943" t="n">
        <v>96.09999999999999</v>
      </c>
      <c r="H2943" t="n">
        <v>133.3</v>
      </c>
      <c r="I2943" s="2" t="n">
        <v>354644</v>
      </c>
      <c r="J2943" t="n">
        <v>-25.1</v>
      </c>
      <c r="K2943" t="n">
        <v>-11.1</v>
      </c>
      <c r="L2943" s="2" t="n">
        <v>312208</v>
      </c>
      <c r="M2943" t="n">
        <v>-13.4</v>
      </c>
      <c r="N2943" t="inlineStr">
        <is>
          <t>20250509800194</t>
        </is>
      </c>
      <c r="O2943">
        <f>HYPERLINK("https://dart.fss.or.kr/dsaf001/main.do?rcpNo=20250509800194", "공시열람")</f>
        <v/>
      </c>
    </row>
    <row r="2944">
      <c r="A2944" t="inlineStr">
        <is>
          <t>2025-05-09</t>
        </is>
      </c>
      <c r="B2944" t="inlineStr">
        <is>
          <t>일신방직</t>
        </is>
      </c>
      <c r="C2944" t="inlineStr">
        <is>
          <t>003200</t>
        </is>
      </c>
      <c r="D2944" t="inlineStr">
        <is>
          <t>연결</t>
        </is>
      </c>
      <c r="E2944" t="inlineStr">
        <is>
          <t>2025Q1</t>
        </is>
      </c>
      <c r="F2944" s="2" t="n">
        <v>136430</v>
      </c>
      <c r="G2944" t="n">
        <v>-5.3</v>
      </c>
      <c r="H2944" t="n">
        <v>0.4</v>
      </c>
      <c r="I2944" s="2" t="n">
        <v>2810</v>
      </c>
      <c r="J2944" t="n">
        <v>-43.7</v>
      </c>
      <c r="K2944" t="n">
        <v>-1.3</v>
      </c>
      <c r="L2944" s="2" t="n">
        <v>18955</v>
      </c>
      <c r="M2944" t="n">
        <v>460.8</v>
      </c>
      <c r="N2944" t="inlineStr">
        <is>
          <t>20250509800173</t>
        </is>
      </c>
      <c r="O2944">
        <f>HYPERLINK("https://dart.fss.or.kr/dsaf001/main.do?rcpNo=20250509800173", "공시열람")</f>
        <v/>
      </c>
    </row>
    <row r="2945">
      <c r="A2945" t="inlineStr">
        <is>
          <t>2025-05-09</t>
        </is>
      </c>
      <c r="B2945" t="inlineStr">
        <is>
          <t>와이지엔터테인먼트</t>
        </is>
      </c>
      <c r="C2945" t="inlineStr">
        <is>
          <t>122870</t>
        </is>
      </c>
      <c r="D2945" t="inlineStr">
        <is>
          <t>연결</t>
        </is>
      </c>
      <c r="E2945" t="inlineStr">
        <is>
          <t>2025Q1</t>
        </is>
      </c>
      <c r="F2945" s="2" t="n">
        <v>100156</v>
      </c>
      <c r="G2945" t="inlineStr"/>
      <c r="H2945" t="inlineStr"/>
      <c r="I2945" s="2" t="n">
        <v>9525</v>
      </c>
      <c r="J2945" t="inlineStr"/>
      <c r="K2945" t="inlineStr"/>
      <c r="L2945" s="2" t="n">
        <v>10228</v>
      </c>
      <c r="M2945" t="inlineStr"/>
      <c r="N2945" t="inlineStr">
        <is>
          <t>20250509900160</t>
        </is>
      </c>
      <c r="O2945">
        <f>HYPERLINK("https://dart.fss.or.kr/dsaf001/main.do?rcpNo=20250509900160", "공시열람")</f>
        <v/>
      </c>
    </row>
    <row r="2946">
      <c r="A2946" t="inlineStr">
        <is>
          <t>2025-05-09</t>
        </is>
      </c>
      <c r="B2946" t="inlineStr">
        <is>
          <t>SK디앤디</t>
        </is>
      </c>
      <c r="C2946" t="inlineStr">
        <is>
          <t>210980</t>
        </is>
      </c>
      <c r="D2946" t="inlineStr">
        <is>
          <t>연결</t>
        </is>
      </c>
      <c r="E2946" t="inlineStr">
        <is>
          <t>2025Q1</t>
        </is>
      </c>
      <c r="F2946" s="2" t="n">
        <v>90700</v>
      </c>
      <c r="G2946" t="n">
        <v>-86.8</v>
      </c>
      <c r="H2946" t="n">
        <v>79.2</v>
      </c>
      <c r="I2946" s="2" t="n">
        <v>7100</v>
      </c>
      <c r="J2946" t="n">
        <v>-85.5</v>
      </c>
      <c r="K2946" t="inlineStr"/>
      <c r="L2946" s="2" t="n">
        <v>6300</v>
      </c>
      <c r="M2946" t="n">
        <v>206.8</v>
      </c>
      <c r="N2946" t="inlineStr">
        <is>
          <t>20250509800154</t>
        </is>
      </c>
      <c r="O2946">
        <f>HYPERLINK("https://dart.fss.or.kr/dsaf001/main.do?rcpNo=20250509800154", "공시열람")</f>
        <v/>
      </c>
    </row>
    <row r="2947">
      <c r="A2947" t="inlineStr">
        <is>
          <t>2025-05-09</t>
        </is>
      </c>
      <c r="B2947" t="inlineStr">
        <is>
          <t>투비소프트</t>
        </is>
      </c>
      <c r="C2947" t="inlineStr">
        <is>
          <t>079970</t>
        </is>
      </c>
      <c r="D2947" t="inlineStr">
        <is>
          <t>연결</t>
        </is>
      </c>
      <c r="E2947" t="inlineStr">
        <is>
          <t>2025Q1</t>
        </is>
      </c>
      <c r="F2947" s="2" t="n">
        <v>7261</v>
      </c>
      <c r="G2947" t="n">
        <v>215.97</v>
      </c>
      <c r="H2947" t="n">
        <v>-1.9</v>
      </c>
      <c r="I2947" s="2" t="n">
        <v>-815</v>
      </c>
      <c r="J2947" t="n">
        <v>-135.53</v>
      </c>
      <c r="K2947" t="n">
        <v>66.34</v>
      </c>
      <c r="L2947" s="2" t="n">
        <v>-753</v>
      </c>
      <c r="M2947" t="n">
        <v>58.94</v>
      </c>
      <c r="N2947" t="inlineStr">
        <is>
          <t>20250509900138</t>
        </is>
      </c>
      <c r="O2947">
        <f>HYPERLINK("https://dart.fss.or.kr/dsaf001/main.do?rcpNo=20250509900138", "공시열람")</f>
        <v/>
      </c>
    </row>
    <row r="2948">
      <c r="A2948" t="inlineStr">
        <is>
          <t>2025-05-09</t>
        </is>
      </c>
      <c r="B2948" t="inlineStr">
        <is>
          <t>DL</t>
        </is>
      </c>
      <c r="C2948" t="inlineStr">
        <is>
          <t>000210</t>
        </is>
      </c>
      <c r="D2948" t="inlineStr">
        <is>
          <t>연결</t>
        </is>
      </c>
      <c r="E2948" t="inlineStr">
        <is>
          <t>2025Q1</t>
        </is>
      </c>
      <c r="F2948" s="2" t="n">
        <v>1386571</v>
      </c>
      <c r="G2948" t="n">
        <v>6.92</v>
      </c>
      <c r="H2948" t="n">
        <v>-1.25</v>
      </c>
      <c r="I2948" s="2" t="n">
        <v>105353</v>
      </c>
      <c r="J2948" t="inlineStr"/>
      <c r="K2948" t="n">
        <v>-38.87</v>
      </c>
      <c r="L2948" s="2" t="n">
        <v>-19466</v>
      </c>
      <c r="M2948" t="inlineStr"/>
      <c r="N2948" t="inlineStr">
        <is>
          <t>20250509800062</t>
        </is>
      </c>
      <c r="O2948">
        <f>HYPERLINK("https://dart.fss.or.kr/dsaf001/main.do?rcpNo=20250509800062", "공시열람")</f>
        <v/>
      </c>
    </row>
    <row r="2949">
      <c r="A2949" t="inlineStr">
        <is>
          <t>2025-05-09</t>
        </is>
      </c>
      <c r="B2949" t="inlineStr">
        <is>
          <t>코웨이</t>
        </is>
      </c>
      <c r="C2949" t="inlineStr">
        <is>
          <t>021240</t>
        </is>
      </c>
      <c r="D2949" t="inlineStr">
        <is>
          <t>연결</t>
        </is>
      </c>
      <c r="E2949" t="inlineStr">
        <is>
          <t>2025Q1</t>
        </is>
      </c>
      <c r="F2949" s="2" t="n">
        <v>1174919</v>
      </c>
      <c r="G2949" t="inlineStr"/>
      <c r="H2949" t="inlineStr"/>
      <c r="I2949" s="2" t="n">
        <v>211245</v>
      </c>
      <c r="J2949" t="inlineStr"/>
      <c r="K2949" t="inlineStr"/>
      <c r="L2949" s="2" t="n">
        <v>138830</v>
      </c>
      <c r="M2949" t="inlineStr"/>
      <c r="N2949" t="inlineStr">
        <is>
          <t>20250509800124</t>
        </is>
      </c>
      <c r="O2949">
        <f>HYPERLINK("https://dart.fss.or.kr/dsaf001/main.do?rcpNo=20250509800124", "공시열람")</f>
        <v/>
      </c>
    </row>
    <row r="2950">
      <c r="A2950" t="inlineStr">
        <is>
          <t>2025-05-09</t>
        </is>
      </c>
      <c r="B2950" t="inlineStr">
        <is>
          <t>금호석유화학</t>
        </is>
      </c>
      <c r="C2950" t="inlineStr">
        <is>
          <t>011780</t>
        </is>
      </c>
      <c r="D2950" t="inlineStr">
        <is>
          <t>연결</t>
        </is>
      </c>
      <c r="E2950" t="inlineStr">
        <is>
          <t>2025Q1</t>
        </is>
      </c>
      <c r="F2950" s="2" t="n">
        <v>1908229</v>
      </c>
      <c r="G2950" t="n">
        <v>5.6</v>
      </c>
      <c r="H2950" t="n">
        <v>14.4</v>
      </c>
      <c r="I2950" s="2" t="n">
        <v>120608</v>
      </c>
      <c r="J2950" t="n">
        <v>1109.5</v>
      </c>
      <c r="K2950" t="n">
        <v>53.4</v>
      </c>
      <c r="L2950" s="2" t="n">
        <v>124833</v>
      </c>
      <c r="M2950" t="n">
        <v>21.7</v>
      </c>
      <c r="N2950" t="inlineStr">
        <is>
          <t>20250509800254</t>
        </is>
      </c>
      <c r="O2950">
        <f>HYPERLINK("https://dart.fss.or.kr/dsaf001/main.do?rcpNo=20250509800254", "공시열람")</f>
        <v/>
      </c>
    </row>
    <row r="2951">
      <c r="A2951" t="inlineStr">
        <is>
          <t>2025-05-09</t>
        </is>
      </c>
      <c r="B2951" t="inlineStr">
        <is>
          <t>GS피앤엘</t>
        </is>
      </c>
      <c r="C2951" t="inlineStr">
        <is>
          <t>499790</t>
        </is>
      </c>
      <c r="D2951" t="inlineStr">
        <is>
          <t>연결</t>
        </is>
      </c>
      <c r="E2951" t="inlineStr">
        <is>
          <t>2025Q1</t>
        </is>
      </c>
      <c r="F2951" s="2" t="n">
        <v>94476</v>
      </c>
      <c r="G2951" t="inlineStr"/>
      <c r="H2951" t="inlineStr"/>
      <c r="I2951" s="2" t="n">
        <v>15216</v>
      </c>
      <c r="J2951" t="inlineStr"/>
      <c r="K2951" t="inlineStr"/>
      <c r="L2951" s="2" t="n">
        <v>8338</v>
      </c>
      <c r="M2951" t="inlineStr"/>
      <c r="N2951" t="inlineStr">
        <is>
          <t>20250509800116</t>
        </is>
      </c>
      <c r="O2951">
        <f>HYPERLINK("https://dart.fss.or.kr/dsaf001/main.do?rcpNo=20250509800116", "공시열람")</f>
        <v/>
      </c>
    </row>
    <row r="2952">
      <c r="A2952" t="inlineStr">
        <is>
          <t>2025-05-09</t>
        </is>
      </c>
      <c r="B2952" t="inlineStr">
        <is>
          <t>케이티</t>
        </is>
      </c>
      <c r="C2952" t="inlineStr">
        <is>
          <t>030200</t>
        </is>
      </c>
      <c r="D2952" t="inlineStr">
        <is>
          <t>별도</t>
        </is>
      </c>
      <c r="E2952" t="inlineStr">
        <is>
          <t>2025Q1</t>
        </is>
      </c>
      <c r="F2952" s="2" t="n">
        <v>4682000</v>
      </c>
      <c r="G2952" t="n">
        <v>2.4</v>
      </c>
      <c r="H2952" t="n">
        <v>-0.3</v>
      </c>
      <c r="I2952" s="2" t="n">
        <v>400100</v>
      </c>
      <c r="J2952" t="inlineStr"/>
      <c r="K2952" t="n">
        <v>1.6</v>
      </c>
      <c r="L2952" s="2" t="n">
        <v>365400</v>
      </c>
      <c r="M2952" t="n">
        <v>3.2</v>
      </c>
      <c r="N2952" t="inlineStr">
        <is>
          <t>20250509800063</t>
        </is>
      </c>
      <c r="O2952">
        <f>HYPERLINK("https://dart.fss.or.kr/dsaf001/main.do?rcpNo=20250509800063", "공시열람")</f>
        <v/>
      </c>
    </row>
    <row r="2953">
      <c r="A2953" t="inlineStr">
        <is>
          <t>2025-05-09</t>
        </is>
      </c>
      <c r="B2953" t="inlineStr">
        <is>
          <t>흥국에프엔비</t>
        </is>
      </c>
      <c r="C2953" t="inlineStr">
        <is>
          <t>189980</t>
        </is>
      </c>
      <c r="D2953" t="inlineStr">
        <is>
          <t>연결</t>
        </is>
      </c>
      <c r="E2953" t="inlineStr">
        <is>
          <t>2025Q1</t>
        </is>
      </c>
      <c r="F2953" s="2" t="n">
        <v>24273</v>
      </c>
      <c r="G2953" t="inlineStr"/>
      <c r="H2953" t="inlineStr"/>
      <c r="I2953" s="2" t="n">
        <v>2191</v>
      </c>
      <c r="J2953" t="inlineStr"/>
      <c r="K2953" t="inlineStr"/>
      <c r="L2953" s="2" t="n">
        <v>1410</v>
      </c>
      <c r="M2953" t="inlineStr"/>
      <c r="N2953" t="inlineStr">
        <is>
          <t>20250509900104</t>
        </is>
      </c>
      <c r="O2953">
        <f>HYPERLINK("https://dart.fss.or.kr/dsaf001/main.do?rcpNo=20250509900104", "공시열람")</f>
        <v/>
      </c>
    </row>
    <row r="2954">
      <c r="A2954" t="inlineStr">
        <is>
          <t>2025-05-09</t>
        </is>
      </c>
      <c r="B2954" t="inlineStr">
        <is>
          <t>성광벤드</t>
        </is>
      </c>
      <c r="C2954" t="inlineStr">
        <is>
          <t>014620</t>
        </is>
      </c>
      <c r="D2954" t="inlineStr">
        <is>
          <t>연결</t>
        </is>
      </c>
      <c r="E2954" t="inlineStr">
        <is>
          <t>2025Q1</t>
        </is>
      </c>
      <c r="F2954" s="2" t="n">
        <v>63699</v>
      </c>
      <c r="G2954" t="inlineStr"/>
      <c r="H2954" t="inlineStr"/>
      <c r="I2954" s="2" t="n">
        <v>10745</v>
      </c>
      <c r="J2954" t="inlineStr"/>
      <c r="K2954" t="inlineStr"/>
      <c r="L2954" s="2" t="n">
        <v>9182</v>
      </c>
      <c r="M2954" t="inlineStr"/>
      <c r="N2954" t="inlineStr">
        <is>
          <t>20250509900095</t>
        </is>
      </c>
      <c r="O2954">
        <f>HYPERLINK("https://dart.fss.or.kr/dsaf001/main.do?rcpNo=20250509900095", "공시열람")</f>
        <v/>
      </c>
    </row>
    <row r="2955">
      <c r="A2955" t="inlineStr">
        <is>
          <t>2025-05-09</t>
        </is>
      </c>
      <c r="B2955" t="inlineStr">
        <is>
          <t>한국콜마</t>
        </is>
      </c>
      <c r="C2955" t="inlineStr">
        <is>
          <t>161890</t>
        </is>
      </c>
      <c r="D2955" t="inlineStr">
        <is>
          <t>연결</t>
        </is>
      </c>
      <c r="E2955" t="inlineStr">
        <is>
          <t>2025Q1</t>
        </is>
      </c>
      <c r="F2955" s="2" t="n">
        <v>653086</v>
      </c>
      <c r="G2955" t="n">
        <v>10.6</v>
      </c>
      <c r="H2955" t="n">
        <v>13.62</v>
      </c>
      <c r="I2955" s="2" t="n">
        <v>59940</v>
      </c>
      <c r="J2955" t="n">
        <v>70.56999999999999</v>
      </c>
      <c r="K2955" t="n">
        <v>84.83</v>
      </c>
      <c r="L2955" s="2" t="n">
        <v>23179</v>
      </c>
      <c r="M2955" t="n">
        <v>91.98999999999999</v>
      </c>
      <c r="N2955" t="inlineStr">
        <is>
          <t>20250509800090</t>
        </is>
      </c>
      <c r="O2955">
        <f>HYPERLINK("https://dart.fss.or.kr/dsaf001/main.do?rcpNo=20250509800090", "공시열람")</f>
        <v/>
      </c>
    </row>
    <row r="2956">
      <c r="A2956" t="inlineStr">
        <is>
          <t>2025-05-09</t>
        </is>
      </c>
      <c r="B2956" t="inlineStr">
        <is>
          <t>한국콜마</t>
        </is>
      </c>
      <c r="C2956" t="inlineStr">
        <is>
          <t>161890</t>
        </is>
      </c>
      <c r="D2956" t="inlineStr">
        <is>
          <t>별도</t>
        </is>
      </c>
      <c r="E2956" t="inlineStr">
        <is>
          <t>2025Q1</t>
        </is>
      </c>
      <c r="F2956" s="2" t="n">
        <v>274328</v>
      </c>
      <c r="G2956" t="n">
        <v>13.72</v>
      </c>
      <c r="H2956" t="n">
        <v>10.71</v>
      </c>
      <c r="I2956" s="2" t="n">
        <v>33888</v>
      </c>
      <c r="J2956" t="n">
        <v>87.73999999999999</v>
      </c>
      <c r="K2956" t="n">
        <v>48.46</v>
      </c>
      <c r="L2956" s="2" t="n">
        <v>28881</v>
      </c>
      <c r="M2956" t="n">
        <v>84.62</v>
      </c>
      <c r="N2956" t="inlineStr">
        <is>
          <t>20250509800088</t>
        </is>
      </c>
      <c r="O2956">
        <f>HYPERLINK("https://dart.fss.or.kr/dsaf001/main.do?rcpNo=20250509800088", "공시열람")</f>
        <v/>
      </c>
    </row>
    <row r="2957">
      <c r="A2957" t="inlineStr">
        <is>
          <t>2025-05-09</t>
        </is>
      </c>
      <c r="B2957" t="inlineStr">
        <is>
          <t>더존비즈온</t>
        </is>
      </c>
      <c r="C2957" t="inlineStr">
        <is>
          <t>012510</t>
        </is>
      </c>
      <c r="D2957" t="inlineStr">
        <is>
          <t>연결</t>
        </is>
      </c>
      <c r="E2957" t="inlineStr">
        <is>
          <t>2025Q1</t>
        </is>
      </c>
      <c r="F2957" s="2" t="n">
        <v>98601</v>
      </c>
      <c r="G2957" t="n">
        <v>-11.5</v>
      </c>
      <c r="H2957" t="n">
        <v>4.4</v>
      </c>
      <c r="I2957" s="2" t="n">
        <v>21588</v>
      </c>
      <c r="J2957" t="n">
        <v>-26.7</v>
      </c>
      <c r="K2957" t="n">
        <v>19.2</v>
      </c>
      <c r="L2957" s="2" t="n">
        <v>11998</v>
      </c>
      <c r="M2957" t="n">
        <v>-67.2</v>
      </c>
      <c r="N2957" t="inlineStr">
        <is>
          <t>20250509800078</t>
        </is>
      </c>
      <c r="O2957">
        <f>HYPERLINK("https://dart.fss.or.kr/dsaf001/main.do?rcpNo=20250509800078", "공시열람")</f>
        <v/>
      </c>
    </row>
    <row r="2958">
      <c r="A2958" t="inlineStr">
        <is>
          <t>2025-05-09</t>
        </is>
      </c>
      <c r="B2958" t="inlineStr">
        <is>
          <t>케이티</t>
        </is>
      </c>
      <c r="C2958" t="inlineStr">
        <is>
          <t>030200</t>
        </is>
      </c>
      <c r="D2958" t="inlineStr">
        <is>
          <t>연결</t>
        </is>
      </c>
      <c r="E2958" t="inlineStr">
        <is>
          <t>2025Q1</t>
        </is>
      </c>
      <c r="F2958" s="2" t="n">
        <v>6845100</v>
      </c>
      <c r="G2958" t="n">
        <v>4.1</v>
      </c>
      <c r="H2958" t="n">
        <v>2.9</v>
      </c>
      <c r="I2958" s="2" t="n">
        <v>688800</v>
      </c>
      <c r="J2958" t="inlineStr"/>
      <c r="K2958" t="n">
        <v>36</v>
      </c>
      <c r="L2958" s="2" t="n">
        <v>566800</v>
      </c>
      <c r="M2958" t="n">
        <v>44.2</v>
      </c>
      <c r="N2958" t="inlineStr">
        <is>
          <t>20250509800064</t>
        </is>
      </c>
      <c r="O2958">
        <f>HYPERLINK("https://dart.fss.or.kr/dsaf001/main.do?rcpNo=20250509800064", "공시열람")</f>
        <v/>
      </c>
    </row>
    <row r="2959">
      <c r="A2959" t="inlineStr">
        <is>
          <t>2025-05-09</t>
        </is>
      </c>
      <c r="B2959" t="inlineStr">
        <is>
          <t>에스케이바이오팜</t>
        </is>
      </c>
      <c r="C2959" t="inlineStr">
        <is>
          <t>326030</t>
        </is>
      </c>
      <c r="D2959" t="inlineStr">
        <is>
          <t>연결</t>
        </is>
      </c>
      <c r="E2959" t="inlineStr">
        <is>
          <t>2025Q1</t>
        </is>
      </c>
      <c r="F2959" s="2" t="n">
        <v>144377</v>
      </c>
      <c r="G2959" t="n">
        <v>-11.4</v>
      </c>
      <c r="H2959" t="n">
        <v>26.7</v>
      </c>
      <c r="I2959" s="2" t="n">
        <v>25672</v>
      </c>
      <c r="J2959" t="n">
        <v>-36.9</v>
      </c>
      <c r="K2959" t="n">
        <v>149.3</v>
      </c>
      <c r="L2959" s="2" t="n">
        <v>19623</v>
      </c>
      <c r="M2959" t="n">
        <v>102.3</v>
      </c>
      <c r="N2959" t="inlineStr">
        <is>
          <t>20250509800109</t>
        </is>
      </c>
      <c r="O2959">
        <f>HYPERLINK("https://dart.fss.or.kr/dsaf001/main.do?rcpNo=20250509800109", "공시열람")</f>
        <v/>
      </c>
    </row>
    <row r="2960">
      <c r="A2960" t="inlineStr">
        <is>
          <t>2025-05-08</t>
        </is>
      </c>
      <c r="B2960" t="inlineStr">
        <is>
          <t>하림</t>
        </is>
      </c>
      <c r="C2960" t="inlineStr">
        <is>
          <t>136480</t>
        </is>
      </c>
      <c r="D2960" t="inlineStr">
        <is>
          <t>연결</t>
        </is>
      </c>
      <c r="E2960" t="inlineStr">
        <is>
          <t>2025Q1</t>
        </is>
      </c>
      <c r="F2960" s="2" t="n">
        <v>322478</v>
      </c>
      <c r="G2960" t="inlineStr"/>
      <c r="H2960" t="inlineStr"/>
      <c r="I2960" s="2" t="n">
        <v>6948</v>
      </c>
      <c r="J2960" t="inlineStr"/>
      <c r="K2960" t="inlineStr"/>
      <c r="L2960" s="2" t="n">
        <v>2857</v>
      </c>
      <c r="M2960" t="inlineStr"/>
      <c r="N2960" t="inlineStr">
        <is>
          <t>20250508900669</t>
        </is>
      </c>
      <c r="O2960">
        <f>HYPERLINK("https://dart.fss.or.kr/dsaf001/main.do?rcpNo=20250508900669", "공시열람")</f>
        <v/>
      </c>
    </row>
    <row r="2961">
      <c r="A2961" t="inlineStr">
        <is>
          <t>2025-05-08</t>
        </is>
      </c>
      <c r="B2961" t="inlineStr">
        <is>
          <t>바디텍메드</t>
        </is>
      </c>
      <c r="C2961" t="inlineStr">
        <is>
          <t>206640</t>
        </is>
      </c>
      <c r="D2961" t="inlineStr">
        <is>
          <t>연결</t>
        </is>
      </c>
      <c r="E2961" t="inlineStr">
        <is>
          <t>2025Q1</t>
        </is>
      </c>
      <c r="F2961" s="2" t="n">
        <v>39101</v>
      </c>
      <c r="G2961" t="inlineStr"/>
      <c r="H2961" t="inlineStr"/>
      <c r="I2961" s="2" t="n">
        <v>8080</v>
      </c>
      <c r="J2961" t="inlineStr"/>
      <c r="K2961" t="inlineStr"/>
      <c r="L2961" s="2" t="n">
        <v>7259</v>
      </c>
      <c r="M2961" t="inlineStr"/>
      <c r="N2961" t="inlineStr">
        <is>
          <t>20250508900073</t>
        </is>
      </c>
      <c r="O2961">
        <f>HYPERLINK("https://dart.fss.or.kr/dsaf001/main.do?rcpNo=20250508900073", "공시열람")</f>
        <v/>
      </c>
    </row>
    <row r="2962">
      <c r="A2962" t="inlineStr">
        <is>
          <t>2025-05-08</t>
        </is>
      </c>
      <c r="B2962" t="inlineStr">
        <is>
          <t>LS마린솔루션</t>
        </is>
      </c>
      <c r="C2962" t="inlineStr">
        <is>
          <t>060370</t>
        </is>
      </c>
      <c r="D2962" t="inlineStr">
        <is>
          <t>연결</t>
        </is>
      </c>
      <c r="E2962" t="inlineStr">
        <is>
          <t>2025Q1</t>
        </is>
      </c>
      <c r="F2962" s="2" t="n">
        <v>44480</v>
      </c>
      <c r="G2962" t="inlineStr"/>
      <c r="H2962" t="inlineStr"/>
      <c r="I2962" s="2" t="n">
        <v>3019</v>
      </c>
      <c r="J2962" t="inlineStr"/>
      <c r="K2962" t="inlineStr"/>
      <c r="L2962" s="2" t="n">
        <v>2681</v>
      </c>
      <c r="M2962" t="inlineStr"/>
      <c r="N2962" t="inlineStr">
        <is>
          <t>20250508900058</t>
        </is>
      </c>
      <c r="O2962">
        <f>HYPERLINK("https://dart.fss.or.kr/dsaf001/main.do?rcpNo=20250508900058", "공시열람")</f>
        <v/>
      </c>
    </row>
    <row r="2963">
      <c r="A2963" t="inlineStr">
        <is>
          <t>2025-05-08</t>
        </is>
      </c>
      <c r="B2963" t="inlineStr">
        <is>
          <t>가온그룹</t>
        </is>
      </c>
      <c r="C2963" t="inlineStr">
        <is>
          <t>078890</t>
        </is>
      </c>
      <c r="D2963" t="inlineStr">
        <is>
          <t>연결</t>
        </is>
      </c>
      <c r="E2963" t="inlineStr">
        <is>
          <t>2025Q1</t>
        </is>
      </c>
      <c r="F2963" s="2" t="n">
        <v>127279</v>
      </c>
      <c r="G2963" t="inlineStr"/>
      <c r="H2963" t="inlineStr"/>
      <c r="I2963" s="2" t="n">
        <v>443</v>
      </c>
      <c r="J2963" t="inlineStr"/>
      <c r="K2963" t="inlineStr"/>
      <c r="L2963" s="2" t="n">
        <v>3260</v>
      </c>
      <c r="M2963" t="inlineStr"/>
      <c r="N2963" t="inlineStr">
        <is>
          <t>20250508900050</t>
        </is>
      </c>
      <c r="O2963">
        <f>HYPERLINK("https://dart.fss.or.kr/dsaf001/main.do?rcpNo=20250508900050", "공시열람")</f>
        <v/>
      </c>
    </row>
    <row r="2964">
      <c r="A2964" t="inlineStr">
        <is>
          <t>2025-05-08</t>
        </is>
      </c>
      <c r="B2964" t="inlineStr">
        <is>
          <t>카카오</t>
        </is>
      </c>
      <c r="C2964" t="inlineStr">
        <is>
          <t>035720</t>
        </is>
      </c>
      <c r="D2964" t="inlineStr">
        <is>
          <t>별도</t>
        </is>
      </c>
      <c r="E2964" t="inlineStr">
        <is>
          <t>2025Q1</t>
        </is>
      </c>
      <c r="F2964" s="2" t="n">
        <v>661738</v>
      </c>
      <c r="G2964" t="n">
        <v>-4.3</v>
      </c>
      <c r="H2964" t="n">
        <v>3.3</v>
      </c>
      <c r="I2964" s="2" t="n">
        <v>103926</v>
      </c>
      <c r="J2964" t="n">
        <v>-15.2</v>
      </c>
      <c r="K2964" t="n">
        <v>-24.5</v>
      </c>
      <c r="L2964" s="2" t="n">
        <v>80149</v>
      </c>
      <c r="M2964" t="n">
        <v>-39.4</v>
      </c>
      <c r="N2964" t="inlineStr">
        <is>
          <t>20250508800016</t>
        </is>
      </c>
      <c r="O2964">
        <f>HYPERLINK("https://dart.fss.or.kr/dsaf001/main.do?rcpNo=20250508800016", "공시열람")</f>
        <v/>
      </c>
    </row>
    <row r="2965">
      <c r="A2965" t="inlineStr">
        <is>
          <t>2025-05-08</t>
        </is>
      </c>
      <c r="B2965" t="inlineStr">
        <is>
          <t>케이티스카이라이프</t>
        </is>
      </c>
      <c r="C2965" t="inlineStr">
        <is>
          <t>053210</t>
        </is>
      </c>
      <c r="D2965" t="inlineStr">
        <is>
          <t>연결</t>
        </is>
      </c>
      <c r="E2965" t="inlineStr">
        <is>
          <t>2025Q1</t>
        </is>
      </c>
      <c r="F2965" s="2" t="n">
        <v>242881</v>
      </c>
      <c r="G2965" t="n">
        <v>-5.5</v>
      </c>
      <c r="H2965" t="n">
        <v>-4.5</v>
      </c>
      <c r="I2965" s="2" t="n">
        <v>5107</v>
      </c>
      <c r="J2965" t="inlineStr"/>
      <c r="K2965" t="n">
        <v>78</v>
      </c>
      <c r="L2965" s="2" t="n">
        <v>1624</v>
      </c>
      <c r="M2965" t="n">
        <v>28.3</v>
      </c>
      <c r="N2965" t="inlineStr">
        <is>
          <t>20250508800015</t>
        </is>
      </c>
      <c r="O2965">
        <f>HYPERLINK("https://dart.fss.or.kr/dsaf001/main.do?rcpNo=20250508800015", "공시열람")</f>
        <v/>
      </c>
    </row>
    <row r="2966">
      <c r="A2966" t="inlineStr">
        <is>
          <t>2025-05-08</t>
        </is>
      </c>
      <c r="B2966" t="inlineStr">
        <is>
          <t>카카오</t>
        </is>
      </c>
      <c r="C2966" t="inlineStr">
        <is>
          <t>035720</t>
        </is>
      </c>
      <c r="D2966" t="inlineStr">
        <is>
          <t>연결</t>
        </is>
      </c>
      <c r="E2966" t="inlineStr">
        <is>
          <t>2025Q1</t>
        </is>
      </c>
      <c r="F2966" s="2" t="n">
        <v>1863731</v>
      </c>
      <c r="G2966" t="n">
        <v>-4.8</v>
      </c>
      <c r="H2966" t="n">
        <v>-6.3</v>
      </c>
      <c r="I2966" s="2" t="n">
        <v>105401</v>
      </c>
      <c r="J2966" t="n">
        <v>39.7</v>
      </c>
      <c r="K2966" t="n">
        <v>-12.4</v>
      </c>
      <c r="L2966" s="2" t="n">
        <v>190931</v>
      </c>
      <c r="M2966" t="n">
        <v>182.1</v>
      </c>
      <c r="N2966" t="inlineStr">
        <is>
          <t>20250508800012</t>
        </is>
      </c>
      <c r="O2966">
        <f>HYPERLINK("https://dart.fss.or.kr/dsaf001/main.do?rcpNo=20250508800012", "공시열람")</f>
        <v/>
      </c>
    </row>
    <row r="2967">
      <c r="A2967" t="inlineStr">
        <is>
          <t>2025-05-08</t>
        </is>
      </c>
      <c r="B2967" t="inlineStr">
        <is>
          <t>케이티스카이라이프</t>
        </is>
      </c>
      <c r="C2967" t="inlineStr">
        <is>
          <t>053210</t>
        </is>
      </c>
      <c r="D2967" t="inlineStr">
        <is>
          <t>별도</t>
        </is>
      </c>
      <c r="E2967" t="inlineStr">
        <is>
          <t>2025Q1</t>
        </is>
      </c>
      <c r="F2967" s="2" t="n">
        <v>169597</v>
      </c>
      <c r="G2967" t="n">
        <v>-3</v>
      </c>
      <c r="H2967" t="n">
        <v>-4.7</v>
      </c>
      <c r="I2967" s="2" t="n">
        <v>13152</v>
      </c>
      <c r="J2967" t="n">
        <v>184.2</v>
      </c>
      <c r="K2967" t="n">
        <v>1.5</v>
      </c>
      <c r="L2967" s="2" t="n">
        <v>9284</v>
      </c>
      <c r="M2967" t="n">
        <v>-63.4</v>
      </c>
      <c r="N2967" t="inlineStr">
        <is>
          <t>20250508800010</t>
        </is>
      </c>
      <c r="O2967">
        <f>HYPERLINK("https://dart.fss.or.kr/dsaf001/main.do?rcpNo=20250508800010", "공시열람")</f>
        <v/>
      </c>
    </row>
    <row r="2968">
      <c r="A2968" t="inlineStr">
        <is>
          <t>2025-05-08</t>
        </is>
      </c>
      <c r="B2968" t="inlineStr">
        <is>
          <t>메가스터디교육</t>
        </is>
      </c>
      <c r="C2968" t="inlineStr">
        <is>
          <t>215200</t>
        </is>
      </c>
      <c r="D2968" t="inlineStr">
        <is>
          <t>연결</t>
        </is>
      </c>
      <c r="E2968" t="inlineStr">
        <is>
          <t>2025Q1</t>
        </is>
      </c>
      <c r="F2968" s="2" t="n">
        <v>237670</v>
      </c>
      <c r="G2968" t="inlineStr"/>
      <c r="H2968" t="inlineStr"/>
      <c r="I2968" s="2" t="n">
        <v>26201</v>
      </c>
      <c r="J2968" t="inlineStr"/>
      <c r="K2968" t="inlineStr"/>
      <c r="L2968" s="2" t="n">
        <v>20825</v>
      </c>
      <c r="M2968" t="inlineStr"/>
      <c r="N2968" t="inlineStr">
        <is>
          <t>20250508900534</t>
        </is>
      </c>
      <c r="O2968">
        <f>HYPERLINK("https://dart.fss.or.kr/dsaf001/main.do?rcpNo=20250508900534", "공시열람")</f>
        <v/>
      </c>
    </row>
    <row r="2969">
      <c r="A2969" t="inlineStr">
        <is>
          <t>2025-05-08</t>
        </is>
      </c>
      <c r="B2969" t="inlineStr">
        <is>
          <t>미래에셋증권</t>
        </is>
      </c>
      <c r="C2969" t="inlineStr">
        <is>
          <t>006800</t>
        </is>
      </c>
      <c r="D2969" t="inlineStr">
        <is>
          <t>연결</t>
        </is>
      </c>
      <c r="E2969" t="inlineStr">
        <is>
          <t>2025Q1</t>
        </is>
      </c>
      <c r="F2969" s="2" t="n">
        <v>6052641</v>
      </c>
      <c r="G2969" t="inlineStr"/>
      <c r="H2969" t="inlineStr"/>
      <c r="I2969" s="2" t="n">
        <v>346185</v>
      </c>
      <c r="J2969" t="inlineStr"/>
      <c r="K2969" t="inlineStr"/>
      <c r="L2969" s="2" t="n">
        <v>258226</v>
      </c>
      <c r="M2969" t="inlineStr"/>
      <c r="N2969" t="inlineStr">
        <is>
          <t>20250508800065</t>
        </is>
      </c>
      <c r="O2969">
        <f>HYPERLINK("https://dart.fss.or.kr/dsaf001/main.do?rcpNo=20250508800065", "공시열람")</f>
        <v/>
      </c>
    </row>
    <row r="2970">
      <c r="A2970" t="inlineStr">
        <is>
          <t>2025-05-08</t>
        </is>
      </c>
      <c r="B2970" t="inlineStr">
        <is>
          <t>KZ정밀</t>
        </is>
      </c>
      <c r="C2970" t="inlineStr">
        <is>
          <t>036560</t>
        </is>
      </c>
      <c r="D2970" t="inlineStr">
        <is>
          <t>별도</t>
        </is>
      </c>
      <c r="E2970" t="inlineStr">
        <is>
          <t>2025Q1</t>
        </is>
      </c>
      <c r="F2970" s="2" t="n">
        <v>21715</v>
      </c>
      <c r="G2970" t="inlineStr"/>
      <c r="H2970" t="inlineStr"/>
      <c r="I2970" s="2" t="n">
        <v>1909</v>
      </c>
      <c r="J2970" t="inlineStr"/>
      <c r="K2970" t="inlineStr"/>
      <c r="L2970" s="2" t="n">
        <v>2648</v>
      </c>
      <c r="M2970" t="inlineStr"/>
      <c r="N2970" t="inlineStr">
        <is>
          <t>20250508900205</t>
        </is>
      </c>
      <c r="O2970">
        <f>HYPERLINK("https://dart.fss.or.kr/dsaf001/main.do?rcpNo=20250508900205", "공시열람")</f>
        <v/>
      </c>
    </row>
    <row r="2971">
      <c r="A2971" t="inlineStr">
        <is>
          <t>2025-05-08</t>
        </is>
      </c>
      <c r="B2971" t="inlineStr">
        <is>
          <t>고려아연</t>
        </is>
      </c>
      <c r="C2971" t="inlineStr">
        <is>
          <t>010130</t>
        </is>
      </c>
      <c r="D2971" t="inlineStr">
        <is>
          <t>연결</t>
        </is>
      </c>
      <c r="E2971" t="inlineStr">
        <is>
          <t>2025Q1</t>
        </is>
      </c>
      <c r="F2971" s="2" t="n">
        <v>3832785</v>
      </c>
      <c r="G2971" t="n">
        <v>12.3</v>
      </c>
      <c r="H2971" t="n">
        <v>61.4</v>
      </c>
      <c r="I2971" s="2" t="n">
        <v>271136</v>
      </c>
      <c r="J2971" t="n">
        <v>125.5</v>
      </c>
      <c r="K2971" t="n">
        <v>46.9</v>
      </c>
      <c r="L2971" s="2" t="n">
        <v>159967</v>
      </c>
      <c r="M2971" t="n">
        <v>42.3</v>
      </c>
      <c r="N2971" t="inlineStr">
        <is>
          <t>20250508800695</t>
        </is>
      </c>
      <c r="O2971">
        <f>HYPERLINK("https://dart.fss.or.kr/dsaf001/main.do?rcpNo=20250508800695", "공시열람")</f>
        <v/>
      </c>
    </row>
    <row r="2972">
      <c r="A2972" t="inlineStr">
        <is>
          <t>2025-05-08</t>
        </is>
      </c>
      <c r="B2972" t="inlineStr">
        <is>
          <t>에이피알</t>
        </is>
      </c>
      <c r="C2972" t="inlineStr">
        <is>
          <t>278470</t>
        </is>
      </c>
      <c r="D2972" t="inlineStr">
        <is>
          <t>연결</t>
        </is>
      </c>
      <c r="E2972" t="inlineStr">
        <is>
          <t>2025Q1</t>
        </is>
      </c>
      <c r="F2972" s="2" t="n">
        <v>266033</v>
      </c>
      <c r="G2972" t="n">
        <v>8.9</v>
      </c>
      <c r="H2972" t="n">
        <v>78.59999999999999</v>
      </c>
      <c r="I2972" s="2" t="n">
        <v>54568</v>
      </c>
      <c r="J2972" t="n">
        <v>37.5</v>
      </c>
      <c r="K2972" t="n">
        <v>96.5</v>
      </c>
      <c r="L2972" s="2" t="n">
        <v>49941</v>
      </c>
      <c r="M2972" t="n">
        <v>107.3</v>
      </c>
      <c r="N2972" t="inlineStr">
        <is>
          <t>20250508800069</t>
        </is>
      </c>
      <c r="O2972">
        <f>HYPERLINK("https://dart.fss.or.kr/dsaf001/main.do?rcpNo=20250508800069", "공시열람")</f>
        <v/>
      </c>
    </row>
    <row r="2973">
      <c r="A2973" t="inlineStr">
        <is>
          <t>2025-05-08</t>
        </is>
      </c>
      <c r="B2973" t="inlineStr">
        <is>
          <t>레드캡투어</t>
        </is>
      </c>
      <c r="C2973" t="inlineStr">
        <is>
          <t>038390</t>
        </is>
      </c>
      <c r="D2973" t="inlineStr">
        <is>
          <t>연결</t>
        </is>
      </c>
      <c r="E2973" t="inlineStr">
        <is>
          <t>2025Q1</t>
        </is>
      </c>
      <c r="F2973" s="2" t="n">
        <v>105253</v>
      </c>
      <c r="G2973" t="inlineStr"/>
      <c r="H2973" t="inlineStr"/>
      <c r="I2973" s="2" t="n">
        <v>17859</v>
      </c>
      <c r="J2973" t="inlineStr"/>
      <c r="K2973" t="inlineStr"/>
      <c r="L2973" s="2" t="n">
        <v>10566</v>
      </c>
      <c r="M2973" t="inlineStr"/>
      <c r="N2973" t="inlineStr">
        <is>
          <t>20250508900197</t>
        </is>
      </c>
      <c r="O2973">
        <f>HYPERLINK("https://dart.fss.or.kr/dsaf001/main.do?rcpNo=20250508900197", "공시열람")</f>
        <v/>
      </c>
    </row>
    <row r="2974">
      <c r="A2974" t="inlineStr">
        <is>
          <t>2025-05-08</t>
        </is>
      </c>
      <c r="B2974" t="inlineStr">
        <is>
          <t>씨에스윈드</t>
        </is>
      </c>
      <c r="C2974" t="inlineStr">
        <is>
          <t>112610</t>
        </is>
      </c>
      <c r="D2974" t="inlineStr">
        <is>
          <t>연결</t>
        </is>
      </c>
      <c r="E2974" t="inlineStr">
        <is>
          <t>2025Q1</t>
        </is>
      </c>
      <c r="F2974" s="2" t="n">
        <v>901905</v>
      </c>
      <c r="G2974" t="n">
        <v>34.1</v>
      </c>
      <c r="H2974" t="n">
        <v>22.4</v>
      </c>
      <c r="I2974" s="2" t="n">
        <v>125211</v>
      </c>
      <c r="J2974" t="n">
        <v>375.8</v>
      </c>
      <c r="K2974" t="inlineStr"/>
      <c r="L2974" s="2" t="n">
        <v>95463</v>
      </c>
      <c r="M2974" t="inlineStr"/>
      <c r="N2974" t="inlineStr">
        <is>
          <t>20250508800200</t>
        </is>
      </c>
      <c r="O2974">
        <f>HYPERLINK("https://dart.fss.or.kr/dsaf001/main.do?rcpNo=20250508800200", "공시열람")</f>
        <v/>
      </c>
    </row>
    <row r="2975">
      <c r="A2975" t="inlineStr">
        <is>
          <t>2025-05-08</t>
        </is>
      </c>
      <c r="B2975" t="inlineStr">
        <is>
          <t>코텍</t>
        </is>
      </c>
      <c r="C2975" t="inlineStr">
        <is>
          <t>052330</t>
        </is>
      </c>
      <c r="D2975" t="inlineStr">
        <is>
          <t>연결</t>
        </is>
      </c>
      <c r="E2975" t="inlineStr">
        <is>
          <t>2025Q1</t>
        </is>
      </c>
      <c r="F2975" s="2" t="n">
        <v>84334</v>
      </c>
      <c r="G2975" t="inlineStr"/>
      <c r="H2975" t="inlineStr"/>
      <c r="I2975" s="2" t="n">
        <v>10673</v>
      </c>
      <c r="J2975" t="inlineStr"/>
      <c r="K2975" t="inlineStr"/>
      <c r="L2975" s="2" t="n">
        <v>8956</v>
      </c>
      <c r="M2975" t="inlineStr"/>
      <c r="N2975" t="inlineStr">
        <is>
          <t>20250508900196</t>
        </is>
      </c>
      <c r="O2975">
        <f>HYPERLINK("https://dart.fss.or.kr/dsaf001/main.do?rcpNo=20250508900196", "공시열람")</f>
        <v/>
      </c>
    </row>
    <row r="2976">
      <c r="A2976" t="inlineStr">
        <is>
          <t>2025-05-08</t>
        </is>
      </c>
      <c r="B2976" t="inlineStr">
        <is>
          <t>현대이지웰</t>
        </is>
      </c>
      <c r="C2976" t="inlineStr">
        <is>
          <t>090850</t>
        </is>
      </c>
      <c r="D2976" t="inlineStr">
        <is>
          <t>연결</t>
        </is>
      </c>
      <c r="E2976" t="inlineStr">
        <is>
          <t>2025Q1</t>
        </is>
      </c>
      <c r="F2976" s="2" t="n">
        <v>42943</v>
      </c>
      <c r="G2976" t="inlineStr"/>
      <c r="H2976" t="inlineStr"/>
      <c r="I2976" s="2" t="n">
        <v>8515</v>
      </c>
      <c r="J2976" t="inlineStr"/>
      <c r="K2976" t="inlineStr"/>
      <c r="L2976" s="2" t="n">
        <v>7439</v>
      </c>
      <c r="M2976" t="inlineStr"/>
      <c r="N2976" t="inlineStr">
        <is>
          <t>20250508900179</t>
        </is>
      </c>
      <c r="O2976">
        <f>HYPERLINK("https://dart.fss.or.kr/dsaf001/main.do?rcpNo=20250508900179", "공시열람")</f>
        <v/>
      </c>
    </row>
    <row r="2977">
      <c r="A2977" t="inlineStr">
        <is>
          <t>2025-05-08</t>
        </is>
      </c>
      <c r="B2977" t="inlineStr">
        <is>
          <t>LIG디펜스앤에어로스페이스</t>
        </is>
      </c>
      <c r="C2977" t="inlineStr">
        <is>
          <t>079550</t>
        </is>
      </c>
      <c r="D2977" t="inlineStr">
        <is>
          <t>연결</t>
        </is>
      </c>
      <c r="E2977" t="inlineStr">
        <is>
          <t>2025Q1</t>
        </is>
      </c>
      <c r="F2977" s="2" t="n">
        <v>907600</v>
      </c>
      <c r="G2977" t="n">
        <v>-22.3</v>
      </c>
      <c r="H2977" t="n">
        <v>18.9</v>
      </c>
      <c r="I2977" s="2" t="n">
        <v>113600</v>
      </c>
      <c r="J2977" t="n">
        <v>84.09999999999999</v>
      </c>
      <c r="K2977" t="n">
        <v>69.59999999999999</v>
      </c>
      <c r="L2977" s="2" t="n">
        <v>82800</v>
      </c>
      <c r="M2977" t="n">
        <v>36.7</v>
      </c>
      <c r="N2977" t="inlineStr">
        <is>
          <t>20250508800178</t>
        </is>
      </c>
      <c r="O2977">
        <f>HYPERLINK("https://dart.fss.or.kr/dsaf001/main.do?rcpNo=20250508800178", "공시열람")</f>
        <v/>
      </c>
    </row>
    <row r="2978">
      <c r="A2978" t="inlineStr">
        <is>
          <t>2025-05-08</t>
        </is>
      </c>
      <c r="B2978" t="inlineStr">
        <is>
          <t>대교</t>
        </is>
      </c>
      <c r="C2978" t="inlineStr">
        <is>
          <t>019680</t>
        </is>
      </c>
      <c r="D2978" t="inlineStr">
        <is>
          <t>연결</t>
        </is>
      </c>
      <c r="E2978" t="inlineStr">
        <is>
          <t>2025Q1</t>
        </is>
      </c>
      <c r="F2978" s="2" t="n">
        <v>165700</v>
      </c>
      <c r="G2978" t="n">
        <v>-1.9</v>
      </c>
      <c r="H2978" t="n">
        <v>0.1</v>
      </c>
      <c r="I2978" s="2" t="n">
        <v>900</v>
      </c>
      <c r="J2978" t="inlineStr"/>
      <c r="K2978" t="inlineStr"/>
      <c r="L2978" s="2" t="n">
        <v>200</v>
      </c>
      <c r="M2978" t="n">
        <v>-98.5</v>
      </c>
      <c r="N2978" t="inlineStr">
        <is>
          <t>20250508800165</t>
        </is>
      </c>
      <c r="O2978">
        <f>HYPERLINK("https://dart.fss.or.kr/dsaf001/main.do?rcpNo=20250508800165", "공시열람")</f>
        <v/>
      </c>
    </row>
    <row r="2979">
      <c r="A2979" t="inlineStr">
        <is>
          <t>2025-05-08</t>
        </is>
      </c>
      <c r="B2979" t="inlineStr">
        <is>
          <t>KG파이낸셜</t>
        </is>
      </c>
      <c r="C2979" t="inlineStr">
        <is>
          <t>046440</t>
        </is>
      </c>
      <c r="D2979" t="inlineStr">
        <is>
          <t>연결</t>
        </is>
      </c>
      <c r="E2979" t="inlineStr">
        <is>
          <t>2025Q1</t>
        </is>
      </c>
      <c r="F2979" s="2" t="n">
        <v>61245</v>
      </c>
      <c r="G2979" t="inlineStr"/>
      <c r="H2979" t="inlineStr"/>
      <c r="I2979" s="2" t="n">
        <v>7707</v>
      </c>
      <c r="J2979" t="inlineStr"/>
      <c r="K2979" t="inlineStr"/>
      <c r="L2979" s="2" t="n">
        <v>6010</v>
      </c>
      <c r="M2979" t="inlineStr"/>
      <c r="N2979" t="inlineStr">
        <is>
          <t>20250508900171</t>
        </is>
      </c>
      <c r="O2979">
        <f>HYPERLINK("https://dart.fss.or.kr/dsaf001/main.do?rcpNo=20250508900171", "공시열람")</f>
        <v/>
      </c>
    </row>
    <row r="2980">
      <c r="A2980" t="inlineStr">
        <is>
          <t>2025-05-08</t>
        </is>
      </c>
      <c r="B2980" t="inlineStr">
        <is>
          <t>아비코전자</t>
        </is>
      </c>
      <c r="C2980" t="inlineStr">
        <is>
          <t>036010</t>
        </is>
      </c>
      <c r="D2980" t="inlineStr">
        <is>
          <t>연결</t>
        </is>
      </c>
      <c r="E2980" t="inlineStr">
        <is>
          <t>2025Q1</t>
        </is>
      </c>
      <c r="F2980" s="2" t="n">
        <v>31422</v>
      </c>
      <c r="G2980" t="inlineStr"/>
      <c r="H2980" t="inlineStr"/>
      <c r="I2980" s="2" t="n">
        <v>935</v>
      </c>
      <c r="J2980" t="inlineStr"/>
      <c r="K2980" t="inlineStr"/>
      <c r="L2980" s="2" t="n">
        <v>920</v>
      </c>
      <c r="M2980" t="inlineStr"/>
      <c r="N2980" t="inlineStr">
        <is>
          <t>20250508900167</t>
        </is>
      </c>
      <c r="O2980">
        <f>HYPERLINK("https://dart.fss.or.kr/dsaf001/main.do?rcpNo=20250508900167", "공시열람")</f>
        <v/>
      </c>
    </row>
    <row r="2981">
      <c r="A2981" t="inlineStr">
        <is>
          <t>2025-05-08</t>
        </is>
      </c>
      <c r="B2981" t="inlineStr">
        <is>
          <t>LG유플러스</t>
        </is>
      </c>
      <c r="C2981" t="inlineStr">
        <is>
          <t>032640</t>
        </is>
      </c>
      <c r="D2981" t="inlineStr">
        <is>
          <t>연결</t>
        </is>
      </c>
      <c r="E2981" t="inlineStr">
        <is>
          <t>2025Q1</t>
        </is>
      </c>
      <c r="F2981" s="2" t="n">
        <v>3748100</v>
      </c>
      <c r="G2981" t="n">
        <v>-0.1</v>
      </c>
      <c r="H2981" t="n">
        <v>4.8</v>
      </c>
      <c r="I2981" s="2" t="n">
        <v>255400</v>
      </c>
      <c r="J2981" t="n">
        <v>79.7</v>
      </c>
      <c r="K2981" t="n">
        <v>15.6</v>
      </c>
      <c r="L2981" s="2" t="n">
        <v>162500</v>
      </c>
      <c r="M2981" t="n">
        <v>24.6</v>
      </c>
      <c r="N2981" t="inlineStr">
        <is>
          <t>20250508800148</t>
        </is>
      </c>
      <c r="O2981">
        <f>HYPERLINK("https://dart.fss.or.kr/dsaf001/main.do?rcpNo=20250508800148", "공시열람")</f>
        <v/>
      </c>
    </row>
    <row r="2982">
      <c r="A2982" t="inlineStr">
        <is>
          <t>2025-05-08</t>
        </is>
      </c>
      <c r="B2982" t="inlineStr">
        <is>
          <t>고려아연</t>
        </is>
      </c>
      <c r="C2982" t="inlineStr">
        <is>
          <t>010130</t>
        </is>
      </c>
      <c r="D2982" t="inlineStr">
        <is>
          <t>별도</t>
        </is>
      </c>
      <c r="E2982" t="inlineStr">
        <is>
          <t>2025Q1</t>
        </is>
      </c>
      <c r="F2982" s="2" t="n">
        <v>2388634</v>
      </c>
      <c r="G2982" t="n">
        <v>5.8</v>
      </c>
      <c r="H2982" t="n">
        <v>31.7</v>
      </c>
      <c r="I2982" s="2" t="n">
        <v>272711</v>
      </c>
      <c r="J2982" t="n">
        <v>46.1</v>
      </c>
      <c r="K2982" t="n">
        <v>43</v>
      </c>
      <c r="L2982" s="2" t="n">
        <v>205460</v>
      </c>
      <c r="M2982" t="n">
        <v>46.7</v>
      </c>
      <c r="N2982" t="inlineStr">
        <is>
          <t>20250508800697</t>
        </is>
      </c>
      <c r="O2982">
        <f>HYPERLINK("https://dart.fss.or.kr/dsaf001/main.do?rcpNo=20250508800697", "공시열람")</f>
        <v/>
      </c>
    </row>
    <row r="2983">
      <c r="A2983" t="inlineStr">
        <is>
          <t>2025-05-08</t>
        </is>
      </c>
      <c r="B2983" t="inlineStr">
        <is>
          <t>헥토파이낸셜</t>
        </is>
      </c>
      <c r="C2983" t="inlineStr">
        <is>
          <t>234340</t>
        </is>
      </c>
      <c r="D2983" t="inlineStr">
        <is>
          <t>별도</t>
        </is>
      </c>
      <c r="E2983" t="inlineStr">
        <is>
          <t>2025Q1</t>
        </is>
      </c>
      <c r="F2983" s="2" t="n">
        <v>40965</v>
      </c>
      <c r="G2983" t="inlineStr"/>
      <c r="H2983" t="inlineStr"/>
      <c r="I2983" s="2" t="n">
        <v>4405</v>
      </c>
      <c r="J2983" t="inlineStr"/>
      <c r="K2983" t="inlineStr"/>
      <c r="L2983" s="2" t="n">
        <v>4104</v>
      </c>
      <c r="M2983" t="inlineStr"/>
      <c r="N2983" t="inlineStr">
        <is>
          <t>20250508900129</t>
        </is>
      </c>
      <c r="O2983">
        <f>HYPERLINK("https://dart.fss.or.kr/dsaf001/main.do?rcpNo=20250508900129", "공시열람")</f>
        <v/>
      </c>
    </row>
    <row r="2984">
      <c r="A2984" t="inlineStr">
        <is>
          <t>2025-05-08</t>
        </is>
      </c>
      <c r="B2984" t="inlineStr">
        <is>
          <t>헥토파이낸셜</t>
        </is>
      </c>
      <c r="C2984" t="inlineStr">
        <is>
          <t>234340</t>
        </is>
      </c>
      <c r="D2984" t="inlineStr">
        <is>
          <t>연결</t>
        </is>
      </c>
      <c r="E2984" t="inlineStr">
        <is>
          <t>2025Q1</t>
        </is>
      </c>
      <c r="F2984" s="2" t="n">
        <v>45990</v>
      </c>
      <c r="G2984" t="inlineStr"/>
      <c r="H2984" t="inlineStr"/>
      <c r="I2984" s="2" t="n">
        <v>3657</v>
      </c>
      <c r="J2984" t="inlineStr"/>
      <c r="K2984" t="inlineStr"/>
      <c r="L2984" s="2" t="n">
        <v>3231</v>
      </c>
      <c r="M2984" t="inlineStr"/>
      <c r="N2984" t="inlineStr">
        <is>
          <t>20250508900125</t>
        </is>
      </c>
      <c r="O2984">
        <f>HYPERLINK("https://dart.fss.or.kr/dsaf001/main.do?rcpNo=20250508900125", "공시열람")</f>
        <v/>
      </c>
    </row>
    <row r="2985">
      <c r="A2985" t="inlineStr">
        <is>
          <t>2025-05-08</t>
        </is>
      </c>
      <c r="B2985" t="inlineStr">
        <is>
          <t>아이쓰리시스템</t>
        </is>
      </c>
      <c r="C2985" t="inlineStr">
        <is>
          <t>214430</t>
        </is>
      </c>
      <c r="D2985" t="inlineStr">
        <is>
          <t>별도</t>
        </is>
      </c>
      <c r="E2985" t="inlineStr">
        <is>
          <t>2025Q1</t>
        </is>
      </c>
      <c r="F2985" s="2" t="n">
        <v>38107</v>
      </c>
      <c r="G2985" t="inlineStr"/>
      <c r="H2985" t="inlineStr"/>
      <c r="I2985" s="2" t="n">
        <v>5789</v>
      </c>
      <c r="J2985" t="inlineStr"/>
      <c r="K2985" t="inlineStr"/>
      <c r="L2985" s="2" t="n">
        <v>5013</v>
      </c>
      <c r="M2985" t="inlineStr"/>
      <c r="N2985" t="inlineStr">
        <is>
          <t>20250508900101</t>
        </is>
      </c>
      <c r="O2985">
        <f>HYPERLINK("https://dart.fss.or.kr/dsaf001/main.do?rcpNo=20250508900101", "공시열람")</f>
        <v/>
      </c>
    </row>
    <row r="2986">
      <c r="A2986" t="inlineStr">
        <is>
          <t>2025-05-08</t>
        </is>
      </c>
      <c r="B2986" t="inlineStr">
        <is>
          <t>데브시스터즈</t>
        </is>
      </c>
      <c r="C2986" t="inlineStr">
        <is>
          <t>194480</t>
        </is>
      </c>
      <c r="D2986" t="inlineStr">
        <is>
          <t>연결</t>
        </is>
      </c>
      <c r="E2986" t="inlineStr">
        <is>
          <t>2025Q1</t>
        </is>
      </c>
      <c r="F2986" s="2" t="n">
        <v>89083</v>
      </c>
      <c r="G2986" t="inlineStr"/>
      <c r="H2986" t="inlineStr"/>
      <c r="I2986" s="2" t="n">
        <v>9408</v>
      </c>
      <c r="J2986" t="inlineStr"/>
      <c r="K2986" t="inlineStr"/>
      <c r="L2986" s="2" t="n">
        <v>10158</v>
      </c>
      <c r="M2986" t="inlineStr"/>
      <c r="N2986" t="inlineStr">
        <is>
          <t>20250508900113</t>
        </is>
      </c>
      <c r="O2986">
        <f>HYPERLINK("https://dart.fss.or.kr/dsaf001/main.do?rcpNo=20250508900113", "공시열람")</f>
        <v/>
      </c>
    </row>
    <row r="2987">
      <c r="A2987" t="inlineStr">
        <is>
          <t>2025-05-08</t>
        </is>
      </c>
      <c r="B2987" t="inlineStr">
        <is>
          <t>LG헬로비전</t>
        </is>
      </c>
      <c r="C2987" t="inlineStr">
        <is>
          <t>037560</t>
        </is>
      </c>
      <c r="D2987" t="inlineStr">
        <is>
          <t>연결</t>
        </is>
      </c>
      <c r="E2987" t="inlineStr">
        <is>
          <t>2025Q1</t>
        </is>
      </c>
      <c r="F2987" s="2" t="n">
        <v>313517</v>
      </c>
      <c r="G2987" t="n">
        <v>-2.7</v>
      </c>
      <c r="H2987" t="n">
        <v>17.3</v>
      </c>
      <c r="I2987" s="2" t="n">
        <v>7115</v>
      </c>
      <c r="J2987" t="inlineStr"/>
      <c r="K2987" t="n">
        <v>73.09999999999999</v>
      </c>
      <c r="L2987" s="2" t="n">
        <v>2976</v>
      </c>
      <c r="M2987" t="n">
        <v>93.40000000000001</v>
      </c>
      <c r="N2987" t="inlineStr">
        <is>
          <t>20250508800090</t>
        </is>
      </c>
      <c r="O2987">
        <f>HYPERLINK("https://dart.fss.or.kr/dsaf001/main.do?rcpNo=20250508800090", "공시열람")</f>
        <v/>
      </c>
    </row>
    <row r="2988">
      <c r="A2988" t="inlineStr">
        <is>
          <t>2025-05-08</t>
        </is>
      </c>
      <c r="B2988" t="inlineStr">
        <is>
          <t>LG유플러스</t>
        </is>
      </c>
      <c r="C2988" t="inlineStr">
        <is>
          <t>032640</t>
        </is>
      </c>
      <c r="D2988" t="inlineStr">
        <is>
          <t>별도</t>
        </is>
      </c>
      <c r="E2988" t="inlineStr">
        <is>
          <t>2025Q1</t>
        </is>
      </c>
      <c r="F2988" s="2" t="n">
        <v>3442600</v>
      </c>
      <c r="G2988" t="n">
        <v>-0.2</v>
      </c>
      <c r="H2988" t="n">
        <v>3.6</v>
      </c>
      <c r="I2988" s="2" t="n">
        <v>260700</v>
      </c>
      <c r="J2988" t="n">
        <v>68.2</v>
      </c>
      <c r="K2988" t="n">
        <v>17.9</v>
      </c>
      <c r="L2988" s="2" t="n">
        <v>173800</v>
      </c>
      <c r="M2988" t="n">
        <v>28.4</v>
      </c>
      <c r="N2988" t="inlineStr">
        <is>
          <t>20250508800145</t>
        </is>
      </c>
      <c r="O2988">
        <f>HYPERLINK("https://dart.fss.or.kr/dsaf001/main.do?rcpNo=20250508800145", "공시열람")</f>
        <v/>
      </c>
    </row>
    <row r="2989">
      <c r="A2989" t="inlineStr">
        <is>
          <t>2025-05-08</t>
        </is>
      </c>
      <c r="B2989" t="inlineStr">
        <is>
          <t>스튜디오드래곤</t>
        </is>
      </c>
      <c r="C2989" t="inlineStr">
        <is>
          <t>253450</t>
        </is>
      </c>
      <c r="D2989" t="inlineStr">
        <is>
          <t>연결</t>
        </is>
      </c>
      <c r="E2989" t="inlineStr">
        <is>
          <t>2025Q1</t>
        </is>
      </c>
      <c r="F2989" s="2" t="n">
        <v>133800</v>
      </c>
      <c r="G2989" t="inlineStr"/>
      <c r="H2989" t="inlineStr"/>
      <c r="I2989" s="2" t="n">
        <v>4274</v>
      </c>
      <c r="J2989" t="inlineStr"/>
      <c r="K2989" t="inlineStr"/>
      <c r="L2989" s="2" t="n">
        <v>2366</v>
      </c>
      <c r="M2989" t="inlineStr"/>
      <c r="N2989" t="inlineStr">
        <is>
          <t>20250508900235</t>
        </is>
      </c>
      <c r="O2989">
        <f>HYPERLINK("https://dart.fss.or.kr/dsaf001/main.do?rcpNo=20250508900235", "공시열람")</f>
        <v/>
      </c>
    </row>
    <row r="2990">
      <c r="A2990" t="inlineStr">
        <is>
          <t>2025-05-08</t>
        </is>
      </c>
      <c r="B2990" t="inlineStr">
        <is>
          <t>하림</t>
        </is>
      </c>
      <c r="C2990" t="inlineStr">
        <is>
          <t>136480</t>
        </is>
      </c>
      <c r="D2990" t="inlineStr">
        <is>
          <t>별도</t>
        </is>
      </c>
      <c r="E2990" t="inlineStr">
        <is>
          <t>2025Q1</t>
        </is>
      </c>
      <c r="F2990" s="2" t="n">
        <v>309899</v>
      </c>
      <c r="G2990" t="inlineStr"/>
      <c r="H2990" t="inlineStr"/>
      <c r="I2990" s="2" t="n">
        <v>6038</v>
      </c>
      <c r="J2990" t="inlineStr"/>
      <c r="K2990" t="inlineStr"/>
      <c r="L2990" s="2" t="n">
        <v>1883</v>
      </c>
      <c r="M2990" t="inlineStr"/>
      <c r="N2990" t="inlineStr">
        <is>
          <t>20250508900665</t>
        </is>
      </c>
      <c r="O2990">
        <f>HYPERLINK("https://dart.fss.or.kr/dsaf001/main.do?rcpNo=20250508900665", "공시열람")</f>
        <v/>
      </c>
    </row>
    <row r="2991">
      <c r="A2991" t="inlineStr">
        <is>
          <t>2025-05-08</t>
        </is>
      </c>
      <c r="B2991" t="inlineStr">
        <is>
          <t>이수앱지스</t>
        </is>
      </c>
      <c r="C2991" t="inlineStr">
        <is>
          <t>086890</t>
        </is>
      </c>
      <c r="D2991" t="inlineStr">
        <is>
          <t>별도</t>
        </is>
      </c>
      <c r="E2991" t="inlineStr">
        <is>
          <t>2025Q1</t>
        </is>
      </c>
      <c r="F2991" s="2" t="n">
        <v>7183</v>
      </c>
      <c r="G2991" t="inlineStr"/>
      <c r="H2991" t="inlineStr"/>
      <c r="I2991" s="2" t="n">
        <v>-463</v>
      </c>
      <c r="J2991" t="inlineStr"/>
      <c r="K2991" t="inlineStr"/>
      <c r="L2991" s="2" t="n">
        <v>-8762</v>
      </c>
      <c r="M2991" t="inlineStr"/>
      <c r="N2991" t="inlineStr">
        <is>
          <t>20250508900648</t>
        </is>
      </c>
      <c r="O2991">
        <f>HYPERLINK("https://dart.fss.or.kr/dsaf001/main.do?rcpNo=20250508900648", "공시열람")</f>
        <v/>
      </c>
    </row>
    <row r="2992">
      <c r="A2992" t="inlineStr">
        <is>
          <t>2025-05-08</t>
        </is>
      </c>
      <c r="B2992" t="inlineStr">
        <is>
          <t>동진쎄미켐</t>
        </is>
      </c>
      <c r="C2992" t="inlineStr">
        <is>
          <t>005290</t>
        </is>
      </c>
      <c r="D2992" t="inlineStr">
        <is>
          <t>연결</t>
        </is>
      </c>
      <c r="E2992" t="inlineStr">
        <is>
          <t>2025Q1</t>
        </is>
      </c>
      <c r="F2992" s="2" t="n">
        <v>368108</v>
      </c>
      <c r="G2992" t="inlineStr"/>
      <c r="H2992" t="inlineStr"/>
      <c r="I2992" s="2" t="n">
        <v>58461</v>
      </c>
      <c r="J2992" t="inlineStr"/>
      <c r="K2992" t="inlineStr"/>
      <c r="L2992" s="2" t="n">
        <v>36113</v>
      </c>
      <c r="M2992" t="inlineStr"/>
      <c r="N2992" t="inlineStr">
        <is>
          <t>20250508900240</t>
        </is>
      </c>
      <c r="O2992">
        <f>HYPERLINK("https://dart.fss.or.kr/dsaf001/main.do?rcpNo=20250508900240", "공시열람")</f>
        <v/>
      </c>
    </row>
    <row r="2993">
      <c r="A2993" t="inlineStr">
        <is>
          <t>2025-05-08</t>
        </is>
      </c>
      <c r="B2993" t="inlineStr">
        <is>
          <t>콘텐트리중앙</t>
        </is>
      </c>
      <c r="C2993" t="inlineStr">
        <is>
          <t>036420</t>
        </is>
      </c>
      <c r="D2993" t="inlineStr">
        <is>
          <t>연결</t>
        </is>
      </c>
      <c r="E2993" t="inlineStr">
        <is>
          <t>2025Q1</t>
        </is>
      </c>
      <c r="F2993" s="2" t="n">
        <v>225161</v>
      </c>
      <c r="G2993" t="n">
        <v>10.64</v>
      </c>
      <c r="H2993" t="n">
        <v>1.91</v>
      </c>
      <c r="I2993" s="2" t="n">
        <v>-12119</v>
      </c>
      <c r="J2993" t="n">
        <v>32.65</v>
      </c>
      <c r="K2993" t="n">
        <v>-20.76</v>
      </c>
      <c r="L2993" s="2" t="n">
        <v>-37410</v>
      </c>
      <c r="M2993" t="n">
        <v>-22.74</v>
      </c>
      <c r="N2993" t="inlineStr">
        <is>
          <t>20250508800377</t>
        </is>
      </c>
      <c r="O2993">
        <f>HYPERLINK("https://dart.fss.or.kr/dsaf001/main.do?rcpNo=20250508800377", "공시열람")</f>
        <v/>
      </c>
    </row>
    <row r="2994">
      <c r="A2994" t="inlineStr">
        <is>
          <t>2025-05-08</t>
        </is>
      </c>
      <c r="B2994" t="inlineStr">
        <is>
          <t>넷마블</t>
        </is>
      </c>
      <c r="C2994" t="inlineStr">
        <is>
          <t>251270</t>
        </is>
      </c>
      <c r="D2994" t="inlineStr">
        <is>
          <t>연결</t>
        </is>
      </c>
      <c r="E2994" t="inlineStr">
        <is>
          <t>2025Q1</t>
        </is>
      </c>
      <c r="F2994" s="2" t="n">
        <v>623900</v>
      </c>
      <c r="G2994" t="n">
        <v>-3.9</v>
      </c>
      <c r="H2994" t="n">
        <v>6.6</v>
      </c>
      <c r="I2994" s="2" t="n">
        <v>49700</v>
      </c>
      <c r="J2994" t="n">
        <v>41.2</v>
      </c>
      <c r="K2994" t="n">
        <v>1243.2</v>
      </c>
      <c r="L2994" s="2" t="n">
        <v>80200</v>
      </c>
      <c r="M2994" t="inlineStr"/>
      <c r="N2994" t="inlineStr">
        <is>
          <t>20250508800376</t>
        </is>
      </c>
      <c r="O2994">
        <f>HYPERLINK("https://dart.fss.or.kr/dsaf001/main.do?rcpNo=20250508800376", "공시열람")</f>
        <v/>
      </c>
    </row>
    <row r="2995">
      <c r="A2995" t="inlineStr">
        <is>
          <t>2025-05-08</t>
        </is>
      </c>
      <c r="B2995" t="inlineStr">
        <is>
          <t>원익IPS</t>
        </is>
      </c>
      <c r="C2995" t="inlineStr">
        <is>
          <t>240810</t>
        </is>
      </c>
      <c r="D2995" t="inlineStr">
        <is>
          <t>연결</t>
        </is>
      </c>
      <c r="E2995" t="inlineStr">
        <is>
          <t>2025Q1</t>
        </is>
      </c>
      <c r="F2995" s="2" t="n">
        <v>124198</v>
      </c>
      <c r="G2995" t="inlineStr"/>
      <c r="H2995" t="inlineStr"/>
      <c r="I2995" s="2" t="n">
        <v>-7381</v>
      </c>
      <c r="J2995" t="inlineStr"/>
      <c r="K2995" t="inlineStr"/>
      <c r="L2995" s="2" t="n">
        <v>-4715</v>
      </c>
      <c r="M2995" t="inlineStr"/>
      <c r="N2995" t="inlineStr">
        <is>
          <t>20250508900347</t>
        </is>
      </c>
      <c r="O2995">
        <f>HYPERLINK("https://dart.fss.or.kr/dsaf001/main.do?rcpNo=20250508900347", "공시열람")</f>
        <v/>
      </c>
    </row>
    <row r="2996">
      <c r="A2996" t="inlineStr">
        <is>
          <t>2025-05-08</t>
        </is>
      </c>
      <c r="B2996" t="inlineStr">
        <is>
          <t>SK케미칼</t>
        </is>
      </c>
      <c r="C2996" t="inlineStr">
        <is>
          <t>285130</t>
        </is>
      </c>
      <c r="D2996" t="inlineStr">
        <is>
          <t>연결</t>
        </is>
      </c>
      <c r="E2996" t="inlineStr">
        <is>
          <t>2025Q1</t>
        </is>
      </c>
      <c r="F2996" s="2" t="n">
        <v>536624</v>
      </c>
      <c r="G2996" t="n">
        <v>4.1</v>
      </c>
      <c r="H2996" t="n">
        <v>40.9</v>
      </c>
      <c r="I2996" s="2" t="n">
        <v>24282</v>
      </c>
      <c r="J2996" t="inlineStr"/>
      <c r="K2996" t="inlineStr"/>
      <c r="L2996" s="2" t="n">
        <v>21137</v>
      </c>
      <c r="M2996" t="inlineStr"/>
      <c r="N2996" t="inlineStr">
        <is>
          <t>20250508800369</t>
        </is>
      </c>
      <c r="O2996">
        <f>HYPERLINK("https://dart.fss.or.kr/dsaf001/main.do?rcpNo=20250508800369", "공시열람")</f>
        <v/>
      </c>
    </row>
    <row r="2997">
      <c r="A2997" t="inlineStr">
        <is>
          <t>2025-05-08</t>
        </is>
      </c>
      <c r="B2997" t="inlineStr">
        <is>
          <t>SK케미칼</t>
        </is>
      </c>
      <c r="C2997" t="inlineStr">
        <is>
          <t>285130</t>
        </is>
      </c>
      <c r="D2997" t="inlineStr">
        <is>
          <t>별도</t>
        </is>
      </c>
      <c r="E2997" t="inlineStr">
        <is>
          <t>2025Q1</t>
        </is>
      </c>
      <c r="F2997" s="2" t="n">
        <v>347071</v>
      </c>
      <c r="G2997" t="n">
        <v>0.1</v>
      </c>
      <c r="H2997" t="n">
        <v>9.4</v>
      </c>
      <c r="I2997" s="2" t="n">
        <v>36942</v>
      </c>
      <c r="J2997" t="n">
        <v>16.5</v>
      </c>
      <c r="K2997" t="n">
        <v>98.5</v>
      </c>
      <c r="L2997" s="2" t="n">
        <v>26645</v>
      </c>
      <c r="M2997" t="n">
        <v>183.5</v>
      </c>
      <c r="N2997" t="inlineStr">
        <is>
          <t>20250508800367</t>
        </is>
      </c>
      <c r="O2997">
        <f>HYPERLINK("https://dart.fss.or.kr/dsaf001/main.do?rcpNo=20250508800367", "공시열람")</f>
        <v/>
      </c>
    </row>
    <row r="2998">
      <c r="A2998" t="inlineStr">
        <is>
          <t>2025-05-08</t>
        </is>
      </c>
      <c r="B2998" t="inlineStr">
        <is>
          <t>한전기술</t>
        </is>
      </c>
      <c r="C2998" t="inlineStr">
        <is>
          <t>052690</t>
        </is>
      </c>
      <c r="D2998" t="inlineStr">
        <is>
          <t>연결</t>
        </is>
      </c>
      <c r="E2998" t="inlineStr">
        <is>
          <t>2025Q1</t>
        </is>
      </c>
      <c r="F2998" s="2" t="n">
        <v>96419</v>
      </c>
      <c r="G2998" t="n">
        <v>-49.9</v>
      </c>
      <c r="H2998" t="n">
        <v>-24.4</v>
      </c>
      <c r="I2998" s="2" t="n">
        <v>1190</v>
      </c>
      <c r="J2998" t="n">
        <v>-95.59999999999999</v>
      </c>
      <c r="K2998" t="n">
        <v>-87</v>
      </c>
      <c r="L2998" s="2" t="n">
        <v>65903</v>
      </c>
      <c r="M2998" t="n">
        <v>662.1</v>
      </c>
      <c r="N2998" t="inlineStr">
        <is>
          <t>20250508800374</t>
        </is>
      </c>
      <c r="O2998">
        <f>HYPERLINK("https://dart.fss.or.kr/dsaf001/main.do?rcpNo=20250508800374", "공시열람")</f>
        <v/>
      </c>
    </row>
    <row r="2999">
      <c r="A2999" t="inlineStr">
        <is>
          <t>2025-05-08</t>
        </is>
      </c>
      <c r="B2999" t="inlineStr">
        <is>
          <t>JW생명과학</t>
        </is>
      </c>
      <c r="C2999" t="inlineStr">
        <is>
          <t>234080</t>
        </is>
      </c>
      <c r="D2999" t="inlineStr">
        <is>
          <t>별도</t>
        </is>
      </c>
      <c r="E2999" t="inlineStr">
        <is>
          <t>2025Q1</t>
        </is>
      </c>
      <c r="F2999" s="2" t="n">
        <v>62044</v>
      </c>
      <c r="G2999" t="n">
        <v>13.51</v>
      </c>
      <c r="H2999" t="n">
        <v>13.35</v>
      </c>
      <c r="I2999" s="2" t="n">
        <v>10372</v>
      </c>
      <c r="J2999" t="n">
        <v>2.35</v>
      </c>
      <c r="K2999" t="n">
        <v>24.39</v>
      </c>
      <c r="L2999" s="2" t="n">
        <v>7103</v>
      </c>
      <c r="M2999" t="n">
        <v>27.13</v>
      </c>
      <c r="N2999" t="inlineStr">
        <is>
          <t>20250508800365</t>
        </is>
      </c>
      <c r="O2999">
        <f>HYPERLINK("https://dart.fss.or.kr/dsaf001/main.do?rcpNo=20250508800365", "공시열람")</f>
        <v/>
      </c>
    </row>
    <row r="3000">
      <c r="A3000" t="inlineStr">
        <is>
          <t>2025-05-08</t>
        </is>
      </c>
      <c r="B3000" t="inlineStr">
        <is>
          <t>휴젤</t>
        </is>
      </c>
      <c r="C3000" t="inlineStr">
        <is>
          <t>145020</t>
        </is>
      </c>
      <c r="D3000" t="inlineStr">
        <is>
          <t>연결</t>
        </is>
      </c>
      <c r="E3000" t="inlineStr">
        <is>
          <t>2025Q1</t>
        </is>
      </c>
      <c r="F3000" s="2" t="n">
        <v>89820</v>
      </c>
      <c r="G3000" t="inlineStr"/>
      <c r="H3000" t="inlineStr"/>
      <c r="I3000" s="2" t="n">
        <v>38954</v>
      </c>
      <c r="J3000" t="inlineStr"/>
      <c r="K3000" t="inlineStr"/>
      <c r="L3000" s="2" t="n">
        <v>30890</v>
      </c>
      <c r="M3000" t="inlineStr"/>
      <c r="N3000" t="inlineStr">
        <is>
          <t>20250508900317</t>
        </is>
      </c>
      <c r="O3000">
        <f>HYPERLINK("https://dart.fss.or.kr/dsaf001/main.do?rcpNo=20250508900317", "공시열람")</f>
        <v/>
      </c>
    </row>
    <row r="3001">
      <c r="A3001" t="inlineStr">
        <is>
          <t>2025-05-08</t>
        </is>
      </c>
      <c r="B3001" t="inlineStr">
        <is>
          <t>동원산업</t>
        </is>
      </c>
      <c r="C3001" t="inlineStr">
        <is>
          <t>006040</t>
        </is>
      </c>
      <c r="D3001" t="inlineStr">
        <is>
          <t>연결</t>
        </is>
      </c>
      <c r="E3001" t="inlineStr">
        <is>
          <t>2025Q1</t>
        </is>
      </c>
      <c r="F3001" s="2" t="n">
        <v>2319312</v>
      </c>
      <c r="G3001" t="inlineStr"/>
      <c r="H3001" t="inlineStr"/>
      <c r="I3001" s="2" t="n">
        <v>124843</v>
      </c>
      <c r="J3001" t="inlineStr"/>
      <c r="K3001" t="inlineStr"/>
      <c r="L3001" s="2" t="n">
        <v>74783</v>
      </c>
      <c r="M3001" t="inlineStr"/>
      <c r="N3001" t="inlineStr">
        <is>
          <t>20250508800334</t>
        </is>
      </c>
      <c r="O3001">
        <f>HYPERLINK("https://dart.fss.or.kr/dsaf001/main.do?rcpNo=20250508800334", "공시열람")</f>
        <v/>
      </c>
    </row>
    <row r="3002">
      <c r="A3002" t="inlineStr">
        <is>
          <t>2025-05-08</t>
        </is>
      </c>
      <c r="B3002" t="inlineStr">
        <is>
          <t>동원산업</t>
        </is>
      </c>
      <c r="C3002" t="inlineStr">
        <is>
          <t>006040</t>
        </is>
      </c>
      <c r="D3002" t="inlineStr">
        <is>
          <t>별도</t>
        </is>
      </c>
      <c r="E3002" t="inlineStr">
        <is>
          <t>2025Q1</t>
        </is>
      </c>
      <c r="F3002" s="2" t="n">
        <v>320604</v>
      </c>
      <c r="G3002" t="inlineStr"/>
      <c r="H3002" t="inlineStr"/>
      <c r="I3002" s="2" t="n">
        <v>103535</v>
      </c>
      <c r="J3002" t="inlineStr"/>
      <c r="K3002" t="inlineStr"/>
      <c r="L3002" s="2" t="n">
        <v>88241</v>
      </c>
      <c r="M3002" t="inlineStr"/>
      <c r="N3002" t="inlineStr">
        <is>
          <t>20250508800332</t>
        </is>
      </c>
      <c r="O3002">
        <f>HYPERLINK("https://dart.fss.or.kr/dsaf001/main.do?rcpNo=20250508800332", "공시열람")</f>
        <v/>
      </c>
    </row>
    <row r="3003">
      <c r="A3003" t="inlineStr">
        <is>
          <t>2025-05-08</t>
        </is>
      </c>
      <c r="B3003" t="inlineStr">
        <is>
          <t>두산로보틱스</t>
        </is>
      </c>
      <c r="C3003" t="inlineStr">
        <is>
          <t>454910</t>
        </is>
      </c>
      <c r="D3003" t="inlineStr">
        <is>
          <t>연결</t>
        </is>
      </c>
      <c r="E3003" t="inlineStr">
        <is>
          <t>2025Q1</t>
        </is>
      </c>
      <c r="F3003" s="2" t="n">
        <v>5280</v>
      </c>
      <c r="G3003" t="n">
        <v>-54.05</v>
      </c>
      <c r="H3003" t="n">
        <v>-51.48</v>
      </c>
      <c r="I3003" s="2" t="n">
        <v>-12106</v>
      </c>
      <c r="J3003" t="n">
        <v>28.18</v>
      </c>
      <c r="K3003" t="n">
        <v>-75.81999999999999</v>
      </c>
      <c r="L3003" s="2" t="n">
        <v>-9418</v>
      </c>
      <c r="M3003" t="n">
        <v>-230.82</v>
      </c>
      <c r="N3003" t="inlineStr">
        <is>
          <t>20250508800325</t>
        </is>
      </c>
      <c r="O3003">
        <f>HYPERLINK("https://dart.fss.or.kr/dsaf001/main.do?rcpNo=20250508800325", "공시열람")</f>
        <v/>
      </c>
    </row>
    <row r="3004">
      <c r="A3004" t="inlineStr">
        <is>
          <t>2025-05-08</t>
        </is>
      </c>
      <c r="B3004" t="inlineStr">
        <is>
          <t>원익머트리얼즈</t>
        </is>
      </c>
      <c r="C3004" t="inlineStr">
        <is>
          <t>104830</t>
        </is>
      </c>
      <c r="D3004" t="inlineStr">
        <is>
          <t>연결</t>
        </is>
      </c>
      <c r="E3004" t="inlineStr">
        <is>
          <t>2025Q1</t>
        </is>
      </c>
      <c r="F3004" s="2" t="n">
        <v>77996</v>
      </c>
      <c r="G3004" t="inlineStr"/>
      <c r="H3004" t="inlineStr"/>
      <c r="I3004" s="2" t="n">
        <v>14763</v>
      </c>
      <c r="J3004" t="inlineStr"/>
      <c r="K3004" t="inlineStr"/>
      <c r="L3004" s="2" t="n">
        <v>12140</v>
      </c>
      <c r="M3004" t="inlineStr"/>
      <c r="N3004" t="inlineStr">
        <is>
          <t>20250508900283</t>
        </is>
      </c>
      <c r="O3004">
        <f>HYPERLINK("https://dart.fss.or.kr/dsaf001/main.do?rcpNo=20250508900283", "공시열람")</f>
        <v/>
      </c>
    </row>
    <row r="3005">
      <c r="A3005" t="inlineStr">
        <is>
          <t>2025-05-08</t>
        </is>
      </c>
      <c r="B3005" t="inlineStr">
        <is>
          <t>인바디</t>
        </is>
      </c>
      <c r="C3005" t="inlineStr">
        <is>
          <t>041830</t>
        </is>
      </c>
      <c r="D3005" t="inlineStr">
        <is>
          <t>연결</t>
        </is>
      </c>
      <c r="E3005" t="inlineStr">
        <is>
          <t>2025Q1</t>
        </is>
      </c>
      <c r="F3005" s="2" t="n">
        <v>55584</v>
      </c>
      <c r="G3005" t="inlineStr"/>
      <c r="H3005" t="inlineStr"/>
      <c r="I3005" s="2" t="n">
        <v>7002</v>
      </c>
      <c r="J3005" t="inlineStr"/>
      <c r="K3005" t="inlineStr"/>
      <c r="L3005" s="2" t="n">
        <v>7285</v>
      </c>
      <c r="M3005" t="inlineStr"/>
      <c r="N3005" t="inlineStr">
        <is>
          <t>20250508900318</t>
        </is>
      </c>
      <c r="O3005">
        <f>HYPERLINK("https://dart.fss.or.kr/dsaf001/main.do?rcpNo=20250508900318", "공시열람")</f>
        <v/>
      </c>
    </row>
    <row r="3006">
      <c r="A3006" t="inlineStr">
        <is>
          <t>2025-05-08</t>
        </is>
      </c>
      <c r="B3006" t="inlineStr">
        <is>
          <t>GS글로벌</t>
        </is>
      </c>
      <c r="C3006" t="inlineStr">
        <is>
          <t>001250</t>
        </is>
      </c>
      <c r="D3006" t="inlineStr">
        <is>
          <t>연결</t>
        </is>
      </c>
      <c r="E3006" t="inlineStr">
        <is>
          <t>2025Q1</t>
        </is>
      </c>
      <c r="F3006" s="2" t="n">
        <v>1021740</v>
      </c>
      <c r="G3006" t="n">
        <v>-6.4</v>
      </c>
      <c r="H3006" t="n">
        <v>6.2</v>
      </c>
      <c r="I3006" s="2" t="n">
        <v>15957</v>
      </c>
      <c r="J3006" t="n">
        <v>6.9</v>
      </c>
      <c r="K3006" t="n">
        <v>-6.8</v>
      </c>
      <c r="L3006" s="2" t="n">
        <v>8822</v>
      </c>
      <c r="M3006" t="n">
        <v>-26</v>
      </c>
      <c r="N3006" t="inlineStr">
        <is>
          <t>20250508800313</t>
        </is>
      </c>
      <c r="O3006">
        <f>HYPERLINK("https://dart.fss.or.kr/dsaf001/main.do?rcpNo=20250508800313", "공시열람")</f>
        <v/>
      </c>
    </row>
    <row r="3007">
      <c r="A3007" t="inlineStr">
        <is>
          <t>2025-05-08</t>
        </is>
      </c>
      <c r="B3007" t="inlineStr">
        <is>
          <t>LG</t>
        </is>
      </c>
      <c r="C3007" t="inlineStr">
        <is>
          <t>003550</t>
        </is>
      </c>
      <c r="D3007" t="inlineStr">
        <is>
          <t>연결</t>
        </is>
      </c>
      <c r="E3007" t="inlineStr">
        <is>
          <t>2025Q1</t>
        </is>
      </c>
      <c r="F3007" s="2" t="n">
        <v>1936098</v>
      </c>
      <c r="G3007" t="inlineStr"/>
      <c r="H3007" t="inlineStr"/>
      <c r="I3007" s="2" t="n">
        <v>638042</v>
      </c>
      <c r="J3007" t="inlineStr"/>
      <c r="K3007" t="inlineStr"/>
      <c r="L3007" s="2" t="n">
        <v>608471</v>
      </c>
      <c r="M3007" t="inlineStr"/>
      <c r="N3007" t="inlineStr">
        <is>
          <t>20250508800308</t>
        </is>
      </c>
      <c r="O3007">
        <f>HYPERLINK("https://dart.fss.or.kr/dsaf001/main.do?rcpNo=20250508800308", "공시열람")</f>
        <v/>
      </c>
    </row>
    <row r="3008">
      <c r="A3008" t="inlineStr">
        <is>
          <t>2025-05-08</t>
        </is>
      </c>
      <c r="B3008" t="inlineStr">
        <is>
          <t>테라젠이텍스</t>
        </is>
      </c>
      <c r="C3008" t="inlineStr">
        <is>
          <t>066700</t>
        </is>
      </c>
      <c r="D3008" t="inlineStr">
        <is>
          <t>별도</t>
        </is>
      </c>
      <c r="E3008" t="inlineStr">
        <is>
          <t>2025Q1</t>
        </is>
      </c>
      <c r="F3008" s="2" t="n">
        <v>43178</v>
      </c>
      <c r="G3008" t="inlineStr"/>
      <c r="H3008" t="inlineStr"/>
      <c r="I3008" s="2" t="n">
        <v>4787</v>
      </c>
      <c r="J3008" t="inlineStr"/>
      <c r="K3008" t="inlineStr"/>
      <c r="L3008" s="2" t="n">
        <v>-1714</v>
      </c>
      <c r="M3008" t="inlineStr"/>
      <c r="N3008" t="inlineStr">
        <is>
          <t>20250508900272</t>
        </is>
      </c>
      <c r="O3008">
        <f>HYPERLINK("https://dart.fss.or.kr/dsaf001/main.do?rcpNo=20250508900272", "공시열람")</f>
        <v/>
      </c>
    </row>
    <row r="3009">
      <c r="A3009" t="inlineStr">
        <is>
          <t>2025-05-08</t>
        </is>
      </c>
      <c r="B3009" t="inlineStr">
        <is>
          <t>테라젠이텍스</t>
        </is>
      </c>
      <c r="C3009" t="inlineStr">
        <is>
          <t>066700</t>
        </is>
      </c>
      <c r="D3009" t="inlineStr">
        <is>
          <t>연결</t>
        </is>
      </c>
      <c r="E3009" t="inlineStr">
        <is>
          <t>2025Q1</t>
        </is>
      </c>
      <c r="F3009" s="2" t="n">
        <v>67187</v>
      </c>
      <c r="G3009" t="inlineStr"/>
      <c r="H3009" t="inlineStr"/>
      <c r="I3009" s="2" t="n">
        <v>4501</v>
      </c>
      <c r="J3009" t="inlineStr"/>
      <c r="K3009" t="inlineStr"/>
      <c r="L3009" s="2" t="n">
        <v>-2473</v>
      </c>
      <c r="M3009" t="inlineStr"/>
      <c r="N3009" t="inlineStr">
        <is>
          <t>20250508900271</t>
        </is>
      </c>
      <c r="O3009">
        <f>HYPERLINK("https://dart.fss.or.kr/dsaf001/main.do?rcpNo=20250508900271", "공시열람")</f>
        <v/>
      </c>
    </row>
    <row r="3010">
      <c r="A3010" t="inlineStr">
        <is>
          <t>2025-05-08</t>
        </is>
      </c>
      <c r="B3010" t="inlineStr">
        <is>
          <t>하이록코리아</t>
        </is>
      </c>
      <c r="C3010" t="inlineStr">
        <is>
          <t>013030</t>
        </is>
      </c>
      <c r="D3010" t="inlineStr">
        <is>
          <t>연결</t>
        </is>
      </c>
      <c r="E3010" t="inlineStr">
        <is>
          <t>2025Q1</t>
        </is>
      </c>
      <c r="F3010" s="2" t="n">
        <v>49035</v>
      </c>
      <c r="G3010" t="inlineStr"/>
      <c r="H3010" t="inlineStr"/>
      <c r="I3010" s="2" t="n">
        <v>12703</v>
      </c>
      <c r="J3010" t="inlineStr"/>
      <c r="K3010" t="inlineStr"/>
      <c r="L3010" s="2" t="n">
        <v>11544</v>
      </c>
      <c r="M3010" t="inlineStr"/>
      <c r="N3010" t="inlineStr">
        <is>
          <t>20250508900268</t>
        </is>
      </c>
      <c r="O3010">
        <f>HYPERLINK("https://dart.fss.or.kr/dsaf001/main.do?rcpNo=20250508900268", "공시열람")</f>
        <v/>
      </c>
    </row>
    <row r="3011">
      <c r="A3011" t="inlineStr">
        <is>
          <t>2025-05-08</t>
        </is>
      </c>
      <c r="B3011" t="inlineStr">
        <is>
          <t>케이엔더블유</t>
        </is>
      </c>
      <c r="C3011" t="inlineStr">
        <is>
          <t>105330</t>
        </is>
      </c>
      <c r="D3011" t="inlineStr">
        <is>
          <t>연결</t>
        </is>
      </c>
      <c r="E3011" t="inlineStr">
        <is>
          <t>2025Q1</t>
        </is>
      </c>
      <c r="F3011" s="2" t="n">
        <v>19596</v>
      </c>
      <c r="G3011" t="inlineStr"/>
      <c r="H3011" t="inlineStr"/>
      <c r="I3011" s="2" t="n">
        <v>-1069</v>
      </c>
      <c r="J3011" t="inlineStr"/>
      <c r="K3011" t="inlineStr"/>
      <c r="L3011" s="2" t="n">
        <v>-1404</v>
      </c>
      <c r="M3011" t="inlineStr"/>
      <c r="N3011" t="inlineStr">
        <is>
          <t>20250508900279</t>
        </is>
      </c>
      <c r="O3011">
        <f>HYPERLINK("https://dart.fss.or.kr/dsaf001/main.do?rcpNo=20250508900279", "공시열람")</f>
        <v/>
      </c>
    </row>
    <row r="3012">
      <c r="A3012" t="inlineStr">
        <is>
          <t>2025-05-08</t>
        </is>
      </c>
      <c r="B3012" t="inlineStr">
        <is>
          <t>유한양행</t>
        </is>
      </c>
      <c r="C3012" t="inlineStr">
        <is>
          <t>000100</t>
        </is>
      </c>
      <c r="D3012" t="inlineStr">
        <is>
          <t>별도</t>
        </is>
      </c>
      <c r="E3012" t="inlineStr">
        <is>
          <t>2025Q1</t>
        </is>
      </c>
      <c r="F3012" s="2" t="n">
        <v>469412</v>
      </c>
      <c r="G3012" t="n">
        <v>-1.3</v>
      </c>
      <c r="H3012" t="n">
        <v>8.4</v>
      </c>
      <c r="I3012" s="2" t="n">
        <v>8645</v>
      </c>
      <c r="J3012" t="inlineStr"/>
      <c r="K3012" t="n">
        <v>40.8</v>
      </c>
      <c r="L3012" s="2" t="n">
        <v>39331</v>
      </c>
      <c r="M3012" t="n">
        <v>8.1</v>
      </c>
      <c r="N3012" t="inlineStr">
        <is>
          <t>20250508800254</t>
        </is>
      </c>
      <c r="O3012">
        <f>HYPERLINK("https://dart.fss.or.kr/dsaf001/main.do?rcpNo=20250508800254", "공시열람")</f>
        <v/>
      </c>
    </row>
    <row r="3013">
      <c r="A3013" t="inlineStr">
        <is>
          <t>2025-05-08</t>
        </is>
      </c>
      <c r="B3013" t="inlineStr">
        <is>
          <t>현대그린푸드</t>
        </is>
      </c>
      <c r="C3013" t="inlineStr">
        <is>
          <t>453340</t>
        </is>
      </c>
      <c r="D3013" t="inlineStr">
        <is>
          <t>연결</t>
        </is>
      </c>
      <c r="E3013" t="inlineStr">
        <is>
          <t>2025Q1</t>
        </is>
      </c>
      <c r="F3013" s="2" t="n">
        <v>570600</v>
      </c>
      <c r="G3013" t="n">
        <v>0.64</v>
      </c>
      <c r="H3013" t="n">
        <v>1.98</v>
      </c>
      <c r="I3013" s="2" t="n">
        <v>32200</v>
      </c>
      <c r="J3013" t="inlineStr"/>
      <c r="K3013" t="n">
        <v>3.36</v>
      </c>
      <c r="L3013" s="2" t="n">
        <v>26400</v>
      </c>
      <c r="M3013" t="n">
        <v>8.35</v>
      </c>
      <c r="N3013" t="inlineStr">
        <is>
          <t>20250508800258</t>
        </is>
      </c>
      <c r="O3013">
        <f>HYPERLINK("https://dart.fss.or.kr/dsaf001/main.do?rcpNo=20250508800258", "공시열람")</f>
        <v/>
      </c>
    </row>
    <row r="3014">
      <c r="A3014" t="inlineStr">
        <is>
          <t>2025-05-08</t>
        </is>
      </c>
      <c r="B3014" t="inlineStr">
        <is>
          <t>지누스</t>
        </is>
      </c>
      <c r="C3014" t="inlineStr">
        <is>
          <t>013890</t>
        </is>
      </c>
      <c r="D3014" t="inlineStr">
        <is>
          <t>연결</t>
        </is>
      </c>
      <c r="E3014" t="inlineStr">
        <is>
          <t>2025Q1</t>
        </is>
      </c>
      <c r="F3014" s="2" t="n">
        <v>249928</v>
      </c>
      <c r="G3014" t="n">
        <v>-13.5</v>
      </c>
      <c r="H3014" t="n">
        <v>64.2</v>
      </c>
      <c r="I3014" s="2" t="n">
        <v>27502</v>
      </c>
      <c r="J3014" t="n">
        <v>72.2</v>
      </c>
      <c r="K3014" t="inlineStr"/>
      <c r="L3014" s="2" t="n">
        <v>18651</v>
      </c>
      <c r="M3014" t="inlineStr"/>
      <c r="N3014" t="inlineStr">
        <is>
          <t>20250508800242</t>
        </is>
      </c>
      <c r="O3014">
        <f>HYPERLINK("https://dart.fss.or.kr/dsaf001/main.do?rcpNo=20250508800242", "공시열람")</f>
        <v/>
      </c>
    </row>
    <row r="3015">
      <c r="A3015" t="inlineStr">
        <is>
          <t>2025-05-08</t>
        </is>
      </c>
      <c r="B3015" t="inlineStr">
        <is>
          <t>현대리바트</t>
        </is>
      </c>
      <c r="C3015" t="inlineStr">
        <is>
          <t>079430</t>
        </is>
      </c>
      <c r="D3015" t="inlineStr">
        <is>
          <t>연결</t>
        </is>
      </c>
      <c r="E3015" t="inlineStr">
        <is>
          <t>2025Q1</t>
        </is>
      </c>
      <c r="F3015" s="2" t="n">
        <v>437760</v>
      </c>
      <c r="G3015" t="n">
        <v>5.5</v>
      </c>
      <c r="H3015" t="n">
        <v>-13.3</v>
      </c>
      <c r="I3015" s="2" t="n">
        <v>9512</v>
      </c>
      <c r="J3015" t="inlineStr"/>
      <c r="K3015" t="n">
        <v>39.9</v>
      </c>
      <c r="L3015" s="2" t="n">
        <v>6556</v>
      </c>
      <c r="M3015" t="n">
        <v>40</v>
      </c>
      <c r="N3015" t="inlineStr">
        <is>
          <t>20250508800224</t>
        </is>
      </c>
      <c r="O3015">
        <f>HYPERLINK("https://dart.fss.or.kr/dsaf001/main.do?rcpNo=20250508800224", "공시열람")</f>
        <v/>
      </c>
    </row>
    <row r="3016">
      <c r="A3016" t="inlineStr">
        <is>
          <t>2025-05-08</t>
        </is>
      </c>
      <c r="B3016" t="inlineStr">
        <is>
          <t>한온시스템</t>
        </is>
      </c>
      <c r="C3016" t="inlineStr">
        <is>
          <t>018880</t>
        </is>
      </c>
      <c r="D3016" t="inlineStr">
        <is>
          <t>연결</t>
        </is>
      </c>
      <c r="E3016" t="inlineStr">
        <is>
          <t>2025Q1</t>
        </is>
      </c>
      <c r="F3016" s="2" t="n">
        <v>2617312</v>
      </c>
      <c r="G3016" t="inlineStr"/>
      <c r="H3016" t="inlineStr"/>
      <c r="I3016" s="2" t="n">
        <v>20920</v>
      </c>
      <c r="J3016" t="inlineStr"/>
      <c r="K3016" t="inlineStr"/>
      <c r="L3016" s="2" t="n">
        <v>-22592</v>
      </c>
      <c r="M3016" t="inlineStr"/>
      <c r="N3016" t="inlineStr">
        <is>
          <t>20250508800214</t>
        </is>
      </c>
      <c r="O3016">
        <f>HYPERLINK("https://dart.fss.or.kr/dsaf001/main.do?rcpNo=20250508800214", "공시열람")</f>
        <v/>
      </c>
    </row>
    <row r="3017">
      <c r="A3017" t="inlineStr">
        <is>
          <t>2025-05-08</t>
        </is>
      </c>
      <c r="B3017" t="inlineStr">
        <is>
          <t>CJ ENM</t>
        </is>
      </c>
      <c r="C3017" t="inlineStr">
        <is>
          <t>035760</t>
        </is>
      </c>
      <c r="D3017" t="inlineStr">
        <is>
          <t>연결</t>
        </is>
      </c>
      <c r="E3017" t="inlineStr">
        <is>
          <t>2025Q1</t>
        </is>
      </c>
      <c r="F3017" s="2" t="n">
        <v>1138278</v>
      </c>
      <c r="G3017" t="inlineStr"/>
      <c r="H3017" t="inlineStr"/>
      <c r="I3017" s="2" t="n">
        <v>705</v>
      </c>
      <c r="J3017" t="inlineStr"/>
      <c r="K3017" t="inlineStr"/>
      <c r="L3017" s="2" t="n">
        <v>-82169</v>
      </c>
      <c r="M3017" t="inlineStr"/>
      <c r="N3017" t="inlineStr">
        <is>
          <t>20250508900207</t>
        </is>
      </c>
      <c r="O3017">
        <f>HYPERLINK("https://dart.fss.or.kr/dsaf001/main.do?rcpNo=20250508900207", "공시열람")</f>
        <v/>
      </c>
    </row>
    <row r="3018">
      <c r="A3018" t="inlineStr">
        <is>
          <t>2025-05-08</t>
        </is>
      </c>
      <c r="B3018" t="inlineStr">
        <is>
          <t>텔레칩스</t>
        </is>
      </c>
      <c r="C3018" t="inlineStr">
        <is>
          <t>054450</t>
        </is>
      </c>
      <c r="D3018" t="inlineStr">
        <is>
          <t>연결</t>
        </is>
      </c>
      <c r="E3018" t="inlineStr">
        <is>
          <t>2025Q1</t>
        </is>
      </c>
      <c r="F3018" s="2" t="n">
        <v>45204</v>
      </c>
      <c r="G3018" t="inlineStr"/>
      <c r="H3018" t="inlineStr"/>
      <c r="I3018" s="2" t="n">
        <v>-2599</v>
      </c>
      <c r="J3018" t="inlineStr"/>
      <c r="K3018" t="inlineStr"/>
      <c r="L3018" s="2" t="n">
        <v>-3484</v>
      </c>
      <c r="M3018" t="inlineStr"/>
      <c r="N3018" t="inlineStr">
        <is>
          <t>20250508900392</t>
        </is>
      </c>
      <c r="O3018">
        <f>HYPERLINK("https://dart.fss.or.kr/dsaf001/main.do?rcpNo=20250508900392", "공시열람")</f>
        <v/>
      </c>
    </row>
    <row r="3019">
      <c r="A3019" t="inlineStr">
        <is>
          <t>2025-05-08</t>
        </is>
      </c>
      <c r="B3019" t="inlineStr">
        <is>
          <t>토비스</t>
        </is>
      </c>
      <c r="C3019" t="inlineStr">
        <is>
          <t>051360</t>
        </is>
      </c>
      <c r="D3019" t="inlineStr">
        <is>
          <t>연결</t>
        </is>
      </c>
      <c r="E3019" t="inlineStr">
        <is>
          <t>2025Q1</t>
        </is>
      </c>
      <c r="F3019" s="2" t="n">
        <v>153758</v>
      </c>
      <c r="G3019" t="inlineStr"/>
      <c r="H3019" t="inlineStr"/>
      <c r="I3019" s="2" t="n">
        <v>12064</v>
      </c>
      <c r="J3019" t="inlineStr"/>
      <c r="K3019" t="inlineStr"/>
      <c r="L3019" s="2" t="n">
        <v>9139</v>
      </c>
      <c r="M3019" t="inlineStr"/>
      <c r="N3019" t="inlineStr">
        <is>
          <t>20250508900230</t>
        </is>
      </c>
      <c r="O3019">
        <f>HYPERLINK("https://dart.fss.or.kr/dsaf001/main.do?rcpNo=20250508900230", "공시열람")</f>
        <v/>
      </c>
    </row>
    <row r="3020">
      <c r="A3020" t="inlineStr">
        <is>
          <t>2025-05-08</t>
        </is>
      </c>
      <c r="B3020" t="inlineStr">
        <is>
          <t>롯데렌탈</t>
        </is>
      </c>
      <c r="C3020" t="inlineStr">
        <is>
          <t>089860</t>
        </is>
      </c>
      <c r="D3020" t="inlineStr">
        <is>
          <t>연결</t>
        </is>
      </c>
      <c r="E3020" t="inlineStr">
        <is>
          <t>2025Q1</t>
        </is>
      </c>
      <c r="F3020" s="2" t="n">
        <v>685640</v>
      </c>
      <c r="G3020" t="inlineStr"/>
      <c r="H3020" t="inlineStr"/>
      <c r="I3020" s="2" t="n">
        <v>66991</v>
      </c>
      <c r="J3020" t="inlineStr"/>
      <c r="K3020" t="inlineStr"/>
      <c r="L3020" s="2" t="n">
        <v>29829</v>
      </c>
      <c r="M3020" t="inlineStr"/>
      <c r="N3020" t="inlineStr">
        <is>
          <t>20250508800356</t>
        </is>
      </c>
      <c r="O3020">
        <f>HYPERLINK("https://dart.fss.or.kr/dsaf001/main.do?rcpNo=20250508800356", "공시열람")</f>
        <v/>
      </c>
    </row>
    <row r="3021">
      <c r="A3021" t="inlineStr">
        <is>
          <t>2025-05-08</t>
        </is>
      </c>
      <c r="B3021" t="inlineStr">
        <is>
          <t>서울바이오시스</t>
        </is>
      </c>
      <c r="C3021" t="inlineStr">
        <is>
          <t>092190</t>
        </is>
      </c>
      <c r="D3021" t="inlineStr">
        <is>
          <t>연결</t>
        </is>
      </c>
      <c r="E3021" t="inlineStr">
        <is>
          <t>2025Q1</t>
        </is>
      </c>
      <c r="F3021" s="2" t="n">
        <v>167807</v>
      </c>
      <c r="G3021" t="inlineStr"/>
      <c r="H3021" t="inlineStr"/>
      <c r="I3021" s="2" t="n">
        <v>-13149</v>
      </c>
      <c r="J3021" t="inlineStr"/>
      <c r="K3021" t="inlineStr"/>
      <c r="L3021" s="2" t="n">
        <v>-17335</v>
      </c>
      <c r="M3021" t="inlineStr"/>
      <c r="N3021" t="inlineStr">
        <is>
          <t>20250508900397</t>
        </is>
      </c>
      <c r="O3021">
        <f>HYPERLINK("https://dart.fss.or.kr/dsaf001/main.do?rcpNo=20250508900397", "공시열람")</f>
        <v/>
      </c>
    </row>
    <row r="3022">
      <c r="A3022" t="inlineStr">
        <is>
          <t>2025-05-08</t>
        </is>
      </c>
      <c r="B3022" t="inlineStr">
        <is>
          <t>코오롱인더</t>
        </is>
      </c>
      <c r="C3022" t="inlineStr">
        <is>
          <t>120110</t>
        </is>
      </c>
      <c r="D3022" t="inlineStr">
        <is>
          <t>연결</t>
        </is>
      </c>
      <c r="E3022" t="inlineStr">
        <is>
          <t>2025Q1</t>
        </is>
      </c>
      <c r="F3022" s="2" t="n">
        <v>1231583</v>
      </c>
      <c r="G3022" t="n">
        <v>-5.14</v>
      </c>
      <c r="H3022" t="n">
        <v>7.78</v>
      </c>
      <c r="I3022" s="2" t="n">
        <v>26932</v>
      </c>
      <c r="J3022" t="n">
        <v>-24.72</v>
      </c>
      <c r="K3022" t="n">
        <v>-13.48</v>
      </c>
      <c r="L3022" s="2" t="n">
        <v>19774</v>
      </c>
      <c r="M3022" t="n">
        <v>-2.66</v>
      </c>
      <c r="N3022" t="inlineStr">
        <is>
          <t>20250508800383</t>
        </is>
      </c>
      <c r="O3022">
        <f>HYPERLINK("https://dart.fss.or.kr/dsaf001/main.do?rcpNo=20250508800383", "공시열람")</f>
        <v/>
      </c>
    </row>
    <row r="3023">
      <c r="A3023" t="inlineStr">
        <is>
          <t>2025-05-08</t>
        </is>
      </c>
      <c r="B3023" t="inlineStr">
        <is>
          <t>BGF리테일</t>
        </is>
      </c>
      <c r="C3023" t="inlineStr">
        <is>
          <t>282330</t>
        </is>
      </c>
      <c r="D3023" t="inlineStr">
        <is>
          <t>연결</t>
        </is>
      </c>
      <c r="E3023" t="inlineStr">
        <is>
          <t>2025Q1</t>
        </is>
      </c>
      <c r="F3023" s="2" t="n">
        <v>2016500</v>
      </c>
      <c r="G3023" t="n">
        <v>-9</v>
      </c>
      <c r="H3023" t="n">
        <v>3.2</v>
      </c>
      <c r="I3023" s="2" t="n">
        <v>22600</v>
      </c>
      <c r="J3023" t="n">
        <v>-56.2</v>
      </c>
      <c r="K3023" t="n">
        <v>-30.7</v>
      </c>
      <c r="L3023" s="2" t="n">
        <v>13400</v>
      </c>
      <c r="M3023" t="n">
        <v>-42.7</v>
      </c>
      <c r="N3023" t="inlineStr">
        <is>
          <t>20250508800391</t>
        </is>
      </c>
      <c r="O3023">
        <f>HYPERLINK("https://dart.fss.or.kr/dsaf001/main.do?rcpNo=20250508800391", "공시열람")</f>
        <v/>
      </c>
    </row>
    <row r="3024">
      <c r="A3024" t="inlineStr">
        <is>
          <t>2025-05-08</t>
        </is>
      </c>
      <c r="B3024" t="inlineStr">
        <is>
          <t>BGF</t>
        </is>
      </c>
      <c r="C3024" t="inlineStr">
        <is>
          <t>027410</t>
        </is>
      </c>
      <c r="D3024" t="inlineStr">
        <is>
          <t>연결</t>
        </is>
      </c>
      <c r="E3024" t="inlineStr">
        <is>
          <t>2025Q1</t>
        </is>
      </c>
      <c r="F3024" s="2" t="n">
        <v>105900</v>
      </c>
      <c r="G3024" t="n">
        <v>-6</v>
      </c>
      <c r="H3024" t="n">
        <v>9.199999999999999</v>
      </c>
      <c r="I3024" s="2" t="n">
        <v>5200</v>
      </c>
      <c r="J3024" t="n">
        <v>-40.2</v>
      </c>
      <c r="K3024" t="n">
        <v>-41.6</v>
      </c>
      <c r="L3024" s="2" t="n">
        <v>4500</v>
      </c>
      <c r="M3024" t="n">
        <v>-60.9</v>
      </c>
      <c r="N3024" t="inlineStr">
        <is>
          <t>20250508800394</t>
        </is>
      </c>
      <c r="O3024">
        <f>HYPERLINK("https://dart.fss.or.kr/dsaf001/main.do?rcpNo=20250508800394", "공시열람")</f>
        <v/>
      </c>
    </row>
    <row r="3025">
      <c r="A3025" t="inlineStr">
        <is>
          <t>2025-05-08</t>
        </is>
      </c>
      <c r="B3025" t="inlineStr">
        <is>
          <t>CJ CGV</t>
        </is>
      </c>
      <c r="C3025" t="inlineStr">
        <is>
          <t>079160</t>
        </is>
      </c>
      <c r="D3025" t="inlineStr">
        <is>
          <t>연결</t>
        </is>
      </c>
      <c r="E3025" t="inlineStr">
        <is>
          <t>2025Q1</t>
        </is>
      </c>
      <c r="F3025" s="2" t="n">
        <v>533591</v>
      </c>
      <c r="G3025" t="n">
        <v>-9.300000000000001</v>
      </c>
      <c r="H3025" t="n">
        <v>35.8</v>
      </c>
      <c r="I3025" s="2" t="n">
        <v>3201</v>
      </c>
      <c r="J3025" t="n">
        <v>-81.09999999999999</v>
      </c>
      <c r="K3025" t="n">
        <v>-29.5</v>
      </c>
      <c r="L3025" s="2" t="n">
        <v>-38091</v>
      </c>
      <c r="M3025" t="n">
        <v>7.3</v>
      </c>
      <c r="N3025" t="inlineStr">
        <is>
          <t>20250508800398</t>
        </is>
      </c>
      <c r="O3025">
        <f>HYPERLINK("https://dart.fss.or.kr/dsaf001/main.do?rcpNo=20250508800398", "공시열람")</f>
        <v/>
      </c>
    </row>
    <row r="3026">
      <c r="A3026" t="inlineStr">
        <is>
          <t>2025-05-08</t>
        </is>
      </c>
      <c r="B3026" t="inlineStr">
        <is>
          <t>현대에버다임</t>
        </is>
      </c>
      <c r="C3026" t="inlineStr">
        <is>
          <t>041440</t>
        </is>
      </c>
      <c r="D3026" t="inlineStr">
        <is>
          <t>연결</t>
        </is>
      </c>
      <c r="E3026" t="inlineStr">
        <is>
          <t>2025Q1</t>
        </is>
      </c>
      <c r="F3026" s="2" t="n">
        <v>62105</v>
      </c>
      <c r="G3026" t="inlineStr"/>
      <c r="H3026" t="inlineStr"/>
      <c r="I3026" s="2" t="n">
        <v>-1089</v>
      </c>
      <c r="J3026" t="inlineStr"/>
      <c r="K3026" t="inlineStr"/>
      <c r="L3026" s="2" t="n">
        <v>-999</v>
      </c>
      <c r="M3026" t="inlineStr"/>
      <c r="N3026" t="inlineStr">
        <is>
          <t>20250508900422</t>
        </is>
      </c>
      <c r="O3026">
        <f>HYPERLINK("https://dart.fss.or.kr/dsaf001/main.do?rcpNo=20250508900422", "공시열람")</f>
        <v/>
      </c>
    </row>
    <row r="3027">
      <c r="A3027" t="inlineStr">
        <is>
          <t>2025-05-08</t>
        </is>
      </c>
      <c r="B3027" t="inlineStr">
        <is>
          <t>BGF에코머티리얼즈</t>
        </is>
      </c>
      <c r="C3027" t="inlineStr">
        <is>
          <t>126600</t>
        </is>
      </c>
      <c r="D3027" t="inlineStr">
        <is>
          <t>연결</t>
        </is>
      </c>
      <c r="E3027" t="inlineStr">
        <is>
          <t>2025Q1</t>
        </is>
      </c>
      <c r="F3027" s="2" t="n">
        <v>99032</v>
      </c>
      <c r="G3027" t="inlineStr"/>
      <c r="H3027" t="inlineStr"/>
      <c r="I3027" s="2" t="n">
        <v>4815</v>
      </c>
      <c r="J3027" t="inlineStr"/>
      <c r="K3027" t="inlineStr"/>
      <c r="L3027" s="2" t="n">
        <v>2789</v>
      </c>
      <c r="M3027" t="inlineStr"/>
      <c r="N3027" t="inlineStr">
        <is>
          <t>20250508900380</t>
        </is>
      </c>
      <c r="O3027">
        <f>HYPERLINK("https://dart.fss.or.kr/dsaf001/main.do?rcpNo=20250508900380", "공시열람")</f>
        <v/>
      </c>
    </row>
    <row r="3028">
      <c r="A3028" t="inlineStr">
        <is>
          <t>2025-05-08</t>
        </is>
      </c>
      <c r="B3028" t="inlineStr">
        <is>
          <t>펌텍코리아</t>
        </is>
      </c>
      <c r="C3028" t="inlineStr">
        <is>
          <t>251970</t>
        </is>
      </c>
      <c r="D3028" t="inlineStr">
        <is>
          <t>연결</t>
        </is>
      </c>
      <c r="E3028" t="inlineStr">
        <is>
          <t>2025Q1</t>
        </is>
      </c>
      <c r="F3028" s="2" t="n">
        <v>91735</v>
      </c>
      <c r="G3028" t="inlineStr"/>
      <c r="H3028" t="inlineStr"/>
      <c r="I3028" s="2" t="n">
        <v>13433</v>
      </c>
      <c r="J3028" t="inlineStr"/>
      <c r="K3028" t="inlineStr"/>
      <c r="L3028" s="2" t="n">
        <v>11490</v>
      </c>
      <c r="M3028" t="inlineStr"/>
      <c r="N3028" t="inlineStr">
        <is>
          <t>20250508900386</t>
        </is>
      </c>
      <c r="O3028">
        <f>HYPERLINK("https://dart.fss.or.kr/dsaf001/main.do?rcpNo=20250508900386", "공시열람")</f>
        <v/>
      </c>
    </row>
    <row r="3029">
      <c r="A3029" t="inlineStr">
        <is>
          <t>2025-05-08</t>
        </is>
      </c>
      <c r="B3029" t="inlineStr">
        <is>
          <t>심텍</t>
        </is>
      </c>
      <c r="C3029" t="inlineStr">
        <is>
          <t>222800</t>
        </is>
      </c>
      <c r="D3029" t="inlineStr">
        <is>
          <t>연결</t>
        </is>
      </c>
      <c r="E3029" t="inlineStr">
        <is>
          <t>2025Q1</t>
        </is>
      </c>
      <c r="F3029" s="2" t="n">
        <v>303597</v>
      </c>
      <c r="G3029" t="inlineStr"/>
      <c r="H3029" t="inlineStr"/>
      <c r="I3029" s="2" t="n">
        <v>-16324</v>
      </c>
      <c r="J3029" t="inlineStr"/>
      <c r="K3029" t="inlineStr"/>
      <c r="L3029" s="2" t="n">
        <v>-36186</v>
      </c>
      <c r="M3029" t="inlineStr"/>
      <c r="N3029" t="inlineStr">
        <is>
          <t>20250508900431</t>
        </is>
      </c>
      <c r="O3029">
        <f>HYPERLINK("https://dart.fss.or.kr/dsaf001/main.do?rcpNo=20250508900431", "공시열람")</f>
        <v/>
      </c>
    </row>
    <row r="3030">
      <c r="A3030" t="inlineStr">
        <is>
          <t>2025-05-08</t>
        </is>
      </c>
      <c r="B3030" t="inlineStr">
        <is>
          <t>가비아</t>
        </is>
      </c>
      <c r="C3030" t="inlineStr">
        <is>
          <t>079940</t>
        </is>
      </c>
      <c r="D3030" t="inlineStr">
        <is>
          <t>연결</t>
        </is>
      </c>
      <c r="E3030" t="inlineStr">
        <is>
          <t>2025Q1</t>
        </is>
      </c>
      <c r="F3030" s="2" t="n">
        <v>76963</v>
      </c>
      <c r="G3030" t="inlineStr"/>
      <c r="H3030" t="inlineStr"/>
      <c r="I3030" s="2" t="n">
        <v>5776</v>
      </c>
      <c r="J3030" t="inlineStr"/>
      <c r="K3030" t="inlineStr"/>
      <c r="L3030" s="2" t="n">
        <v>3816</v>
      </c>
      <c r="M3030" t="inlineStr"/>
      <c r="N3030" t="inlineStr">
        <is>
          <t>20250508900542</t>
        </is>
      </c>
      <c r="O3030">
        <f>HYPERLINK("https://dart.fss.or.kr/dsaf001/main.do?rcpNo=20250508900542", "공시열람")</f>
        <v/>
      </c>
    </row>
    <row r="3031">
      <c r="A3031" t="inlineStr">
        <is>
          <t>2025-05-08</t>
        </is>
      </c>
      <c r="B3031" t="inlineStr">
        <is>
          <t>헥토이노베이션</t>
        </is>
      </c>
      <c r="C3031" t="inlineStr">
        <is>
          <t>214180</t>
        </is>
      </c>
      <c r="D3031" t="inlineStr">
        <is>
          <t>별도</t>
        </is>
      </c>
      <c r="E3031" t="inlineStr">
        <is>
          <t>2025Q1</t>
        </is>
      </c>
      <c r="F3031" s="2" t="n">
        <v>28856</v>
      </c>
      <c r="G3031" t="inlineStr"/>
      <c r="H3031" t="inlineStr"/>
      <c r="I3031" s="2" t="n">
        <v>6454</v>
      </c>
      <c r="J3031" t="inlineStr"/>
      <c r="K3031" t="inlineStr"/>
      <c r="L3031" s="2" t="n">
        <v>6475</v>
      </c>
      <c r="M3031" t="inlineStr"/>
      <c r="N3031" t="inlineStr">
        <is>
          <t>20250508900440</t>
        </is>
      </c>
      <c r="O3031">
        <f>HYPERLINK("https://dart.fss.or.kr/dsaf001/main.do?rcpNo=20250508900440", "공시열람")</f>
        <v/>
      </c>
    </row>
    <row r="3032">
      <c r="A3032" t="inlineStr">
        <is>
          <t>2025-05-08</t>
        </is>
      </c>
      <c r="B3032" t="inlineStr">
        <is>
          <t>헥토이노베이션</t>
        </is>
      </c>
      <c r="C3032" t="inlineStr">
        <is>
          <t>214180</t>
        </is>
      </c>
      <c r="D3032" t="inlineStr">
        <is>
          <t>연결</t>
        </is>
      </c>
      <c r="E3032" t="inlineStr">
        <is>
          <t>2025Q1</t>
        </is>
      </c>
      <c r="F3032" s="2" t="n">
        <v>89560</v>
      </c>
      <c r="G3032" t="inlineStr"/>
      <c r="H3032" t="inlineStr"/>
      <c r="I3032" s="2" t="n">
        <v>11729</v>
      </c>
      <c r="J3032" t="inlineStr"/>
      <c r="K3032" t="inlineStr"/>
      <c r="L3032" s="2" t="n">
        <v>9504</v>
      </c>
      <c r="M3032" t="inlineStr"/>
      <c r="N3032" t="inlineStr">
        <is>
          <t>20250508900447</t>
        </is>
      </c>
      <c r="O3032">
        <f>HYPERLINK("https://dart.fss.or.kr/dsaf001/main.do?rcpNo=20250508900447", "공시열람")</f>
        <v/>
      </c>
    </row>
    <row r="3033">
      <c r="A3033" t="inlineStr">
        <is>
          <t>2025-05-08</t>
        </is>
      </c>
      <c r="B3033" t="inlineStr">
        <is>
          <t>진에어</t>
        </is>
      </c>
      <c r="C3033" t="inlineStr">
        <is>
          <t>272450</t>
        </is>
      </c>
      <c r="D3033" t="inlineStr">
        <is>
          <t>별도</t>
        </is>
      </c>
      <c r="E3033" t="inlineStr">
        <is>
          <t>2025Q1</t>
        </is>
      </c>
      <c r="F3033" s="2" t="n">
        <v>417845</v>
      </c>
      <c r="G3033" t="n">
        <v>16.6</v>
      </c>
      <c r="H3033" t="n">
        <v>-2.9</v>
      </c>
      <c r="I3033" s="2" t="n">
        <v>58273</v>
      </c>
      <c r="J3033" t="n">
        <v>147.4</v>
      </c>
      <c r="K3033" t="n">
        <v>-40.8</v>
      </c>
      <c r="L3033" s="2" t="n">
        <v>45704</v>
      </c>
      <c r="M3033" t="n">
        <v>-33.1</v>
      </c>
      <c r="N3033" t="inlineStr">
        <is>
          <t>20250508800471</t>
        </is>
      </c>
      <c r="O3033">
        <f>HYPERLINK("https://dart.fss.or.kr/dsaf001/main.do?rcpNo=20250508800471", "공시열람")</f>
        <v/>
      </c>
    </row>
    <row r="3034">
      <c r="A3034" t="inlineStr">
        <is>
          <t>2025-05-08</t>
        </is>
      </c>
      <c r="B3034" t="inlineStr">
        <is>
          <t>하나투어</t>
        </is>
      </c>
      <c r="C3034" t="inlineStr">
        <is>
          <t>039130</t>
        </is>
      </c>
      <c r="D3034" t="inlineStr">
        <is>
          <t>연결</t>
        </is>
      </c>
      <c r="E3034" t="inlineStr">
        <is>
          <t>2025Q1</t>
        </is>
      </c>
      <c r="F3034" s="2" t="n">
        <v>168418</v>
      </c>
      <c r="G3034" t="n">
        <v>18.43</v>
      </c>
      <c r="H3034" t="n">
        <v>-8.140000000000001</v>
      </c>
      <c r="I3034" s="2" t="n">
        <v>12282</v>
      </c>
      <c r="J3034" t="n">
        <v>-9.68</v>
      </c>
      <c r="K3034" t="n">
        <v>-43.22</v>
      </c>
      <c r="L3034" s="2" t="n">
        <v>14365</v>
      </c>
      <c r="M3034" t="n">
        <v>-40.54</v>
      </c>
      <c r="N3034" t="inlineStr">
        <is>
          <t>20250508800500</t>
        </is>
      </c>
      <c r="O3034">
        <f>HYPERLINK("https://dart.fss.or.kr/dsaf001/main.do?rcpNo=20250508800500", "공시열람")</f>
        <v/>
      </c>
    </row>
    <row r="3035">
      <c r="A3035" t="inlineStr">
        <is>
          <t>2025-05-08</t>
        </is>
      </c>
      <c r="B3035" t="inlineStr">
        <is>
          <t>신세계푸드</t>
        </is>
      </c>
      <c r="C3035" t="inlineStr">
        <is>
          <t>031440</t>
        </is>
      </c>
      <c r="D3035" t="inlineStr">
        <is>
          <t>연결</t>
        </is>
      </c>
      <c r="E3035" t="inlineStr">
        <is>
          <t>2025Q1</t>
        </is>
      </c>
      <c r="F3035" s="2" t="n">
        <v>358620</v>
      </c>
      <c r="G3035" t="n">
        <v>-4</v>
      </c>
      <c r="H3035" t="n">
        <v>-6.1</v>
      </c>
      <c r="I3035" s="2" t="n">
        <v>7881</v>
      </c>
      <c r="J3035" t="inlineStr"/>
      <c r="K3035" t="n">
        <v>69.7</v>
      </c>
      <c r="L3035" s="2" t="n">
        <v>5379</v>
      </c>
      <c r="M3035" t="n">
        <v>14.3</v>
      </c>
      <c r="N3035" t="inlineStr">
        <is>
          <t>20250508800495</t>
        </is>
      </c>
      <c r="O3035">
        <f>HYPERLINK("https://dart.fss.or.kr/dsaf001/main.do?rcpNo=20250508800495", "공시열람")</f>
        <v/>
      </c>
    </row>
    <row r="3036">
      <c r="A3036" t="inlineStr">
        <is>
          <t>2025-05-08</t>
        </is>
      </c>
      <c r="B3036" t="inlineStr">
        <is>
          <t>카페24</t>
        </is>
      </c>
      <c r="C3036" t="inlineStr">
        <is>
          <t>042000</t>
        </is>
      </c>
      <c r="D3036" t="inlineStr">
        <is>
          <t>연결</t>
        </is>
      </c>
      <c r="E3036" t="inlineStr">
        <is>
          <t>2025Q1</t>
        </is>
      </c>
      <c r="F3036" s="2" t="n">
        <v>71249</v>
      </c>
      <c r="G3036" t="inlineStr"/>
      <c r="H3036" t="inlineStr"/>
      <c r="I3036" s="2" t="n">
        <v>5959</v>
      </c>
      <c r="J3036" t="inlineStr"/>
      <c r="K3036" t="inlineStr"/>
      <c r="L3036" s="2" t="n">
        <v>5265</v>
      </c>
      <c r="M3036" t="inlineStr"/>
      <c r="N3036" t="inlineStr">
        <is>
          <t>20250508900507</t>
        </is>
      </c>
      <c r="O3036">
        <f>HYPERLINK("https://dart.fss.or.kr/dsaf001/main.do?rcpNo=20250508900507", "공시열람")</f>
        <v/>
      </c>
    </row>
    <row r="3037">
      <c r="A3037" t="inlineStr">
        <is>
          <t>2025-05-08</t>
        </is>
      </c>
      <c r="B3037" t="inlineStr">
        <is>
          <t>케이아이엔엑스</t>
        </is>
      </c>
      <c r="C3037" t="inlineStr">
        <is>
          <t>093320</t>
        </is>
      </c>
      <c r="D3037" t="inlineStr">
        <is>
          <t>별도</t>
        </is>
      </c>
      <c r="E3037" t="inlineStr">
        <is>
          <t>2025Q1</t>
        </is>
      </c>
      <c r="F3037" s="2" t="n">
        <v>26018</v>
      </c>
      <c r="G3037" t="inlineStr"/>
      <c r="H3037" t="inlineStr"/>
      <c r="I3037" s="2" t="n">
        <v>4286</v>
      </c>
      <c r="J3037" t="inlineStr"/>
      <c r="K3037" t="inlineStr"/>
      <c r="L3037" s="2" t="n">
        <v>3159</v>
      </c>
      <c r="M3037" t="inlineStr"/>
      <c r="N3037" t="inlineStr">
        <is>
          <t>20250508900527</t>
        </is>
      </c>
      <c r="O3037">
        <f>HYPERLINK("https://dart.fss.or.kr/dsaf001/main.do?rcpNo=20250508900527", "공시열람")</f>
        <v/>
      </c>
    </row>
    <row r="3038">
      <c r="A3038" t="inlineStr">
        <is>
          <t>2025-05-08</t>
        </is>
      </c>
      <c r="B3038" t="inlineStr">
        <is>
          <t>케이아이엔엑스</t>
        </is>
      </c>
      <c r="C3038" t="inlineStr">
        <is>
          <t>093320</t>
        </is>
      </c>
      <c r="D3038" t="inlineStr">
        <is>
          <t>연결</t>
        </is>
      </c>
      <c r="E3038" t="inlineStr">
        <is>
          <t>2025Q1</t>
        </is>
      </c>
      <c r="F3038" s="2" t="n">
        <v>39404</v>
      </c>
      <c r="G3038" t="inlineStr"/>
      <c r="H3038" t="inlineStr"/>
      <c r="I3038" s="2" t="n">
        <v>4938</v>
      </c>
      <c r="J3038" t="inlineStr"/>
      <c r="K3038" t="inlineStr"/>
      <c r="L3038" s="2" t="n">
        <v>3326</v>
      </c>
      <c r="M3038" t="inlineStr"/>
      <c r="N3038" t="inlineStr">
        <is>
          <t>20250508900528</t>
        </is>
      </c>
      <c r="O3038">
        <f>HYPERLINK("https://dart.fss.or.kr/dsaf001/main.do?rcpNo=20250508900528", "공시열람")</f>
        <v/>
      </c>
    </row>
    <row r="3039">
      <c r="A3039" t="inlineStr">
        <is>
          <t>2025-05-08</t>
        </is>
      </c>
      <c r="B3039" t="inlineStr">
        <is>
          <t>덴티움</t>
        </is>
      </c>
      <c r="C3039" t="inlineStr">
        <is>
          <t>145720</t>
        </is>
      </c>
      <c r="D3039" t="inlineStr">
        <is>
          <t>연결</t>
        </is>
      </c>
      <c r="E3039" t="inlineStr">
        <is>
          <t>2025Q1</t>
        </is>
      </c>
      <c r="F3039" s="2" t="n">
        <v>76822</v>
      </c>
      <c r="G3039" t="n">
        <v>-35.3</v>
      </c>
      <c r="H3039" t="n">
        <v>-7.1</v>
      </c>
      <c r="I3039" s="2" t="n">
        <v>9580</v>
      </c>
      <c r="J3039" t="n">
        <v>-64.8</v>
      </c>
      <c r="K3039" t="n">
        <v>-50.2</v>
      </c>
      <c r="L3039" s="2" t="n">
        <v>12631</v>
      </c>
      <c r="M3039" t="n">
        <v>-23.5</v>
      </c>
      <c r="N3039" t="inlineStr">
        <is>
          <t>20250508800532</t>
        </is>
      </c>
      <c r="O3039">
        <f>HYPERLINK("https://dart.fss.or.kr/dsaf001/main.do?rcpNo=20250508800532", "공시열람")</f>
        <v/>
      </c>
    </row>
    <row r="3040">
      <c r="A3040" t="inlineStr">
        <is>
          <t>2025-05-08</t>
        </is>
      </c>
      <c r="B3040" t="inlineStr">
        <is>
          <t>JW신약</t>
        </is>
      </c>
      <c r="C3040" t="inlineStr">
        <is>
          <t>067290</t>
        </is>
      </c>
      <c r="D3040" t="inlineStr">
        <is>
          <t>별도</t>
        </is>
      </c>
      <c r="E3040" t="inlineStr">
        <is>
          <t>2025Q1</t>
        </is>
      </c>
      <c r="F3040" s="2" t="n">
        <v>19658</v>
      </c>
      <c r="G3040" t="inlineStr"/>
      <c r="H3040" t="inlineStr"/>
      <c r="I3040" s="2" t="n">
        <v>668</v>
      </c>
      <c r="J3040" t="inlineStr"/>
      <c r="K3040" t="inlineStr"/>
      <c r="L3040" s="2" t="n">
        <v>36</v>
      </c>
      <c r="M3040" t="inlineStr"/>
      <c r="N3040" t="inlineStr">
        <is>
          <t>20250508900541</t>
        </is>
      </c>
      <c r="O3040">
        <f>HYPERLINK("https://dart.fss.or.kr/dsaf001/main.do?rcpNo=20250508900541", "공시열람")</f>
        <v/>
      </c>
    </row>
    <row r="3041">
      <c r="A3041" t="inlineStr">
        <is>
          <t>2025-05-08</t>
        </is>
      </c>
      <c r="B3041" t="inlineStr">
        <is>
          <t>케이티앤지</t>
        </is>
      </c>
      <c r="C3041" t="inlineStr">
        <is>
          <t>033780</t>
        </is>
      </c>
      <c r="D3041" t="inlineStr">
        <is>
          <t>연결</t>
        </is>
      </c>
      <c r="E3041" t="inlineStr">
        <is>
          <t>2025Q1</t>
        </is>
      </c>
      <c r="F3041" s="2" t="n">
        <v>1491108</v>
      </c>
      <c r="G3041" t="n">
        <v>-4.2</v>
      </c>
      <c r="H3041" t="n">
        <v>15.4</v>
      </c>
      <c r="I3041" s="2" t="n">
        <v>285560</v>
      </c>
      <c r="J3041" t="n">
        <v>34.4</v>
      </c>
      <c r="K3041" t="n">
        <v>20.7</v>
      </c>
      <c r="L3041" s="2" t="n">
        <v>257929</v>
      </c>
      <c r="M3041" t="n">
        <v>-9.699999999999999</v>
      </c>
      <c r="N3041" t="inlineStr">
        <is>
          <t>20250508800408</t>
        </is>
      </c>
      <c r="O3041">
        <f>HYPERLINK("https://dart.fss.or.kr/dsaf001/main.do?rcpNo=20250508800408", "공시열람")</f>
        <v/>
      </c>
    </row>
    <row r="3042">
      <c r="A3042" t="inlineStr">
        <is>
          <t>2025-05-07</t>
        </is>
      </c>
      <c r="B3042" t="inlineStr">
        <is>
          <t>카카오페이</t>
        </is>
      </c>
      <c r="C3042" t="inlineStr">
        <is>
          <t>377300</t>
        </is>
      </c>
      <c r="D3042" t="inlineStr">
        <is>
          <t>연결</t>
        </is>
      </c>
      <c r="E3042" t="inlineStr">
        <is>
          <t>2025Q1</t>
        </is>
      </c>
      <c r="F3042" s="2" t="n">
        <v>211905</v>
      </c>
      <c r="G3042" t="n">
        <v>-2.9</v>
      </c>
      <c r="H3042" t="n">
        <v>20.2</v>
      </c>
      <c r="I3042" s="2" t="n">
        <v>4411</v>
      </c>
      <c r="J3042" t="inlineStr"/>
      <c r="K3042" t="inlineStr"/>
      <c r="L3042" s="2" t="n">
        <v>14369</v>
      </c>
      <c r="M3042" t="n">
        <v>8504.200000000001</v>
      </c>
      <c r="N3042" t="inlineStr">
        <is>
          <t>20250507800231</t>
        </is>
      </c>
      <c r="O3042">
        <f>HYPERLINK("https://dart.fss.or.kr/dsaf001/main.do?rcpNo=20250507800231", "공시열람")</f>
        <v/>
      </c>
    </row>
    <row r="3043">
      <c r="A3043" t="inlineStr">
        <is>
          <t>2025-05-07</t>
        </is>
      </c>
      <c r="B3043" t="inlineStr">
        <is>
          <t>카카오뱅크</t>
        </is>
      </c>
      <c r="C3043" t="inlineStr">
        <is>
          <t>323410</t>
        </is>
      </c>
      <c r="D3043" t="inlineStr">
        <is>
          <t>별도</t>
        </is>
      </c>
      <c r="E3043" t="inlineStr">
        <is>
          <t>2025Q1</t>
        </is>
      </c>
      <c r="F3043" s="2" t="n">
        <v>784562</v>
      </c>
      <c r="G3043" t="n">
        <v>4.99</v>
      </c>
      <c r="H3043" t="n">
        <v>9.289999999999999</v>
      </c>
      <c r="I3043" s="2" t="n">
        <v>183039</v>
      </c>
      <c r="J3043" t="n">
        <v>59.2</v>
      </c>
      <c r="K3043" t="n">
        <v>23.34</v>
      </c>
      <c r="L3043" s="2" t="n">
        <v>137416</v>
      </c>
      <c r="M3043" t="n">
        <v>23.58</v>
      </c>
      <c r="N3043" t="inlineStr">
        <is>
          <t>20250507800012</t>
        </is>
      </c>
      <c r="O3043">
        <f>HYPERLINK("https://dart.fss.or.kr/dsaf001/main.do?rcpNo=20250507800012", "공시열람")</f>
        <v/>
      </c>
    </row>
    <row r="3044">
      <c r="A3044" t="inlineStr">
        <is>
          <t>2025-05-07</t>
        </is>
      </c>
      <c r="B3044" t="inlineStr">
        <is>
          <t>SK바이오사이언스</t>
        </is>
      </c>
      <c r="C3044" t="inlineStr">
        <is>
          <t>302440</t>
        </is>
      </c>
      <c r="D3044" t="inlineStr">
        <is>
          <t>연결</t>
        </is>
      </c>
      <c r="E3044" t="inlineStr">
        <is>
          <t>2025Q1</t>
        </is>
      </c>
      <c r="F3044" s="2" t="n">
        <v>154558</v>
      </c>
      <c r="G3044" t="n">
        <v>-1.5</v>
      </c>
      <c r="H3044" t="n">
        <v>594</v>
      </c>
      <c r="I3044" s="2" t="n">
        <v>-15126</v>
      </c>
      <c r="J3044" t="n">
        <v>70.2</v>
      </c>
      <c r="K3044" t="n">
        <v>46.2</v>
      </c>
      <c r="L3044" s="2" t="n">
        <v>-4071</v>
      </c>
      <c r="M3044" t="n">
        <v>70.3</v>
      </c>
      <c r="N3044" t="inlineStr">
        <is>
          <t>20250507800423</t>
        </is>
      </c>
      <c r="O3044">
        <f>HYPERLINK("https://dart.fss.or.kr/dsaf001/main.do?rcpNo=20250507800423", "공시열람")</f>
        <v/>
      </c>
    </row>
    <row r="3045">
      <c r="A3045" t="inlineStr">
        <is>
          <t>2025-05-07</t>
        </is>
      </c>
      <c r="B3045" t="inlineStr">
        <is>
          <t>영진약품</t>
        </is>
      </c>
      <c r="C3045" t="inlineStr">
        <is>
          <t>003520</t>
        </is>
      </c>
      <c r="D3045" t="inlineStr">
        <is>
          <t>별도</t>
        </is>
      </c>
      <c r="E3045" t="inlineStr">
        <is>
          <t>2025Q1</t>
        </is>
      </c>
      <c r="F3045" s="2" t="n">
        <v>64074</v>
      </c>
      <c r="G3045" t="n">
        <v>1.9</v>
      </c>
      <c r="H3045" t="n">
        <v>-1.3</v>
      </c>
      <c r="I3045" s="2" t="n">
        <v>2615</v>
      </c>
      <c r="J3045" t="n">
        <v>64.40000000000001</v>
      </c>
      <c r="K3045" t="n">
        <v>-43.2</v>
      </c>
      <c r="L3045" s="2" t="n">
        <v>976</v>
      </c>
      <c r="M3045" t="n">
        <v>-76.09999999999999</v>
      </c>
      <c r="N3045" t="inlineStr">
        <is>
          <t>20250507800292</t>
        </is>
      </c>
      <c r="O3045">
        <f>HYPERLINK("https://dart.fss.or.kr/dsaf001/main.do?rcpNo=20250507800292", "공시열람")</f>
        <v/>
      </c>
    </row>
    <row r="3046">
      <c r="A3046" t="inlineStr">
        <is>
          <t>2025-05-07</t>
        </is>
      </c>
      <c r="B3046" t="inlineStr">
        <is>
          <t>한섬</t>
        </is>
      </c>
      <c r="C3046" t="inlineStr">
        <is>
          <t>020000</t>
        </is>
      </c>
      <c r="D3046" t="inlineStr">
        <is>
          <t>연결</t>
        </is>
      </c>
      <c r="E3046" t="inlineStr">
        <is>
          <t>2025Q1</t>
        </is>
      </c>
      <c r="F3046" s="2" t="n">
        <v>380324</v>
      </c>
      <c r="G3046" t="n">
        <v>-12.7</v>
      </c>
      <c r="H3046" t="n">
        <v>-3.4</v>
      </c>
      <c r="I3046" s="2" t="n">
        <v>21781</v>
      </c>
      <c r="J3046" t="n">
        <v>4.2</v>
      </c>
      <c r="K3046" t="n">
        <v>-32.9</v>
      </c>
      <c r="L3046" s="2" t="n">
        <v>18355</v>
      </c>
      <c r="M3046" t="n">
        <v>-22.4</v>
      </c>
      <c r="N3046" t="inlineStr">
        <is>
          <t>20250507800354</t>
        </is>
      </c>
      <c r="O3046">
        <f>HYPERLINK("https://dart.fss.or.kr/dsaf001/main.do?rcpNo=20250507800354", "공시열람")</f>
        <v/>
      </c>
    </row>
    <row r="3047">
      <c r="A3047" t="inlineStr">
        <is>
          <t>2025-05-07</t>
        </is>
      </c>
      <c r="B3047" t="inlineStr">
        <is>
          <t>GKL</t>
        </is>
      </c>
      <c r="C3047" t="inlineStr">
        <is>
          <t>114090</t>
        </is>
      </c>
      <c r="D3047" t="inlineStr">
        <is>
          <t>별도</t>
        </is>
      </c>
      <c r="E3047" t="inlineStr">
        <is>
          <t>2025Q1</t>
        </is>
      </c>
      <c r="F3047" s="2" t="inlineStr"/>
      <c r="G3047" t="inlineStr"/>
      <c r="H3047" t="inlineStr"/>
      <c r="I3047" s="2" t="inlineStr"/>
      <c r="J3047" t="inlineStr"/>
      <c r="K3047" t="inlineStr"/>
      <c r="L3047" s="2" t="inlineStr"/>
      <c r="M3047" t="inlineStr"/>
      <c r="N3047" t="inlineStr">
        <is>
          <t>20250507800378</t>
        </is>
      </c>
      <c r="O3047">
        <f>HYPERLINK("https://dart.fss.or.kr/dsaf001/main.do?rcpNo=20250507800378", "공시열람")</f>
        <v/>
      </c>
    </row>
    <row r="3048">
      <c r="A3048" t="inlineStr">
        <is>
          <t>2025-05-07</t>
        </is>
      </c>
      <c r="B3048" t="inlineStr">
        <is>
          <t>롯데하이마트</t>
        </is>
      </c>
      <c r="C3048" t="inlineStr">
        <is>
          <t>071840</t>
        </is>
      </c>
      <c r="D3048" t="inlineStr">
        <is>
          <t>별도</t>
        </is>
      </c>
      <c r="E3048" t="inlineStr">
        <is>
          <t>2025Q1</t>
        </is>
      </c>
      <c r="F3048" s="2" t="n">
        <v>529016</v>
      </c>
      <c r="G3048" t="inlineStr"/>
      <c r="H3048" t="inlineStr"/>
      <c r="I3048" s="2" t="n">
        <v>-11064</v>
      </c>
      <c r="J3048" t="inlineStr"/>
      <c r="K3048" t="inlineStr"/>
      <c r="L3048" s="2" t="n">
        <v>-13796</v>
      </c>
      <c r="M3048" t="inlineStr"/>
      <c r="N3048" t="inlineStr">
        <is>
          <t>20250507800404</t>
        </is>
      </c>
      <c r="O3048">
        <f>HYPERLINK("https://dart.fss.or.kr/dsaf001/main.do?rcpNo=20250507800404", "공시열람")</f>
        <v/>
      </c>
    </row>
    <row r="3049">
      <c r="A3049" t="inlineStr">
        <is>
          <t>2025-05-07</t>
        </is>
      </c>
      <c r="B3049" t="inlineStr">
        <is>
          <t>PI첨단소재</t>
        </is>
      </c>
      <c r="C3049" t="inlineStr">
        <is>
          <t>178920</t>
        </is>
      </c>
      <c r="D3049" t="inlineStr">
        <is>
          <t>별도</t>
        </is>
      </c>
      <c r="E3049" t="inlineStr">
        <is>
          <t>2025Q1</t>
        </is>
      </c>
      <c r="F3049" s="2" t="n">
        <v>64096</v>
      </c>
      <c r="G3049" t="inlineStr"/>
      <c r="H3049" t="inlineStr"/>
      <c r="I3049" s="2" t="n">
        <v>8902</v>
      </c>
      <c r="J3049" t="inlineStr"/>
      <c r="K3049" t="inlineStr"/>
      <c r="L3049" s="2" t="n">
        <v>6055</v>
      </c>
      <c r="M3049" t="inlineStr"/>
      <c r="N3049" t="inlineStr">
        <is>
          <t>20250507800067</t>
        </is>
      </c>
      <c r="O3049">
        <f>HYPERLINK("https://dart.fss.or.kr/dsaf001/main.do?rcpNo=20250507800067", "공시열람")</f>
        <v/>
      </c>
    </row>
    <row r="3050">
      <c r="A3050" t="inlineStr">
        <is>
          <t>2025-05-07</t>
        </is>
      </c>
      <c r="B3050" t="inlineStr">
        <is>
          <t>JW중외제약</t>
        </is>
      </c>
      <c r="C3050" t="inlineStr">
        <is>
          <t>001060</t>
        </is>
      </c>
      <c r="D3050" t="inlineStr">
        <is>
          <t>별도</t>
        </is>
      </c>
      <c r="E3050" t="inlineStr">
        <is>
          <t>2025Q1</t>
        </is>
      </c>
      <c r="F3050" s="2" t="n">
        <v>183520</v>
      </c>
      <c r="G3050" t="n">
        <v>-0.9</v>
      </c>
      <c r="H3050" t="n">
        <v>3</v>
      </c>
      <c r="I3050" s="2" t="n">
        <v>22586</v>
      </c>
      <c r="J3050" t="n">
        <v>39.1</v>
      </c>
      <c r="K3050" t="n">
        <v>-15.4</v>
      </c>
      <c r="L3050" s="2" t="n">
        <v>17537</v>
      </c>
      <c r="M3050" t="n">
        <v>-11.8</v>
      </c>
      <c r="N3050" t="inlineStr">
        <is>
          <t>20250507800406</t>
        </is>
      </c>
      <c r="O3050">
        <f>HYPERLINK("https://dart.fss.or.kr/dsaf001/main.do?rcpNo=20250507800406", "공시열람")</f>
        <v/>
      </c>
    </row>
    <row r="3051">
      <c r="A3051" t="inlineStr">
        <is>
          <t>2025-05-07</t>
        </is>
      </c>
      <c r="B3051" t="inlineStr">
        <is>
          <t>코렌텍</t>
        </is>
      </c>
      <c r="C3051" t="inlineStr">
        <is>
          <t>104540</t>
        </is>
      </c>
      <c r="D3051" t="inlineStr">
        <is>
          <t>연결</t>
        </is>
      </c>
      <c r="E3051" t="inlineStr">
        <is>
          <t>2025Q1</t>
        </is>
      </c>
      <c r="F3051" s="2" t="n">
        <v>22627</v>
      </c>
      <c r="G3051" t="inlineStr"/>
      <c r="H3051" t="inlineStr"/>
      <c r="I3051" s="2" t="n">
        <v>421</v>
      </c>
      <c r="J3051" t="inlineStr"/>
      <c r="K3051" t="inlineStr"/>
      <c r="L3051" s="2" t="n">
        <v>2212</v>
      </c>
      <c r="M3051" t="inlineStr"/>
      <c r="N3051" t="inlineStr">
        <is>
          <t>20250507900497</t>
        </is>
      </c>
      <c r="O3051">
        <f>HYPERLINK("https://dart.fss.or.kr/dsaf001/main.do?rcpNo=20250507900497", "공시열람")</f>
        <v/>
      </c>
    </row>
    <row r="3052">
      <c r="A3052" t="inlineStr">
        <is>
          <t>2025-05-07</t>
        </is>
      </c>
      <c r="B3052" t="inlineStr">
        <is>
          <t>에스엠</t>
        </is>
      </c>
      <c r="C3052" t="inlineStr">
        <is>
          <t>041510</t>
        </is>
      </c>
      <c r="D3052" t="inlineStr">
        <is>
          <t>별도</t>
        </is>
      </c>
      <c r="E3052" t="inlineStr">
        <is>
          <t>2025Q1</t>
        </is>
      </c>
      <c r="F3052" s="2" t="n">
        <v>165481</v>
      </c>
      <c r="G3052" t="inlineStr"/>
      <c r="H3052" t="inlineStr"/>
      <c r="I3052" s="2" t="n">
        <v>41278</v>
      </c>
      <c r="J3052" t="inlineStr"/>
      <c r="K3052" t="inlineStr"/>
      <c r="L3052" s="2" t="n">
        <v>32150</v>
      </c>
      <c r="M3052" t="inlineStr"/>
      <c r="N3052" t="inlineStr">
        <is>
          <t>20250507900257</t>
        </is>
      </c>
      <c r="O3052">
        <f>HYPERLINK("https://dart.fss.or.kr/dsaf001/main.do?rcpNo=20250507900257", "공시열람")</f>
        <v/>
      </c>
    </row>
    <row r="3053">
      <c r="A3053" t="inlineStr">
        <is>
          <t>2025-05-07</t>
        </is>
      </c>
      <c r="B3053" t="inlineStr">
        <is>
          <t>현대바이오랜드</t>
        </is>
      </c>
      <c r="C3053" t="inlineStr">
        <is>
          <t>052260</t>
        </is>
      </c>
      <c r="D3053" t="inlineStr">
        <is>
          <t>연결</t>
        </is>
      </c>
      <c r="E3053" t="inlineStr">
        <is>
          <t>2025Q1</t>
        </is>
      </c>
      <c r="F3053" s="2" t="n">
        <v>33699</v>
      </c>
      <c r="G3053" t="inlineStr"/>
      <c r="H3053" t="inlineStr"/>
      <c r="I3053" s="2" t="n">
        <v>4971</v>
      </c>
      <c r="J3053" t="inlineStr"/>
      <c r="K3053" t="inlineStr"/>
      <c r="L3053" s="2" t="n">
        <v>-7017</v>
      </c>
      <c r="M3053" t="inlineStr"/>
      <c r="N3053" t="inlineStr">
        <is>
          <t>20250507900501</t>
        </is>
      </c>
      <c r="O3053">
        <f>HYPERLINK("https://dart.fss.or.kr/dsaf001/main.do?rcpNo=20250507900501", "공시열람")</f>
        <v/>
      </c>
    </row>
    <row r="3054">
      <c r="A3054" t="inlineStr">
        <is>
          <t>2025-05-07</t>
        </is>
      </c>
      <c r="B3054" t="inlineStr">
        <is>
          <t>파크시스템스</t>
        </is>
      </c>
      <c r="C3054" t="inlineStr">
        <is>
          <t>140860</t>
        </is>
      </c>
      <c r="D3054" t="inlineStr">
        <is>
          <t>연결</t>
        </is>
      </c>
      <c r="E3054" t="inlineStr">
        <is>
          <t>2025Q1</t>
        </is>
      </c>
      <c r="F3054" s="2" t="n">
        <v>50910</v>
      </c>
      <c r="G3054" t="inlineStr"/>
      <c r="H3054" t="inlineStr"/>
      <c r="I3054" s="2" t="n">
        <v>13150</v>
      </c>
      <c r="J3054" t="inlineStr"/>
      <c r="K3054" t="inlineStr"/>
      <c r="L3054" s="2" t="inlineStr"/>
      <c r="M3054" t="inlineStr"/>
      <c r="N3054" t="inlineStr">
        <is>
          <t>20250507900503</t>
        </is>
      </c>
      <c r="O3054">
        <f>HYPERLINK("https://dart.fss.or.kr/dsaf001/main.do?rcpNo=20250507900503", "공시열람")</f>
        <v/>
      </c>
    </row>
    <row r="3055">
      <c r="A3055" t="inlineStr">
        <is>
          <t>2025-05-07</t>
        </is>
      </c>
      <c r="B3055" t="inlineStr">
        <is>
          <t>넥써쓰</t>
        </is>
      </c>
      <c r="C3055" t="inlineStr">
        <is>
          <t>205500</t>
        </is>
      </c>
      <c r="D3055" t="inlineStr">
        <is>
          <t>연결</t>
        </is>
      </c>
      <c r="E3055" t="inlineStr">
        <is>
          <t>2025Q1</t>
        </is>
      </c>
      <c r="F3055" s="2" t="n">
        <v>6600</v>
      </c>
      <c r="G3055" t="inlineStr"/>
      <c r="H3055" t="inlineStr"/>
      <c r="I3055" s="2" t="n">
        <v>252</v>
      </c>
      <c r="J3055" t="inlineStr"/>
      <c r="K3055" t="inlineStr"/>
      <c r="L3055" s="2" t="n">
        <v>793</v>
      </c>
      <c r="M3055" t="inlineStr"/>
      <c r="N3055" t="inlineStr">
        <is>
          <t>20250507900610</t>
        </is>
      </c>
      <c r="O3055">
        <f>HYPERLINK("https://dart.fss.or.kr/dsaf001/main.do?rcpNo=20250507900610", "공시열람")</f>
        <v/>
      </c>
    </row>
    <row r="3056">
      <c r="A3056" t="inlineStr">
        <is>
          <t>2025-05-07</t>
        </is>
      </c>
      <c r="B3056" t="inlineStr">
        <is>
          <t>현대홈쇼핑</t>
        </is>
      </c>
      <c r="C3056" t="inlineStr">
        <is>
          <t>057050</t>
        </is>
      </c>
      <c r="D3056" t="inlineStr">
        <is>
          <t>연결</t>
        </is>
      </c>
      <c r="E3056" t="inlineStr">
        <is>
          <t>2025Q1</t>
        </is>
      </c>
      <c r="F3056" s="2" t="n">
        <v>959913</v>
      </c>
      <c r="G3056" t="inlineStr"/>
      <c r="H3056" t="inlineStr"/>
      <c r="I3056" s="2" t="n">
        <v>48064</v>
      </c>
      <c r="J3056" t="inlineStr"/>
      <c r="K3056" t="inlineStr"/>
      <c r="L3056" s="2" t="n">
        <v>33837</v>
      </c>
      <c r="M3056" t="inlineStr"/>
      <c r="N3056" t="inlineStr">
        <is>
          <t>20250507800596</t>
        </is>
      </c>
      <c r="O3056">
        <f>HYPERLINK("https://dart.fss.or.kr/dsaf001/main.do?rcpNo=20250507800596", "공시열람")</f>
        <v/>
      </c>
    </row>
    <row r="3057">
      <c r="A3057" t="inlineStr">
        <is>
          <t>2025-05-07</t>
        </is>
      </c>
      <c r="B3057" t="inlineStr">
        <is>
          <t>미디어젠</t>
        </is>
      </c>
      <c r="C3057" t="inlineStr">
        <is>
          <t>279600</t>
        </is>
      </c>
      <c r="D3057" t="inlineStr">
        <is>
          <t>별도</t>
        </is>
      </c>
      <c r="E3057" t="inlineStr">
        <is>
          <t>2025Q1</t>
        </is>
      </c>
      <c r="F3057" s="2" t="n">
        <v>8088</v>
      </c>
      <c r="G3057" t="inlineStr"/>
      <c r="H3057" t="inlineStr"/>
      <c r="I3057" s="2" t="n">
        <v>-719</v>
      </c>
      <c r="J3057" t="inlineStr"/>
      <c r="K3057" t="inlineStr"/>
      <c r="L3057" s="2" t="n">
        <v>-749</v>
      </c>
      <c r="M3057" t="inlineStr"/>
      <c r="N3057" t="inlineStr">
        <is>
          <t>20250507900676</t>
        </is>
      </c>
      <c r="O3057">
        <f>HYPERLINK("https://dart.fss.or.kr/dsaf001/main.do?rcpNo=20250507900676", "공시열람")</f>
        <v/>
      </c>
    </row>
    <row r="3058">
      <c r="A3058" t="inlineStr">
        <is>
          <t>2025-05-07</t>
        </is>
      </c>
      <c r="B3058" t="inlineStr">
        <is>
          <t>신세계I&amp;C</t>
        </is>
      </c>
      <c r="C3058" t="inlineStr">
        <is>
          <t>035510</t>
        </is>
      </c>
      <c r="D3058" t="inlineStr">
        <is>
          <t>연결</t>
        </is>
      </c>
      <c r="E3058" t="inlineStr">
        <is>
          <t>2025Q1</t>
        </is>
      </c>
      <c r="F3058" s="2" t="n">
        <v>172108</v>
      </c>
      <c r="G3058" t="n">
        <v>-4.24</v>
      </c>
      <c r="H3058" t="n">
        <v>9.550000000000001</v>
      </c>
      <c r="I3058" s="2" t="n">
        <v>10664</v>
      </c>
      <c r="J3058" t="n">
        <v>-21.58</v>
      </c>
      <c r="K3058" t="n">
        <v>49.31</v>
      </c>
      <c r="L3058" s="2" t="n">
        <v>9394</v>
      </c>
      <c r="M3058" t="n">
        <v>36.24</v>
      </c>
      <c r="N3058" t="inlineStr">
        <is>
          <t>20250507800760</t>
        </is>
      </c>
      <c r="O3058">
        <f>HYPERLINK("https://dart.fss.or.kr/dsaf001/main.do?rcpNo=20250507800760", "공시열람")</f>
        <v/>
      </c>
    </row>
    <row r="3059">
      <c r="A3059" t="inlineStr">
        <is>
          <t>2025-05-07</t>
        </is>
      </c>
      <c r="B3059" t="inlineStr">
        <is>
          <t>투비소프트</t>
        </is>
      </c>
      <c r="C3059" t="inlineStr">
        <is>
          <t>079970</t>
        </is>
      </c>
      <c r="D3059" t="inlineStr">
        <is>
          <t>별도</t>
        </is>
      </c>
      <c r="E3059" t="inlineStr">
        <is>
          <t>2025Q1</t>
        </is>
      </c>
      <c r="F3059" s="2" t="n">
        <v>6663</v>
      </c>
      <c r="G3059" t="n">
        <v>-10.9</v>
      </c>
      <c r="H3059" t="n">
        <v>33.14</v>
      </c>
      <c r="I3059" s="2" t="n">
        <v>-752</v>
      </c>
      <c r="J3059" t="n">
        <v>-249.65</v>
      </c>
      <c r="K3059" t="n">
        <v>60.42</v>
      </c>
      <c r="L3059" s="2" t="n">
        <v>-730</v>
      </c>
      <c r="M3059" t="n">
        <v>21.17</v>
      </c>
      <c r="N3059" t="inlineStr">
        <is>
          <t>20250507900243</t>
        </is>
      </c>
      <c r="O3059">
        <f>HYPERLINK("https://dart.fss.or.kr/dsaf001/main.do?rcpNo=20250507900243", "공시열람")</f>
        <v/>
      </c>
    </row>
    <row r="3060">
      <c r="A3060" t="inlineStr">
        <is>
          <t>2025-05-07</t>
        </is>
      </c>
      <c r="B3060" t="inlineStr">
        <is>
          <t>JW홀딩스</t>
        </is>
      </c>
      <c r="C3060" t="inlineStr">
        <is>
          <t>096760</t>
        </is>
      </c>
      <c r="D3060" t="inlineStr">
        <is>
          <t>별도</t>
        </is>
      </c>
      <c r="E3060" t="inlineStr">
        <is>
          <t>2025Q1</t>
        </is>
      </c>
      <c r="F3060" s="2" t="n">
        <v>27509</v>
      </c>
      <c r="G3060" t="n">
        <v>16.35</v>
      </c>
      <c r="H3060" t="n">
        <v>9.76</v>
      </c>
      <c r="I3060" s="2" t="n">
        <v>13010</v>
      </c>
      <c r="J3060" t="n">
        <v>121.88</v>
      </c>
      <c r="K3060" t="n">
        <v>26.96</v>
      </c>
      <c r="L3060" s="2" t="n">
        <v>12162</v>
      </c>
      <c r="M3060" t="n">
        <v>262.01</v>
      </c>
      <c r="N3060" t="inlineStr">
        <is>
          <t>20250507800402</t>
        </is>
      </c>
      <c r="O3060">
        <f>HYPERLINK("https://dart.fss.or.kr/dsaf001/main.do?rcpNo=20250507800402", "공시열람")</f>
        <v/>
      </c>
    </row>
    <row r="3061">
      <c r="A3061" t="inlineStr">
        <is>
          <t>2025-05-07</t>
        </is>
      </c>
      <c r="B3061" t="inlineStr">
        <is>
          <t>에스엠</t>
        </is>
      </c>
      <c r="C3061" t="inlineStr">
        <is>
          <t>041510</t>
        </is>
      </c>
      <c r="D3061" t="inlineStr">
        <is>
          <t>연결</t>
        </is>
      </c>
      <c r="E3061" t="inlineStr">
        <is>
          <t>2025Q1</t>
        </is>
      </c>
      <c r="F3061" s="2" t="n">
        <v>231427</v>
      </c>
      <c r="G3061" t="inlineStr"/>
      <c r="H3061" t="inlineStr"/>
      <c r="I3061" s="2" t="n">
        <v>32586</v>
      </c>
      <c r="J3061" t="inlineStr"/>
      <c r="K3061" t="inlineStr"/>
      <c r="L3061" s="2" t="n">
        <v>242900</v>
      </c>
      <c r="M3061" t="inlineStr"/>
      <c r="N3061" t="inlineStr">
        <is>
          <t>20250507900255</t>
        </is>
      </c>
      <c r="O3061">
        <f>HYPERLINK("https://dart.fss.or.kr/dsaf001/main.do?rcpNo=20250507900255", "공시열람")</f>
        <v/>
      </c>
    </row>
    <row r="3062">
      <c r="A3062" t="inlineStr">
        <is>
          <t>2025-05-07</t>
        </is>
      </c>
      <c r="B3062" t="inlineStr">
        <is>
          <t>한화</t>
        </is>
      </c>
      <c r="C3062" t="inlineStr">
        <is>
          <t>000880</t>
        </is>
      </c>
      <c r="D3062" t="inlineStr">
        <is>
          <t>별도</t>
        </is>
      </c>
      <c r="E3062" t="inlineStr">
        <is>
          <t>2025Q1</t>
        </is>
      </c>
      <c r="F3062" s="2" t="n">
        <v>1102495</v>
      </c>
      <c r="G3062" t="n">
        <v>-22.18</v>
      </c>
      <c r="H3062" t="n">
        <v>-33.28</v>
      </c>
      <c r="I3062" s="2" t="n">
        <v>151817</v>
      </c>
      <c r="J3062" t="n">
        <v>73.7</v>
      </c>
      <c r="K3062" t="n">
        <v>-17.34</v>
      </c>
      <c r="L3062" s="2" t="n">
        <v>85865</v>
      </c>
      <c r="M3062" t="n">
        <v>-32.9</v>
      </c>
      <c r="N3062" t="inlineStr">
        <is>
          <t>20250507800228</t>
        </is>
      </c>
      <c r="O3062">
        <f>HYPERLINK("https://dart.fss.or.kr/dsaf001/main.do?rcpNo=20250507800228", "공시열람")</f>
        <v/>
      </c>
    </row>
    <row r="3063">
      <c r="A3063" t="inlineStr">
        <is>
          <t>2025-05-07</t>
        </is>
      </c>
      <c r="B3063" t="inlineStr">
        <is>
          <t>인크로스</t>
        </is>
      </c>
      <c r="C3063" t="inlineStr">
        <is>
          <t>216050</t>
        </is>
      </c>
      <c r="D3063" t="inlineStr">
        <is>
          <t>연결</t>
        </is>
      </c>
      <c r="E3063" t="inlineStr">
        <is>
          <t>2025Q1</t>
        </is>
      </c>
      <c r="F3063" s="2" t="n">
        <v>10170</v>
      </c>
      <c r="G3063" t="inlineStr"/>
      <c r="H3063" t="inlineStr"/>
      <c r="I3063" s="2" t="n">
        <v>2008</v>
      </c>
      <c r="J3063" t="inlineStr"/>
      <c r="K3063" t="inlineStr"/>
      <c r="L3063" s="2" t="n">
        <v>2366</v>
      </c>
      <c r="M3063" t="inlineStr"/>
      <c r="N3063" t="inlineStr">
        <is>
          <t>20250507900241</t>
        </is>
      </c>
      <c r="O3063">
        <f>HYPERLINK("https://dart.fss.or.kr/dsaf001/main.do?rcpNo=20250507900241", "공시열람")</f>
        <v/>
      </c>
    </row>
    <row r="3064">
      <c r="A3064" t="inlineStr">
        <is>
          <t>2025-05-07</t>
        </is>
      </c>
      <c r="B3064" t="inlineStr">
        <is>
          <t>LS에코에너지</t>
        </is>
      </c>
      <c r="C3064" t="inlineStr">
        <is>
          <t>229640</t>
        </is>
      </c>
      <c r="D3064" t="inlineStr">
        <is>
          <t>연결</t>
        </is>
      </c>
      <c r="E3064" t="inlineStr">
        <is>
          <t>2025Q1</t>
        </is>
      </c>
      <c r="F3064" s="2" t="n">
        <v>228342</v>
      </c>
      <c r="G3064" t="n">
        <v>-2</v>
      </c>
      <c r="H3064" t="n">
        <v>26.9</v>
      </c>
      <c r="I3064" s="2" t="n">
        <v>15337</v>
      </c>
      <c r="J3064" t="n">
        <v>96.90000000000001</v>
      </c>
      <c r="K3064" t="n">
        <v>58.1</v>
      </c>
      <c r="L3064" s="2" t="n">
        <v>12743</v>
      </c>
      <c r="M3064" t="n">
        <v>59.9</v>
      </c>
      <c r="N3064" t="inlineStr">
        <is>
          <t>20250507800099</t>
        </is>
      </c>
      <c r="O3064">
        <f>HYPERLINK("https://dart.fss.or.kr/dsaf001/main.do?rcpNo=20250507800099", "공시열람")</f>
        <v/>
      </c>
    </row>
    <row r="3065">
      <c r="A3065" t="inlineStr">
        <is>
          <t>2025-05-07</t>
        </is>
      </c>
      <c r="B3065" t="inlineStr">
        <is>
          <t>안랩</t>
        </is>
      </c>
      <c r="C3065" t="inlineStr">
        <is>
          <t>053800</t>
        </is>
      </c>
      <c r="D3065" t="inlineStr">
        <is>
          <t>별도</t>
        </is>
      </c>
      <c r="E3065" t="inlineStr">
        <is>
          <t>2025Q1</t>
        </is>
      </c>
      <c r="F3065" s="2" t="n">
        <v>50849</v>
      </c>
      <c r="G3065" t="inlineStr"/>
      <c r="H3065" t="inlineStr"/>
      <c r="I3065" s="2" t="n">
        <v>2865</v>
      </c>
      <c r="J3065" t="inlineStr"/>
      <c r="K3065" t="inlineStr"/>
      <c r="L3065" s="2" t="n">
        <v>4865</v>
      </c>
      <c r="M3065" t="inlineStr"/>
      <c r="N3065" t="inlineStr">
        <is>
          <t>20250507900110</t>
        </is>
      </c>
      <c r="O3065">
        <f>HYPERLINK("https://dart.fss.or.kr/dsaf001/main.do?rcpNo=20250507900110", "공시열람")</f>
        <v/>
      </c>
    </row>
    <row r="3066">
      <c r="A3066" t="inlineStr">
        <is>
          <t>2025-05-07</t>
        </is>
      </c>
      <c r="B3066" t="inlineStr">
        <is>
          <t>안랩</t>
        </is>
      </c>
      <c r="C3066" t="inlineStr">
        <is>
          <t>053800</t>
        </is>
      </c>
      <c r="D3066" t="inlineStr">
        <is>
          <t>연결</t>
        </is>
      </c>
      <c r="E3066" t="inlineStr">
        <is>
          <t>2025Q1</t>
        </is>
      </c>
      <c r="F3066" s="2" t="n">
        <v>57187</v>
      </c>
      <c r="G3066" t="inlineStr"/>
      <c r="H3066" t="inlineStr"/>
      <c r="I3066" s="2" t="n">
        <v>1045</v>
      </c>
      <c r="J3066" t="inlineStr"/>
      <c r="K3066" t="inlineStr"/>
      <c r="L3066" s="2" t="n">
        <v>2738</v>
      </c>
      <c r="M3066" t="inlineStr"/>
      <c r="N3066" t="inlineStr">
        <is>
          <t>20250507900112</t>
        </is>
      </c>
      <c r="O3066">
        <f>HYPERLINK("https://dart.fss.or.kr/dsaf001/main.do?rcpNo=20250507900112", "공시열람")</f>
        <v/>
      </c>
    </row>
    <row r="3067">
      <c r="A3067" t="inlineStr">
        <is>
          <t>2025-05-07</t>
        </is>
      </c>
      <c r="B3067" t="inlineStr">
        <is>
          <t>예스티</t>
        </is>
      </c>
      <c r="C3067" t="inlineStr">
        <is>
          <t>122640</t>
        </is>
      </c>
      <c r="D3067" t="inlineStr">
        <is>
          <t>별도</t>
        </is>
      </c>
      <c r="E3067" t="inlineStr">
        <is>
          <t>2025Q1</t>
        </is>
      </c>
      <c r="F3067" s="2" t="n">
        <v>22043</v>
      </c>
      <c r="G3067" t="inlineStr"/>
      <c r="H3067" t="inlineStr"/>
      <c r="I3067" s="2" t="n">
        <v>3043</v>
      </c>
      <c r="J3067" t="inlineStr"/>
      <c r="K3067" t="inlineStr"/>
      <c r="L3067" s="2" t="n">
        <v>2314</v>
      </c>
      <c r="M3067" t="inlineStr"/>
      <c r="N3067" t="inlineStr">
        <is>
          <t>20250507900124</t>
        </is>
      </c>
      <c r="O3067">
        <f>HYPERLINK("https://dart.fss.or.kr/dsaf001/main.do?rcpNo=20250507900124", "공시열람")</f>
        <v/>
      </c>
    </row>
    <row r="3068">
      <c r="A3068" t="inlineStr">
        <is>
          <t>2025-05-07</t>
        </is>
      </c>
      <c r="B3068" t="inlineStr">
        <is>
          <t>아진전자부품</t>
        </is>
      </c>
      <c r="C3068" t="inlineStr">
        <is>
          <t>009320</t>
        </is>
      </c>
      <c r="D3068" t="inlineStr">
        <is>
          <t>별도</t>
        </is>
      </c>
      <c r="E3068" t="inlineStr">
        <is>
          <t>2025Q1</t>
        </is>
      </c>
      <c r="F3068" s="2" t="n">
        <v>33969</v>
      </c>
      <c r="G3068" t="n">
        <v>-24.5</v>
      </c>
      <c r="H3068" t="n">
        <v>15.3</v>
      </c>
      <c r="I3068" s="2" t="n">
        <v>844</v>
      </c>
      <c r="J3068" t="n">
        <v>-72.5</v>
      </c>
      <c r="K3068" t="n">
        <v>151.2</v>
      </c>
      <c r="L3068" s="2" t="n">
        <v>827</v>
      </c>
      <c r="M3068" t="inlineStr"/>
      <c r="N3068" t="inlineStr">
        <is>
          <t>20250507800214</t>
        </is>
      </c>
      <c r="O3068">
        <f>HYPERLINK("https://dart.fss.or.kr/dsaf001/main.do?rcpNo=20250507800214", "공시열람")</f>
        <v/>
      </c>
    </row>
    <row r="3069">
      <c r="A3069" t="inlineStr">
        <is>
          <t>2025-05-07</t>
        </is>
      </c>
      <c r="B3069" t="inlineStr">
        <is>
          <t>카카오게임즈</t>
        </is>
      </c>
      <c r="C3069" t="inlineStr">
        <is>
          <t>293490</t>
        </is>
      </c>
      <c r="D3069" t="inlineStr">
        <is>
          <t>연결</t>
        </is>
      </c>
      <c r="E3069" t="inlineStr">
        <is>
          <t>2025Q1</t>
        </is>
      </c>
      <c r="F3069" s="2" t="n">
        <v>122854</v>
      </c>
      <c r="G3069" t="inlineStr"/>
      <c r="H3069" t="inlineStr"/>
      <c r="I3069" s="2" t="n">
        <v>-12440</v>
      </c>
      <c r="J3069" t="inlineStr"/>
      <c r="K3069" t="inlineStr"/>
      <c r="L3069" s="2" t="n">
        <v>-33428</v>
      </c>
      <c r="M3069" t="inlineStr"/>
      <c r="N3069" t="inlineStr">
        <is>
          <t>20250507900069</t>
        </is>
      </c>
      <c r="O3069">
        <f>HYPERLINK("https://dart.fss.or.kr/dsaf001/main.do?rcpNo=20250507900069", "공시열람")</f>
        <v/>
      </c>
    </row>
    <row r="3070">
      <c r="A3070" t="inlineStr">
        <is>
          <t>2025-05-07</t>
        </is>
      </c>
      <c r="B3070" t="inlineStr">
        <is>
          <t>카카오페이</t>
        </is>
      </c>
      <c r="C3070" t="inlineStr">
        <is>
          <t>377300</t>
        </is>
      </c>
      <c r="D3070" t="inlineStr">
        <is>
          <t>별도</t>
        </is>
      </c>
      <c r="E3070" t="inlineStr">
        <is>
          <t>2025Q1</t>
        </is>
      </c>
      <c r="F3070" s="2" t="n">
        <v>160907</v>
      </c>
      <c r="G3070" t="n">
        <v>0.1</v>
      </c>
      <c r="H3070" t="n">
        <v>8.9</v>
      </c>
      <c r="I3070" s="2" t="n">
        <v>13561</v>
      </c>
      <c r="J3070" t="inlineStr"/>
      <c r="K3070" t="n">
        <v>14.4</v>
      </c>
      <c r="L3070" s="2" t="n">
        <v>21106</v>
      </c>
      <c r="M3070" t="n">
        <v>-0.6</v>
      </c>
      <c r="N3070" t="inlineStr">
        <is>
          <t>20250507800230</t>
        </is>
      </c>
      <c r="O3070">
        <f>HYPERLINK("https://dart.fss.or.kr/dsaf001/main.do?rcpNo=20250507800230", "공시열람")</f>
        <v/>
      </c>
    </row>
    <row r="3071">
      <c r="A3071" t="inlineStr">
        <is>
          <t>2025-05-07</t>
        </is>
      </c>
      <c r="B3071" t="inlineStr">
        <is>
          <t>현대퓨처넷</t>
        </is>
      </c>
      <c r="C3071" t="inlineStr">
        <is>
          <t>126560</t>
        </is>
      </c>
      <c r="D3071" t="inlineStr">
        <is>
          <t>연결</t>
        </is>
      </c>
      <c r="E3071" t="inlineStr">
        <is>
          <t>2025Q1</t>
        </is>
      </c>
      <c r="F3071" s="2" t="n">
        <v>66661</v>
      </c>
      <c r="G3071" t="n">
        <v>9.199999999999999</v>
      </c>
      <c r="H3071" t="n">
        <v>57.9</v>
      </c>
      <c r="I3071" s="2" t="n">
        <v>3767</v>
      </c>
      <c r="J3071" t="inlineStr"/>
      <c r="K3071" t="n">
        <v>20.3</v>
      </c>
      <c r="L3071" s="2" t="n">
        <v>-3983</v>
      </c>
      <c r="M3071" t="inlineStr"/>
      <c r="N3071" t="inlineStr">
        <is>
          <t>20250507800237</t>
        </is>
      </c>
      <c r="O3071">
        <f>HYPERLINK("https://dart.fss.or.kr/dsaf001/main.do?rcpNo=20250507800237", "공시열람")</f>
        <v/>
      </c>
    </row>
    <row r="3072">
      <c r="A3072" t="inlineStr">
        <is>
          <t>2025-05-07</t>
        </is>
      </c>
      <c r="B3072" t="inlineStr">
        <is>
          <t>롯데칠성음료</t>
        </is>
      </c>
      <c r="C3072" t="inlineStr">
        <is>
          <t>005300</t>
        </is>
      </c>
      <c r="D3072" t="inlineStr">
        <is>
          <t>연결</t>
        </is>
      </c>
      <c r="E3072" t="inlineStr">
        <is>
          <t>2025Q1</t>
        </is>
      </c>
      <c r="F3072" s="2" t="n">
        <v>910343</v>
      </c>
      <c r="G3072" t="n">
        <v>-1.4</v>
      </c>
      <c r="H3072" t="n">
        <v>-2.8</v>
      </c>
      <c r="I3072" s="2" t="n">
        <v>25032</v>
      </c>
      <c r="J3072" t="n">
        <v>172</v>
      </c>
      <c r="K3072" t="n">
        <v>-31.9</v>
      </c>
      <c r="L3072" s="2" t="n">
        <v>5426</v>
      </c>
      <c r="M3072" t="n">
        <v>-66.40000000000001</v>
      </c>
      <c r="N3072" t="inlineStr">
        <is>
          <t>20250507800242</t>
        </is>
      </c>
      <c r="O3072">
        <f>HYPERLINK("https://dart.fss.or.kr/dsaf001/main.do?rcpNo=20250507800242", "공시열람")</f>
        <v/>
      </c>
    </row>
    <row r="3073">
      <c r="A3073" t="inlineStr">
        <is>
          <t>2025-05-07</t>
        </is>
      </c>
      <c r="B3073" t="inlineStr">
        <is>
          <t>엠씨넥스</t>
        </is>
      </c>
      <c r="C3073" t="inlineStr">
        <is>
          <t>097520</t>
        </is>
      </c>
      <c r="D3073" t="inlineStr">
        <is>
          <t>연결</t>
        </is>
      </c>
      <c r="E3073" t="inlineStr">
        <is>
          <t>2025Q1</t>
        </is>
      </c>
      <c r="F3073" s="2" t="n">
        <v>347917</v>
      </c>
      <c r="G3073" t="inlineStr"/>
      <c r="H3073" t="inlineStr"/>
      <c r="I3073" s="2" t="n">
        <v>20918</v>
      </c>
      <c r="J3073" t="inlineStr"/>
      <c r="K3073" t="inlineStr"/>
      <c r="L3073" s="2" t="n">
        <v>20068</v>
      </c>
      <c r="M3073" t="inlineStr"/>
      <c r="N3073" t="inlineStr">
        <is>
          <t>20250507800239</t>
        </is>
      </c>
      <c r="O3073">
        <f>HYPERLINK("https://dart.fss.or.kr/dsaf001/main.do?rcpNo=20250507800239", "공시열람")</f>
        <v/>
      </c>
    </row>
    <row r="3074">
      <c r="A3074" t="inlineStr">
        <is>
          <t>2025-05-07</t>
        </is>
      </c>
      <c r="B3074" t="inlineStr">
        <is>
          <t>인크로스</t>
        </is>
      </c>
      <c r="C3074" t="inlineStr">
        <is>
          <t>216050</t>
        </is>
      </c>
      <c r="D3074" t="inlineStr">
        <is>
          <t>별도</t>
        </is>
      </c>
      <c r="E3074" t="inlineStr">
        <is>
          <t>2025Q1</t>
        </is>
      </c>
      <c r="F3074" s="2" t="n">
        <v>8842</v>
      </c>
      <c r="G3074" t="inlineStr"/>
      <c r="H3074" t="inlineStr"/>
      <c r="I3074" s="2" t="n">
        <v>2006</v>
      </c>
      <c r="J3074" t="inlineStr"/>
      <c r="K3074" t="inlineStr"/>
      <c r="L3074" s="2" t="n">
        <v>2356</v>
      </c>
      <c r="M3074" t="inlineStr"/>
      <c r="N3074" t="inlineStr">
        <is>
          <t>20250507900240</t>
        </is>
      </c>
      <c r="O3074">
        <f>HYPERLINK("https://dart.fss.or.kr/dsaf001/main.do?rcpNo=20250507900240", "공시열람")</f>
        <v/>
      </c>
    </row>
    <row r="3075">
      <c r="A3075" t="inlineStr">
        <is>
          <t>2025-05-02</t>
        </is>
      </c>
      <c r="B3075" t="inlineStr">
        <is>
          <t>아바텍</t>
        </is>
      </c>
      <c r="C3075" t="inlineStr">
        <is>
          <t>149950</t>
        </is>
      </c>
      <c r="D3075" t="inlineStr">
        <is>
          <t>별도</t>
        </is>
      </c>
      <c r="E3075" t="inlineStr">
        <is>
          <t>2025Q1</t>
        </is>
      </c>
      <c r="F3075" s="2" t="n">
        <v>17971</v>
      </c>
      <c r="G3075" t="inlineStr"/>
      <c r="H3075" t="inlineStr"/>
      <c r="I3075" s="2" t="n">
        <v>-1162</v>
      </c>
      <c r="J3075" t="inlineStr"/>
      <c r="K3075" t="inlineStr"/>
      <c r="L3075" s="2" t="n">
        <v>-514</v>
      </c>
      <c r="M3075" t="inlineStr"/>
      <c r="N3075" t="inlineStr">
        <is>
          <t>20250502900587</t>
        </is>
      </c>
      <c r="O3075">
        <f>HYPERLINK("https://dart.fss.or.kr/dsaf001/main.do?rcpNo=20250502900587", "공시열람")</f>
        <v/>
      </c>
    </row>
    <row r="3076">
      <c r="A3076" t="inlineStr">
        <is>
          <t>2025-05-02</t>
        </is>
      </c>
      <c r="B3076" t="inlineStr">
        <is>
          <t>비에이치</t>
        </is>
      </c>
      <c r="C3076" t="inlineStr">
        <is>
          <t>090460</t>
        </is>
      </c>
      <c r="D3076" t="inlineStr">
        <is>
          <t>연결</t>
        </is>
      </c>
      <c r="E3076" t="inlineStr">
        <is>
          <t>2025Q1</t>
        </is>
      </c>
      <c r="F3076" s="2" t="n">
        <v>332426</v>
      </c>
      <c r="G3076" t="n">
        <v>-31.86</v>
      </c>
      <c r="H3076" t="n">
        <v>11.23</v>
      </c>
      <c r="I3076" s="2" t="n">
        <v>-25361</v>
      </c>
      <c r="J3076" t="n">
        <v>-379.13</v>
      </c>
      <c r="K3076" t="inlineStr"/>
      <c r="L3076" s="2" t="inlineStr"/>
      <c r="M3076" t="inlineStr"/>
      <c r="N3076" t="inlineStr">
        <is>
          <t>20250502800110</t>
        </is>
      </c>
      <c r="O3076">
        <f>HYPERLINK("https://dart.fss.or.kr/dsaf001/main.do?rcpNo=20250502800110", "공시열람")</f>
        <v/>
      </c>
    </row>
    <row r="3077">
      <c r="A3077" t="inlineStr">
        <is>
          <t>2025-05-02</t>
        </is>
      </c>
      <c r="B3077" t="inlineStr">
        <is>
          <t>디케이티</t>
        </is>
      </c>
      <c r="C3077" t="inlineStr">
        <is>
          <t>290550</t>
        </is>
      </c>
      <c r="D3077" t="inlineStr">
        <is>
          <t>연결</t>
        </is>
      </c>
      <c r="E3077" t="inlineStr">
        <is>
          <t>2025Q1</t>
        </is>
      </c>
      <c r="F3077" s="2" t="n">
        <v>86424</v>
      </c>
      <c r="G3077" t="inlineStr"/>
      <c r="H3077" t="inlineStr"/>
      <c r="I3077" s="2" t="n">
        <v>2458</v>
      </c>
      <c r="J3077" t="inlineStr"/>
      <c r="K3077" t="inlineStr"/>
      <c r="L3077" s="2" t="inlineStr"/>
      <c r="M3077" t="inlineStr"/>
      <c r="N3077" t="inlineStr">
        <is>
          <t>20250502900112</t>
        </is>
      </c>
      <c r="O3077">
        <f>HYPERLINK("https://dart.fss.or.kr/dsaf001/main.do?rcpNo=20250502900112", "공시열람")</f>
        <v/>
      </c>
    </row>
    <row r="3078">
      <c r="A3078" t="inlineStr">
        <is>
          <t>2025-05-02</t>
        </is>
      </c>
      <c r="B3078" t="inlineStr">
        <is>
          <t>수성웹툰</t>
        </is>
      </c>
      <c r="C3078" t="inlineStr">
        <is>
          <t>084180</t>
        </is>
      </c>
      <c r="D3078" t="inlineStr">
        <is>
          <t>연결</t>
        </is>
      </c>
      <c r="E3078" t="inlineStr">
        <is>
          <t>2025Q1</t>
        </is>
      </c>
      <c r="F3078" s="2" t="n">
        <v>30875</v>
      </c>
      <c r="G3078" t="inlineStr"/>
      <c r="H3078" t="inlineStr"/>
      <c r="I3078" s="2" t="n">
        <v>2872</v>
      </c>
      <c r="J3078" t="inlineStr"/>
      <c r="K3078" t="inlineStr"/>
      <c r="L3078" s="2" t="n">
        <v>-1106</v>
      </c>
      <c r="M3078" t="inlineStr"/>
      <c r="N3078" t="inlineStr">
        <is>
          <t>20250502900104</t>
        </is>
      </c>
      <c r="O3078">
        <f>HYPERLINK("https://dart.fss.or.kr/dsaf001/main.do?rcpNo=20250502900104", "공시열람")</f>
        <v/>
      </c>
    </row>
    <row r="3079">
      <c r="A3079" t="inlineStr">
        <is>
          <t>2025-05-02</t>
        </is>
      </c>
      <c r="B3079" t="inlineStr">
        <is>
          <t>케이씨씨</t>
        </is>
      </c>
      <c r="C3079" t="inlineStr">
        <is>
          <t>002380</t>
        </is>
      </c>
      <c r="D3079" t="inlineStr">
        <is>
          <t>연결</t>
        </is>
      </c>
      <c r="E3079" t="inlineStr">
        <is>
          <t>2025Q1</t>
        </is>
      </c>
      <c r="F3079" s="2" t="n">
        <v>1599305</v>
      </c>
      <c r="G3079" t="inlineStr"/>
      <c r="H3079" t="inlineStr"/>
      <c r="I3079" s="2" t="n">
        <v>103444</v>
      </c>
      <c r="J3079" t="inlineStr"/>
      <c r="K3079" t="inlineStr"/>
      <c r="L3079" s="2" t="n">
        <v>44050</v>
      </c>
      <c r="M3079" t="inlineStr"/>
      <c r="N3079" t="inlineStr">
        <is>
          <t>20250502800215</t>
        </is>
      </c>
      <c r="O3079">
        <f>HYPERLINK("https://dart.fss.or.kr/dsaf001/main.do?rcpNo=20250502800215", "공시열람")</f>
        <v/>
      </c>
    </row>
    <row r="3080">
      <c r="A3080" t="inlineStr">
        <is>
          <t>2025-05-02</t>
        </is>
      </c>
      <c r="B3080" t="inlineStr">
        <is>
          <t>기아</t>
        </is>
      </c>
      <c r="C3080" t="inlineStr">
        <is>
          <t>000270</t>
        </is>
      </c>
      <c r="D3080" t="inlineStr">
        <is>
          <t>별도</t>
        </is>
      </c>
      <c r="E3080" t="inlineStr">
        <is>
          <t>2025Q1</t>
        </is>
      </c>
      <c r="F3080" s="2" t="inlineStr"/>
      <c r="G3080" t="inlineStr"/>
      <c r="H3080" t="inlineStr"/>
      <c r="I3080" s="2" t="inlineStr"/>
      <c r="J3080" t="inlineStr"/>
      <c r="K3080" t="inlineStr"/>
      <c r="L3080" s="2" t="inlineStr"/>
      <c r="M3080" t="inlineStr"/>
      <c r="N3080" t="inlineStr">
        <is>
          <t>20250502800260</t>
        </is>
      </c>
      <c r="O3080">
        <f>HYPERLINK("https://dart.fss.or.kr/dsaf001/main.do?rcpNo=20250502800260", "공시열람")</f>
        <v/>
      </c>
    </row>
    <row r="3081">
      <c r="A3081" t="inlineStr">
        <is>
          <t>2025-05-02</t>
        </is>
      </c>
      <c r="B3081" t="inlineStr">
        <is>
          <t>HS효성</t>
        </is>
      </c>
      <c r="C3081" t="inlineStr">
        <is>
          <t>487570</t>
        </is>
      </c>
      <c r="D3081" t="inlineStr">
        <is>
          <t>연결</t>
        </is>
      </c>
      <c r="E3081" t="inlineStr">
        <is>
          <t>2025Q1</t>
        </is>
      </c>
      <c r="F3081" s="2" t="n">
        <v>454530</v>
      </c>
      <c r="G3081" t="n">
        <v>-0.4</v>
      </c>
      <c r="H3081" t="inlineStr"/>
      <c r="I3081" s="2" t="n">
        <v>9567</v>
      </c>
      <c r="J3081" t="n">
        <v>22.4</v>
      </c>
      <c r="K3081" t="inlineStr"/>
      <c r="L3081" s="2" t="n">
        <v>-399</v>
      </c>
      <c r="M3081" t="inlineStr"/>
      <c r="N3081" t="inlineStr">
        <is>
          <t>20250502800273</t>
        </is>
      </c>
      <c r="O3081">
        <f>HYPERLINK("https://dart.fss.or.kr/dsaf001/main.do?rcpNo=20250502800273", "공시열람")</f>
        <v/>
      </c>
    </row>
    <row r="3082">
      <c r="A3082" t="inlineStr">
        <is>
          <t>2025-05-02</t>
        </is>
      </c>
      <c r="B3082" t="inlineStr">
        <is>
          <t>파라다이스</t>
        </is>
      </c>
      <c r="C3082" t="inlineStr">
        <is>
          <t>034230</t>
        </is>
      </c>
      <c r="D3082" t="inlineStr">
        <is>
          <t>연결</t>
        </is>
      </c>
      <c r="E3082" t="inlineStr">
        <is>
          <t>2025Q1</t>
        </is>
      </c>
      <c r="F3082" s="2" t="inlineStr"/>
      <c r="G3082" t="inlineStr"/>
      <c r="H3082" t="inlineStr"/>
      <c r="I3082" s="2" t="inlineStr"/>
      <c r="J3082" t="inlineStr"/>
      <c r="K3082" t="inlineStr"/>
      <c r="L3082" s="2" t="inlineStr"/>
      <c r="M3082" t="inlineStr"/>
      <c r="N3082" t="inlineStr">
        <is>
          <t>20250502800448</t>
        </is>
      </c>
      <c r="O3082">
        <f>HYPERLINK("https://dart.fss.or.kr/dsaf001/main.do?rcpNo=20250502800448", "공시열람")</f>
        <v/>
      </c>
    </row>
    <row r="3083">
      <c r="A3083" t="inlineStr">
        <is>
          <t>2025-05-02</t>
        </is>
      </c>
      <c r="B3083" t="inlineStr">
        <is>
          <t>키이스트</t>
        </is>
      </c>
      <c r="C3083" t="inlineStr">
        <is>
          <t>054780</t>
        </is>
      </c>
      <c r="D3083" t="inlineStr">
        <is>
          <t>별도</t>
        </is>
      </c>
      <c r="E3083" t="inlineStr">
        <is>
          <t>2025Q1</t>
        </is>
      </c>
      <c r="F3083" s="2" t="n">
        <v>4498</v>
      </c>
      <c r="G3083" t="inlineStr"/>
      <c r="H3083" t="inlineStr"/>
      <c r="I3083" s="2" t="n">
        <v>-1072</v>
      </c>
      <c r="J3083" t="inlineStr"/>
      <c r="K3083" t="inlineStr"/>
      <c r="L3083" s="2" t="n">
        <v>-520</v>
      </c>
      <c r="M3083" t="inlineStr"/>
      <c r="N3083" t="inlineStr">
        <is>
          <t>20250502900474</t>
        </is>
      </c>
      <c r="O3083">
        <f>HYPERLINK("https://dart.fss.or.kr/dsaf001/main.do?rcpNo=20250502900474", "공시열람")</f>
        <v/>
      </c>
    </row>
    <row r="3084">
      <c r="A3084" t="inlineStr">
        <is>
          <t>2025-05-02</t>
        </is>
      </c>
      <c r="B3084" t="inlineStr">
        <is>
          <t>KG모빌리티</t>
        </is>
      </c>
      <c r="C3084" t="inlineStr">
        <is>
          <t>003620</t>
        </is>
      </c>
      <c r="D3084" t="inlineStr">
        <is>
          <t>별도</t>
        </is>
      </c>
      <c r="E3084" t="inlineStr">
        <is>
          <t>2025Q1</t>
        </is>
      </c>
      <c r="F3084" s="2" t="inlineStr"/>
      <c r="G3084" t="inlineStr"/>
      <c r="H3084" t="inlineStr"/>
      <c r="I3084" s="2" t="inlineStr"/>
      <c r="J3084" t="inlineStr"/>
      <c r="K3084" t="inlineStr"/>
      <c r="L3084" s="2" t="inlineStr"/>
      <c r="M3084" t="inlineStr"/>
      <c r="N3084" t="inlineStr">
        <is>
          <t>20250502800317</t>
        </is>
      </c>
      <c r="O3084">
        <f>HYPERLINK("https://dart.fss.or.kr/dsaf001/main.do?rcpNo=20250502800317", "공시열람")</f>
        <v/>
      </c>
    </row>
    <row r="3085">
      <c r="A3085" t="inlineStr">
        <is>
          <t>2025-05-02</t>
        </is>
      </c>
      <c r="B3085" t="inlineStr">
        <is>
          <t>아바코</t>
        </is>
      </c>
      <c r="C3085" t="inlineStr">
        <is>
          <t>083930</t>
        </is>
      </c>
      <c r="D3085" t="inlineStr">
        <is>
          <t>별도</t>
        </is>
      </c>
      <c r="E3085" t="inlineStr">
        <is>
          <t>2025Q1</t>
        </is>
      </c>
      <c r="F3085" s="2" t="n">
        <v>25204</v>
      </c>
      <c r="G3085" t="inlineStr"/>
      <c r="H3085" t="inlineStr"/>
      <c r="I3085" s="2" t="n">
        <v>-3018</v>
      </c>
      <c r="J3085" t="inlineStr"/>
      <c r="K3085" t="inlineStr"/>
      <c r="L3085" s="2" t="n">
        <v>-726</v>
      </c>
      <c r="M3085" t="inlineStr"/>
      <c r="N3085" t="inlineStr">
        <is>
          <t>20250502900411</t>
        </is>
      </c>
      <c r="O3085">
        <f>HYPERLINK("https://dart.fss.or.kr/dsaf001/main.do?rcpNo=20250502900411", "공시열람")</f>
        <v/>
      </c>
    </row>
    <row r="3086">
      <c r="A3086" t="inlineStr">
        <is>
          <t>2025-05-02</t>
        </is>
      </c>
      <c r="B3086" t="inlineStr">
        <is>
          <t>뷰웍스</t>
        </is>
      </c>
      <c r="C3086" t="inlineStr">
        <is>
          <t>100120</t>
        </is>
      </c>
      <c r="D3086" t="inlineStr">
        <is>
          <t>연결</t>
        </is>
      </c>
      <c r="E3086" t="inlineStr">
        <is>
          <t>2025Q1</t>
        </is>
      </c>
      <c r="F3086" s="2" t="n">
        <v>54397</v>
      </c>
      <c r="G3086" t="inlineStr"/>
      <c r="H3086" t="inlineStr"/>
      <c r="I3086" s="2" t="n">
        <v>2059</v>
      </c>
      <c r="J3086" t="inlineStr"/>
      <c r="K3086" t="inlineStr"/>
      <c r="L3086" s="2" t="inlineStr"/>
      <c r="M3086" t="inlineStr"/>
      <c r="N3086" t="inlineStr">
        <is>
          <t>20250502900377</t>
        </is>
      </c>
      <c r="O3086">
        <f>HYPERLINK("https://dart.fss.or.kr/dsaf001/main.do?rcpNo=20250502900377", "공시열람")</f>
        <v/>
      </c>
    </row>
    <row r="3087">
      <c r="A3087" t="inlineStr">
        <is>
          <t>2025-05-02</t>
        </is>
      </c>
      <c r="B3087" t="inlineStr">
        <is>
          <t>롯데관광개발</t>
        </is>
      </c>
      <c r="C3087" t="inlineStr">
        <is>
          <t>032350</t>
        </is>
      </c>
      <c r="D3087" t="inlineStr">
        <is>
          <t>연결</t>
        </is>
      </c>
      <c r="E3087" t="inlineStr">
        <is>
          <t>2025Q1</t>
        </is>
      </c>
      <c r="F3087" s="2" t="inlineStr"/>
      <c r="G3087" t="inlineStr"/>
      <c r="H3087" t="inlineStr"/>
      <c r="I3087" s="2" t="inlineStr"/>
      <c r="J3087" t="inlineStr"/>
      <c r="K3087" t="inlineStr"/>
      <c r="L3087" s="2" t="inlineStr"/>
      <c r="M3087" t="inlineStr"/>
      <c r="N3087" t="inlineStr">
        <is>
          <t>20250502800383</t>
        </is>
      </c>
      <c r="O3087">
        <f>HYPERLINK("https://dart.fss.or.kr/dsaf001/main.do?rcpNo=20250502800383", "공시열람")</f>
        <v/>
      </c>
    </row>
    <row r="3088">
      <c r="A3088" t="inlineStr">
        <is>
          <t>2025-05-02</t>
        </is>
      </c>
      <c r="B3088" t="inlineStr">
        <is>
          <t>현대자동차</t>
        </is>
      </c>
      <c r="C3088" t="inlineStr">
        <is>
          <t>005380</t>
        </is>
      </c>
      <c r="D3088" t="inlineStr">
        <is>
          <t>별도</t>
        </is>
      </c>
      <c r="E3088" t="inlineStr">
        <is>
          <t>2025Q1</t>
        </is>
      </c>
      <c r="F3088" s="2" t="inlineStr"/>
      <c r="G3088" t="inlineStr"/>
      <c r="H3088" t="inlineStr"/>
      <c r="I3088" s="2" t="inlineStr"/>
      <c r="J3088" t="inlineStr"/>
      <c r="K3088" t="inlineStr"/>
      <c r="L3088" s="2" t="inlineStr"/>
      <c r="M3088" t="inlineStr"/>
      <c r="N3088" t="inlineStr">
        <is>
          <t>20250502800359</t>
        </is>
      </c>
      <c r="O3088">
        <f>HYPERLINK("https://dart.fss.or.kr/dsaf001/main.do?rcpNo=20250502800359", "공시열람")</f>
        <v/>
      </c>
    </row>
    <row r="3089">
      <c r="A3089" t="inlineStr">
        <is>
          <t>2025-05-02</t>
        </is>
      </c>
      <c r="B3089" t="inlineStr">
        <is>
          <t>휴온스</t>
        </is>
      </c>
      <c r="C3089" t="inlineStr">
        <is>
          <t>243070</t>
        </is>
      </c>
      <c r="D3089" t="inlineStr">
        <is>
          <t>연결</t>
        </is>
      </c>
      <c r="E3089" t="inlineStr">
        <is>
          <t>2025Q1</t>
        </is>
      </c>
      <c r="F3089" s="2" t="n">
        <v>145836</v>
      </c>
      <c r="G3089" t="inlineStr"/>
      <c r="H3089" t="inlineStr"/>
      <c r="I3089" s="2" t="n">
        <v>12845</v>
      </c>
      <c r="J3089" t="inlineStr"/>
      <c r="K3089" t="inlineStr"/>
      <c r="L3089" s="2" t="n">
        <v>12390</v>
      </c>
      <c r="M3089" t="inlineStr"/>
      <c r="N3089" t="inlineStr">
        <is>
          <t>20250502900098</t>
        </is>
      </c>
      <c r="O3089">
        <f>HYPERLINK("https://dart.fss.or.kr/dsaf001/main.do?rcpNo=20250502900098", "공시열람")</f>
        <v/>
      </c>
    </row>
    <row r="3090">
      <c r="A3090" t="inlineStr">
        <is>
          <t>2025-05-02</t>
        </is>
      </c>
      <c r="B3090" t="inlineStr">
        <is>
          <t>인터로조</t>
        </is>
      </c>
      <c r="C3090" t="inlineStr">
        <is>
          <t>119610</t>
        </is>
      </c>
      <c r="D3090" t="inlineStr">
        <is>
          <t>연결</t>
        </is>
      </c>
      <c r="E3090" t="inlineStr">
        <is>
          <t>2025Q1</t>
        </is>
      </c>
      <c r="F3090" s="2" t="n">
        <v>23126</v>
      </c>
      <c r="G3090" t="inlineStr"/>
      <c r="H3090" t="inlineStr"/>
      <c r="I3090" s="2" t="n">
        <v>2180</v>
      </c>
      <c r="J3090" t="inlineStr"/>
      <c r="K3090" t="inlineStr"/>
      <c r="L3090" s="2" t="inlineStr"/>
      <c r="M3090" t="inlineStr"/>
      <c r="N3090" t="inlineStr">
        <is>
          <t>20250502900311</t>
        </is>
      </c>
      <c r="O3090">
        <f>HYPERLINK("https://dart.fss.or.kr/dsaf001/main.do?rcpNo=20250502900311", "공시열람")</f>
        <v/>
      </c>
    </row>
    <row r="3091">
      <c r="A3091" t="inlineStr">
        <is>
          <t>2025-05-02</t>
        </is>
      </c>
      <c r="B3091" t="inlineStr">
        <is>
          <t>중앙백신</t>
        </is>
      </c>
      <c r="C3091" t="inlineStr">
        <is>
          <t>072020</t>
        </is>
      </c>
      <c r="D3091" t="inlineStr">
        <is>
          <t>별도</t>
        </is>
      </c>
      <c r="E3091" t="inlineStr">
        <is>
          <t>2025Q1</t>
        </is>
      </c>
      <c r="F3091" s="2" t="n">
        <v>13242</v>
      </c>
      <c r="G3091" t="inlineStr"/>
      <c r="H3091" t="inlineStr"/>
      <c r="I3091" s="2" t="n">
        <v>2287</v>
      </c>
      <c r="J3091" t="inlineStr"/>
      <c r="K3091" t="inlineStr"/>
      <c r="L3091" s="2" t="n">
        <v>2114</v>
      </c>
      <c r="M3091" t="inlineStr"/>
      <c r="N3091" t="inlineStr">
        <is>
          <t>20250502900313</t>
        </is>
      </c>
      <c r="O3091">
        <f>HYPERLINK("https://dart.fss.or.kr/dsaf001/main.do?rcpNo=20250502900313", "공시열람")</f>
        <v/>
      </c>
    </row>
    <row r="3092">
      <c r="A3092" t="inlineStr">
        <is>
          <t>2025-04-30</t>
        </is>
      </c>
      <c r="B3092" t="inlineStr">
        <is>
          <t>DB</t>
        </is>
      </c>
      <c r="C3092" t="inlineStr">
        <is>
          <t>012030</t>
        </is>
      </c>
      <c r="D3092" t="inlineStr">
        <is>
          <t>연결</t>
        </is>
      </c>
      <c r="E3092" t="inlineStr">
        <is>
          <t>2025Q1</t>
        </is>
      </c>
      <c r="F3092" s="2" t="n">
        <v>141904</v>
      </c>
      <c r="G3092" t="n">
        <v>-19.8</v>
      </c>
      <c r="H3092" t="n">
        <v>19.4</v>
      </c>
      <c r="I3092" s="2" t="n">
        <v>17357</v>
      </c>
      <c r="J3092" t="n">
        <v>240.5</v>
      </c>
      <c r="K3092" t="n">
        <v>123.8</v>
      </c>
      <c r="L3092" s="2" t="n">
        <v>21184</v>
      </c>
      <c r="M3092" t="n">
        <v>186.3</v>
      </c>
      <c r="N3092" t="inlineStr">
        <is>
          <t>20250430800575</t>
        </is>
      </c>
      <c r="O3092">
        <f>HYPERLINK("https://dart.fss.or.kr/dsaf001/main.do?rcpNo=20250430800575", "공시열람")</f>
        <v/>
      </c>
    </row>
    <row r="3093">
      <c r="A3093" t="inlineStr">
        <is>
          <t>2025-04-30</t>
        </is>
      </c>
      <c r="B3093" t="inlineStr">
        <is>
          <t>풍산홀딩스</t>
        </is>
      </c>
      <c r="C3093" t="inlineStr">
        <is>
          <t>005810</t>
        </is>
      </c>
      <c r="D3093" t="inlineStr">
        <is>
          <t>연결</t>
        </is>
      </c>
      <c r="E3093" t="inlineStr">
        <is>
          <t>2025Q1</t>
        </is>
      </c>
      <c r="F3093" s="2" t="n">
        <v>97860</v>
      </c>
      <c r="G3093" t="n">
        <v>-19.5</v>
      </c>
      <c r="H3093" t="n">
        <v>6.1</v>
      </c>
      <c r="I3093" s="2" t="n">
        <v>17019</v>
      </c>
      <c r="J3093" t="n">
        <v>3.8</v>
      </c>
      <c r="K3093" t="n">
        <v>10.3</v>
      </c>
      <c r="L3093" s="2" t="n">
        <v>16406</v>
      </c>
      <c r="M3093" t="n">
        <v>14.9</v>
      </c>
      <c r="N3093" t="inlineStr">
        <is>
          <t>20250430800381</t>
        </is>
      </c>
      <c r="O3093">
        <f>HYPERLINK("https://dart.fss.or.kr/dsaf001/main.do?rcpNo=20250430800381", "공시열람")</f>
        <v/>
      </c>
    </row>
    <row r="3094">
      <c r="A3094" t="inlineStr">
        <is>
          <t>2025-04-30</t>
        </is>
      </c>
      <c r="B3094" t="inlineStr">
        <is>
          <t>현대위아</t>
        </is>
      </c>
      <c r="C3094" t="inlineStr">
        <is>
          <t>011210</t>
        </is>
      </c>
      <c r="D3094" t="inlineStr">
        <is>
          <t>연결</t>
        </is>
      </c>
      <c r="E3094" t="inlineStr">
        <is>
          <t>2025Q1</t>
        </is>
      </c>
      <c r="F3094" s="2" t="n">
        <v>2061791</v>
      </c>
      <c r="G3094" t="n">
        <v>2.8</v>
      </c>
      <c r="H3094" t="n">
        <v>0.5</v>
      </c>
      <c r="I3094" s="2" t="n">
        <v>48548</v>
      </c>
      <c r="J3094" t="n">
        <v>-11.2</v>
      </c>
      <c r="K3094" t="n">
        <v>-15.9</v>
      </c>
      <c r="L3094" s="2" t="n">
        <v>101963</v>
      </c>
      <c r="M3094" t="n">
        <v>177.9</v>
      </c>
      <c r="N3094" t="inlineStr">
        <is>
          <t>20250430800554</t>
        </is>
      </c>
      <c r="O3094">
        <f>HYPERLINK("https://dart.fss.or.kr/dsaf001/main.do?rcpNo=20250430800554", "공시열람")</f>
        <v/>
      </c>
    </row>
    <row r="3095">
      <c r="A3095" t="inlineStr">
        <is>
          <t>2025-04-30</t>
        </is>
      </c>
      <c r="B3095" t="inlineStr">
        <is>
          <t>넥센타이어</t>
        </is>
      </c>
      <c r="C3095" t="inlineStr">
        <is>
          <t>002350</t>
        </is>
      </c>
      <c r="D3095" t="inlineStr">
        <is>
          <t>연결</t>
        </is>
      </c>
      <c r="E3095" t="inlineStr">
        <is>
          <t>2025Q1</t>
        </is>
      </c>
      <c r="F3095" s="2" t="n">
        <v>771186</v>
      </c>
      <c r="G3095" t="inlineStr"/>
      <c r="H3095" t="inlineStr"/>
      <c r="I3095" s="2" t="n">
        <v>40718</v>
      </c>
      <c r="J3095" t="inlineStr"/>
      <c r="K3095" t="inlineStr"/>
      <c r="L3095" s="2" t="n">
        <v>39920</v>
      </c>
      <c r="M3095" t="inlineStr"/>
      <c r="N3095" t="inlineStr">
        <is>
          <t>20250430800513</t>
        </is>
      </c>
      <c r="O3095">
        <f>HYPERLINK("https://dart.fss.or.kr/dsaf001/main.do?rcpNo=20250430800513", "공시열람")</f>
        <v/>
      </c>
    </row>
    <row r="3096">
      <c r="A3096" t="inlineStr">
        <is>
          <t>2025-04-30</t>
        </is>
      </c>
      <c r="B3096" t="inlineStr">
        <is>
          <t>ISC</t>
        </is>
      </c>
      <c r="C3096" t="inlineStr">
        <is>
          <t>095340</t>
        </is>
      </c>
      <c r="D3096" t="inlineStr">
        <is>
          <t>연결</t>
        </is>
      </c>
      <c r="E3096" t="inlineStr">
        <is>
          <t>2025Q1</t>
        </is>
      </c>
      <c r="F3096" s="2" t="n">
        <v>31683</v>
      </c>
      <c r="G3096" t="inlineStr"/>
      <c r="H3096" t="inlineStr"/>
      <c r="I3096" s="2" t="n">
        <v>6992</v>
      </c>
      <c r="J3096" t="inlineStr"/>
      <c r="K3096" t="inlineStr"/>
      <c r="L3096" s="2" t="n">
        <v>6834</v>
      </c>
      <c r="M3096" t="inlineStr"/>
      <c r="N3096" t="inlineStr">
        <is>
          <t>20250430900502</t>
        </is>
      </c>
      <c r="O3096">
        <f>HYPERLINK("https://dart.fss.or.kr/dsaf001/main.do?rcpNo=20250430900502", "공시열람")</f>
        <v/>
      </c>
    </row>
    <row r="3097">
      <c r="A3097" t="inlineStr">
        <is>
          <t>2025-04-30</t>
        </is>
      </c>
      <c r="B3097" t="inlineStr">
        <is>
          <t>한화비전</t>
        </is>
      </c>
      <c r="C3097" t="inlineStr">
        <is>
          <t>489790</t>
        </is>
      </c>
      <c r="D3097" t="inlineStr">
        <is>
          <t>연결</t>
        </is>
      </c>
      <c r="E3097" t="inlineStr">
        <is>
          <t>2025Q1</t>
        </is>
      </c>
      <c r="F3097" s="2" t="n">
        <v>451806</v>
      </c>
      <c r="G3097" t="n">
        <v>27.7</v>
      </c>
      <c r="H3097" t="inlineStr"/>
      <c r="I3097" s="2" t="n">
        <v>44297</v>
      </c>
      <c r="J3097" t="inlineStr"/>
      <c r="K3097" t="inlineStr"/>
      <c r="L3097" s="2" t="n">
        <v>-3304</v>
      </c>
      <c r="M3097" t="inlineStr"/>
      <c r="N3097" t="inlineStr">
        <is>
          <t>20250430800427</t>
        </is>
      </c>
      <c r="O3097">
        <f>HYPERLINK("https://dart.fss.or.kr/dsaf001/main.do?rcpNo=20250430800427", "공시열람")</f>
        <v/>
      </c>
    </row>
    <row r="3098">
      <c r="A3098" t="inlineStr">
        <is>
          <t>2025-04-30</t>
        </is>
      </c>
      <c r="B3098" t="inlineStr">
        <is>
          <t>한솔제지</t>
        </is>
      </c>
      <c r="C3098" t="inlineStr">
        <is>
          <t>213500</t>
        </is>
      </c>
      <c r="D3098" t="inlineStr">
        <is>
          <t>별도</t>
        </is>
      </c>
      <c r="E3098" t="inlineStr">
        <is>
          <t>2025Q1</t>
        </is>
      </c>
      <c r="F3098" s="2" t="n">
        <v>567167</v>
      </c>
      <c r="G3098" t="n">
        <v>2</v>
      </c>
      <c r="H3098" t="n">
        <v>9.800000000000001</v>
      </c>
      <c r="I3098" s="2" t="n">
        <v>29187</v>
      </c>
      <c r="J3098" t="inlineStr"/>
      <c r="K3098" t="n">
        <v>-17</v>
      </c>
      <c r="L3098" s="2" t="n">
        <v>14015</v>
      </c>
      <c r="M3098" t="n">
        <v>-43.2</v>
      </c>
      <c r="N3098" t="inlineStr">
        <is>
          <t>20250430800421</t>
        </is>
      </c>
      <c r="O3098">
        <f>HYPERLINK("https://dart.fss.or.kr/dsaf001/main.do?rcpNo=20250430800421", "공시열람")</f>
        <v/>
      </c>
    </row>
    <row r="3099">
      <c r="A3099" t="inlineStr">
        <is>
          <t>2025-04-30</t>
        </is>
      </c>
      <c r="B3099" t="inlineStr">
        <is>
          <t>동원시스템즈</t>
        </is>
      </c>
      <c r="C3099" t="inlineStr">
        <is>
          <t>014820</t>
        </is>
      </c>
      <c r="D3099" t="inlineStr">
        <is>
          <t>별도</t>
        </is>
      </c>
      <c r="E3099" t="inlineStr">
        <is>
          <t>2025Q1</t>
        </is>
      </c>
      <c r="F3099" s="2" t="n">
        <v>311022</v>
      </c>
      <c r="G3099" t="n">
        <v>2.55</v>
      </c>
      <c r="H3099" t="n">
        <v>8.23</v>
      </c>
      <c r="I3099" s="2" t="n">
        <v>10096</v>
      </c>
      <c r="J3099" t="n">
        <v>-32.68</v>
      </c>
      <c r="K3099" t="n">
        <v>-30.52</v>
      </c>
      <c r="L3099" s="2" t="n">
        <v>9675</v>
      </c>
      <c r="M3099" t="n">
        <v>-25.64</v>
      </c>
      <c r="N3099" t="inlineStr">
        <is>
          <t>20250430800418</t>
        </is>
      </c>
      <c r="O3099">
        <f>HYPERLINK("https://dart.fss.or.kr/dsaf001/main.do?rcpNo=20250430800418", "공시열람")</f>
        <v/>
      </c>
    </row>
    <row r="3100">
      <c r="A3100" t="inlineStr">
        <is>
          <t>2025-04-30</t>
        </is>
      </c>
      <c r="B3100" t="inlineStr">
        <is>
          <t>한솔제지</t>
        </is>
      </c>
      <c r="C3100" t="inlineStr">
        <is>
          <t>213500</t>
        </is>
      </c>
      <c r="D3100" t="inlineStr">
        <is>
          <t>연결</t>
        </is>
      </c>
      <c r="E3100" t="inlineStr">
        <is>
          <t>2025Q1</t>
        </is>
      </c>
      <c r="F3100" s="2" t="n">
        <v>575596</v>
      </c>
      <c r="G3100" t="n">
        <v>2.3</v>
      </c>
      <c r="H3100" t="n">
        <v>7.8</v>
      </c>
      <c r="I3100" s="2" t="n">
        <v>20338</v>
      </c>
      <c r="J3100" t="inlineStr"/>
      <c r="K3100" t="n">
        <v>-40.1</v>
      </c>
      <c r="L3100" s="2" t="n">
        <v>6712</v>
      </c>
      <c r="M3100" t="n">
        <v>-71.7</v>
      </c>
      <c r="N3100" t="inlineStr">
        <is>
          <t>20250430800417</t>
        </is>
      </c>
      <c r="O3100">
        <f>HYPERLINK("https://dart.fss.or.kr/dsaf001/main.do?rcpNo=20250430800417", "공시열람")</f>
        <v/>
      </c>
    </row>
    <row r="3101">
      <c r="A3101" t="inlineStr">
        <is>
          <t>2025-04-30</t>
        </is>
      </c>
      <c r="B3101" t="inlineStr">
        <is>
          <t>송원산업</t>
        </is>
      </c>
      <c r="C3101" t="inlineStr">
        <is>
          <t>004430</t>
        </is>
      </c>
      <c r="D3101" t="inlineStr">
        <is>
          <t>연결</t>
        </is>
      </c>
      <c r="E3101" t="inlineStr">
        <is>
          <t>2025Q1</t>
        </is>
      </c>
      <c r="F3101" s="2" t="n">
        <v>275753</v>
      </c>
      <c r="G3101" t="inlineStr"/>
      <c r="H3101" t="inlineStr"/>
      <c r="I3101" s="2" t="n">
        <v>10937</v>
      </c>
      <c r="J3101" t="inlineStr"/>
      <c r="K3101" t="inlineStr"/>
      <c r="L3101" s="2" t="n">
        <v>4857</v>
      </c>
      <c r="M3101" t="inlineStr"/>
      <c r="N3101" t="inlineStr">
        <is>
          <t>20250430800399</t>
        </is>
      </c>
      <c r="O3101">
        <f>HYPERLINK("https://dart.fss.or.kr/dsaf001/main.do?rcpNo=20250430800399", "공시열람")</f>
        <v/>
      </c>
    </row>
    <row r="3102">
      <c r="A3102" t="inlineStr">
        <is>
          <t>2025-04-30</t>
        </is>
      </c>
      <c r="B3102" t="inlineStr">
        <is>
          <t>동원시스템즈</t>
        </is>
      </c>
      <c r="C3102" t="inlineStr">
        <is>
          <t>014820</t>
        </is>
      </c>
      <c r="D3102" t="inlineStr">
        <is>
          <t>연결</t>
        </is>
      </c>
      <c r="E3102" t="inlineStr">
        <is>
          <t>2025Q1</t>
        </is>
      </c>
      <c r="F3102" s="2" t="n">
        <v>336786</v>
      </c>
      <c r="G3102" t="n">
        <v>1.36</v>
      </c>
      <c r="H3102" t="n">
        <v>8.960000000000001</v>
      </c>
      <c r="I3102" s="2" t="n">
        <v>12547</v>
      </c>
      <c r="J3102" t="n">
        <v>-27.69</v>
      </c>
      <c r="K3102" t="n">
        <v>-21.89</v>
      </c>
      <c r="L3102" s="2" t="n">
        <v>10639</v>
      </c>
      <c r="M3102" t="n">
        <v>-31.42</v>
      </c>
      <c r="N3102" t="inlineStr">
        <is>
          <t>20250430800386</t>
        </is>
      </c>
      <c r="O3102">
        <f>HYPERLINK("https://dart.fss.or.kr/dsaf001/main.do?rcpNo=20250430800386", "공시열람")</f>
        <v/>
      </c>
    </row>
    <row r="3103">
      <c r="A3103" t="inlineStr">
        <is>
          <t>2025-04-30</t>
        </is>
      </c>
      <c r="B3103" t="inlineStr">
        <is>
          <t>에코프로에이치엔</t>
        </is>
      </c>
      <c r="C3103" t="inlineStr">
        <is>
          <t>383310</t>
        </is>
      </c>
      <c r="D3103" t="inlineStr">
        <is>
          <t>연결</t>
        </is>
      </c>
      <c r="E3103" t="inlineStr">
        <is>
          <t>2025Q1</t>
        </is>
      </c>
      <c r="F3103" s="2" t="n">
        <v>34433</v>
      </c>
      <c r="G3103" t="inlineStr"/>
      <c r="H3103" t="inlineStr"/>
      <c r="I3103" s="2" t="n">
        <v>3405</v>
      </c>
      <c r="J3103" t="inlineStr"/>
      <c r="K3103" t="inlineStr"/>
      <c r="L3103" s="2" t="n">
        <v>3686</v>
      </c>
      <c r="M3103" t="inlineStr"/>
      <c r="N3103" t="inlineStr">
        <is>
          <t>20250430900337</t>
        </is>
      </c>
      <c r="O3103">
        <f>HYPERLINK("https://dart.fss.or.kr/dsaf001/main.do?rcpNo=20250430900337", "공시열람")</f>
        <v/>
      </c>
    </row>
    <row r="3104">
      <c r="A3104" t="inlineStr">
        <is>
          <t>2025-04-30</t>
        </is>
      </c>
      <c r="B3104" t="inlineStr">
        <is>
          <t>에코프로</t>
        </is>
      </c>
      <c r="C3104" t="inlineStr">
        <is>
          <t>086520</t>
        </is>
      </c>
      <c r="D3104" t="inlineStr">
        <is>
          <t>별도</t>
        </is>
      </c>
      <c r="E3104" t="inlineStr">
        <is>
          <t>2025Q1</t>
        </is>
      </c>
      <c r="F3104" s="2" t="n">
        <v>806827</v>
      </c>
      <c r="G3104" t="inlineStr"/>
      <c r="H3104" t="inlineStr"/>
      <c r="I3104" s="2" t="n">
        <v>1374</v>
      </c>
      <c r="J3104" t="inlineStr"/>
      <c r="K3104" t="inlineStr"/>
      <c r="L3104" s="2" t="n">
        <v>-9951</v>
      </c>
      <c r="M3104" t="inlineStr"/>
      <c r="N3104" t="inlineStr">
        <is>
          <t>20250430900334</t>
        </is>
      </c>
      <c r="O3104">
        <f>HYPERLINK("https://dart.fss.or.kr/dsaf001/main.do?rcpNo=20250430900334", "공시열람")</f>
        <v/>
      </c>
    </row>
    <row r="3105">
      <c r="A3105" t="inlineStr">
        <is>
          <t>2025-04-30</t>
        </is>
      </c>
      <c r="B3105" t="inlineStr">
        <is>
          <t>에코프로머티</t>
        </is>
      </c>
      <c r="C3105" t="inlineStr">
        <is>
          <t>450080</t>
        </is>
      </c>
      <c r="D3105" t="inlineStr">
        <is>
          <t>별도</t>
        </is>
      </c>
      <c r="E3105" t="inlineStr">
        <is>
          <t>2025Q1</t>
        </is>
      </c>
      <c r="F3105" s="2" t="n">
        <v>136081</v>
      </c>
      <c r="G3105" t="n">
        <v>54.5</v>
      </c>
      <c r="H3105" t="n">
        <v>71.90000000000001</v>
      </c>
      <c r="I3105" s="2" t="n">
        <v>-14784</v>
      </c>
      <c r="J3105" t="n">
        <v>-54.9</v>
      </c>
      <c r="K3105" t="n">
        <v>-14</v>
      </c>
      <c r="L3105" s="2" t="n">
        <v>-7326</v>
      </c>
      <c r="M3105" t="n">
        <v>13.4</v>
      </c>
      <c r="N3105" t="inlineStr">
        <is>
          <t>20250430800373</t>
        </is>
      </c>
      <c r="O3105">
        <f>HYPERLINK("https://dart.fss.or.kr/dsaf001/main.do?rcpNo=20250430800373", "공시열람")</f>
        <v/>
      </c>
    </row>
    <row r="3106">
      <c r="A3106" t="inlineStr">
        <is>
          <t>2025-04-30</t>
        </is>
      </c>
      <c r="B3106" t="inlineStr">
        <is>
          <t>풍산</t>
        </is>
      </c>
      <c r="C3106" t="inlineStr">
        <is>
          <t>103140</t>
        </is>
      </c>
      <c r="D3106" t="inlineStr">
        <is>
          <t>연결</t>
        </is>
      </c>
      <c r="E3106" t="inlineStr">
        <is>
          <t>2025Q1</t>
        </is>
      </c>
      <c r="F3106" s="2" t="n">
        <v>1155945</v>
      </c>
      <c r="G3106" t="n">
        <v>-5.9</v>
      </c>
      <c r="H3106" t="n">
        <v>20</v>
      </c>
      <c r="I3106" s="2" t="n">
        <v>69714</v>
      </c>
      <c r="J3106" t="n">
        <v>105.8</v>
      </c>
      <c r="K3106" t="n">
        <v>28.6</v>
      </c>
      <c r="L3106" s="2" t="n">
        <v>41559</v>
      </c>
      <c r="M3106" t="n">
        <v>12.7</v>
      </c>
      <c r="N3106" t="inlineStr">
        <is>
          <t>20250430800380</t>
        </is>
      </c>
      <c r="O3106">
        <f>HYPERLINK("https://dart.fss.or.kr/dsaf001/main.do?rcpNo=20250430800380", "공시열람")</f>
        <v/>
      </c>
    </row>
    <row r="3107">
      <c r="A3107" t="inlineStr">
        <is>
          <t>2025-04-30</t>
        </is>
      </c>
      <c r="B3107" t="inlineStr">
        <is>
          <t>대한전선</t>
        </is>
      </c>
      <c r="C3107" t="inlineStr">
        <is>
          <t>001440</t>
        </is>
      </c>
      <c r="D3107" t="inlineStr">
        <is>
          <t>연결</t>
        </is>
      </c>
      <c r="E3107" t="inlineStr">
        <is>
          <t>2025Q1</t>
        </is>
      </c>
      <c r="F3107" s="2" t="n">
        <v>855456</v>
      </c>
      <c r="G3107" t="n">
        <v>2.57</v>
      </c>
      <c r="H3107" t="n">
        <v>8.49</v>
      </c>
      <c r="I3107" s="2" t="n">
        <v>27105</v>
      </c>
      <c r="J3107" t="n">
        <v>24.32</v>
      </c>
      <c r="K3107" t="n">
        <v>-5.78</v>
      </c>
      <c r="L3107" s="2" t="inlineStr"/>
      <c r="M3107" t="inlineStr"/>
      <c r="N3107" t="inlineStr">
        <is>
          <t>20250430800590</t>
        </is>
      </c>
      <c r="O3107">
        <f>HYPERLINK("https://dart.fss.or.kr/dsaf001/main.do?rcpNo=20250430800590", "공시열람")</f>
        <v/>
      </c>
    </row>
    <row r="3108">
      <c r="A3108" t="inlineStr">
        <is>
          <t>2025-04-30</t>
        </is>
      </c>
      <c r="B3108" t="inlineStr">
        <is>
          <t>풍산홀딩스</t>
        </is>
      </c>
      <c r="C3108" t="inlineStr">
        <is>
          <t>005810</t>
        </is>
      </c>
      <c r="D3108" t="inlineStr">
        <is>
          <t>별도</t>
        </is>
      </c>
      <c r="E3108" t="inlineStr">
        <is>
          <t>2025Q1</t>
        </is>
      </c>
      <c r="F3108" s="2" t="n">
        <v>60884</v>
      </c>
      <c r="G3108" t="n">
        <v>26.9</v>
      </c>
      <c r="H3108" t="n">
        <v>60.1</v>
      </c>
      <c r="I3108" s="2" t="n">
        <v>29936</v>
      </c>
      <c r="J3108" t="n">
        <v>943.6</v>
      </c>
      <c r="K3108" t="n">
        <v>115.9</v>
      </c>
      <c r="L3108" s="2" t="n">
        <v>29081</v>
      </c>
      <c r="M3108" t="n">
        <v>118.5</v>
      </c>
      <c r="N3108" t="inlineStr">
        <is>
          <t>20250430800375</t>
        </is>
      </c>
      <c r="O3108">
        <f>HYPERLINK("https://dart.fss.or.kr/dsaf001/main.do?rcpNo=20250430800375", "공시열람")</f>
        <v/>
      </c>
    </row>
    <row r="3109">
      <c r="A3109" t="inlineStr">
        <is>
          <t>2025-04-30</t>
        </is>
      </c>
      <c r="B3109" t="inlineStr">
        <is>
          <t>풍산</t>
        </is>
      </c>
      <c r="C3109" t="inlineStr">
        <is>
          <t>103140</t>
        </is>
      </c>
      <c r="D3109" t="inlineStr">
        <is>
          <t>별도</t>
        </is>
      </c>
      <c r="E3109" t="inlineStr">
        <is>
          <t>2025Q1</t>
        </is>
      </c>
      <c r="F3109" s="2" t="n">
        <v>826404</v>
      </c>
      <c r="G3109" t="n">
        <v>-15.7</v>
      </c>
      <c r="H3109" t="n">
        <v>15.6</v>
      </c>
      <c r="I3109" s="2" t="n">
        <v>44737</v>
      </c>
      <c r="J3109" t="n">
        <v>-33.5</v>
      </c>
      <c r="K3109" t="n">
        <v>27</v>
      </c>
      <c r="L3109" s="2" t="n">
        <v>41558</v>
      </c>
      <c r="M3109" t="n">
        <v>12.6</v>
      </c>
      <c r="N3109" t="inlineStr">
        <is>
          <t>20250430800359</t>
        </is>
      </c>
      <c r="O3109">
        <f>HYPERLINK("https://dart.fss.or.kr/dsaf001/main.do?rcpNo=20250430800359", "공시열람")</f>
        <v/>
      </c>
    </row>
    <row r="3110">
      <c r="A3110" t="inlineStr">
        <is>
          <t>2025-04-30</t>
        </is>
      </c>
      <c r="B3110" t="inlineStr">
        <is>
          <t>한화에어로스페이스</t>
        </is>
      </c>
      <c r="C3110" t="inlineStr">
        <is>
          <t>012450</t>
        </is>
      </c>
      <c r="D3110" t="inlineStr">
        <is>
          <t>연결</t>
        </is>
      </c>
      <c r="E3110" t="inlineStr">
        <is>
          <t>2025Q1</t>
        </is>
      </c>
      <c r="F3110" s="2" t="n">
        <v>5484200</v>
      </c>
      <c r="G3110" t="n">
        <v>13.7</v>
      </c>
      <c r="H3110" t="n">
        <v>278.5</v>
      </c>
      <c r="I3110" s="2" t="n">
        <v>560800</v>
      </c>
      <c r="J3110" t="n">
        <v>-37.7</v>
      </c>
      <c r="K3110" t="n">
        <v>3068.4</v>
      </c>
      <c r="L3110" s="2" t="n">
        <v>209400</v>
      </c>
      <c r="M3110" t="n">
        <v>7953.8</v>
      </c>
      <c r="N3110" t="inlineStr">
        <is>
          <t>20250430800325</t>
        </is>
      </c>
      <c r="O3110">
        <f>HYPERLINK("https://dart.fss.or.kr/dsaf001/main.do?rcpNo=20250430800325", "공시열람")</f>
        <v/>
      </c>
    </row>
    <row r="3111">
      <c r="A3111" t="inlineStr">
        <is>
          <t>2025-04-30</t>
        </is>
      </c>
      <c r="B3111" t="inlineStr">
        <is>
          <t>SK아이이테크놀로지</t>
        </is>
      </c>
      <c r="C3111" t="inlineStr">
        <is>
          <t>361610</t>
        </is>
      </c>
      <c r="D3111" t="inlineStr">
        <is>
          <t>연결</t>
        </is>
      </c>
      <c r="E3111" t="inlineStr">
        <is>
          <t>2025Q1</t>
        </is>
      </c>
      <c r="F3111" s="2" t="n">
        <v>58235</v>
      </c>
      <c r="G3111" t="inlineStr"/>
      <c r="H3111" t="inlineStr"/>
      <c r="I3111" s="2" t="n">
        <v>-69636</v>
      </c>
      <c r="J3111" t="inlineStr"/>
      <c r="K3111" t="inlineStr"/>
      <c r="L3111" s="2" t="n">
        <v>-21641</v>
      </c>
      <c r="M3111" t="inlineStr"/>
      <c r="N3111" t="inlineStr">
        <is>
          <t>20250430800317</t>
        </is>
      </c>
      <c r="O3111">
        <f>HYPERLINK("https://dart.fss.or.kr/dsaf001/main.do?rcpNo=20250430800317", "공시열람")</f>
        <v/>
      </c>
    </row>
    <row r="3112">
      <c r="A3112" t="inlineStr">
        <is>
          <t>2025-04-30</t>
        </is>
      </c>
      <c r="B3112" t="inlineStr">
        <is>
          <t>LX인터내셔널</t>
        </is>
      </c>
      <c r="C3112" t="inlineStr">
        <is>
          <t>001120</t>
        </is>
      </c>
      <c r="D3112" t="inlineStr">
        <is>
          <t>연결</t>
        </is>
      </c>
      <c r="E3112" t="inlineStr">
        <is>
          <t>2025Q1</t>
        </is>
      </c>
      <c r="F3112" s="2" t="n">
        <v>4048300</v>
      </c>
      <c r="G3112" t="n">
        <v>-4.2</v>
      </c>
      <c r="H3112" t="n">
        <v>7.2</v>
      </c>
      <c r="I3112" s="2" t="n">
        <v>116900</v>
      </c>
      <c r="J3112" t="n">
        <v>24.1</v>
      </c>
      <c r="K3112" t="n">
        <v>5.6</v>
      </c>
      <c r="L3112" s="2" t="n">
        <v>110400</v>
      </c>
      <c r="M3112" t="n">
        <v>12.7</v>
      </c>
      <c r="N3112" t="inlineStr">
        <is>
          <t>20250430800319</t>
        </is>
      </c>
      <c r="O3112">
        <f>HYPERLINK("https://dart.fss.or.kr/dsaf001/main.do?rcpNo=20250430800319", "공시열람")</f>
        <v/>
      </c>
    </row>
    <row r="3113">
      <c r="A3113" t="inlineStr">
        <is>
          <t>2025-04-30</t>
        </is>
      </c>
      <c r="B3113" t="inlineStr">
        <is>
          <t>윈스테크넷</t>
        </is>
      </c>
      <c r="C3113" t="inlineStr">
        <is>
          <t>136540</t>
        </is>
      </c>
      <c r="D3113" t="inlineStr">
        <is>
          <t>연결</t>
        </is>
      </c>
      <c r="E3113" t="inlineStr">
        <is>
          <t>2025Q1</t>
        </is>
      </c>
      <c r="F3113" s="2" t="n">
        <v>18299</v>
      </c>
      <c r="G3113" t="inlineStr"/>
      <c r="H3113" t="inlineStr"/>
      <c r="I3113" s="2" t="n">
        <v>2447</v>
      </c>
      <c r="J3113" t="inlineStr"/>
      <c r="K3113" t="inlineStr"/>
      <c r="L3113" s="2" t="n">
        <v>2831</v>
      </c>
      <c r="M3113" t="inlineStr"/>
      <c r="N3113" t="inlineStr">
        <is>
          <t>20250430900311</t>
        </is>
      </c>
      <c r="O3113">
        <f>HYPERLINK("https://dart.fss.or.kr/dsaf001/main.do?rcpNo=20250430900311", "공시열람")</f>
        <v/>
      </c>
    </row>
    <row r="3114">
      <c r="A3114" t="inlineStr">
        <is>
          <t>2025-04-30</t>
        </is>
      </c>
      <c r="B3114" t="inlineStr">
        <is>
          <t>윈스테크넷</t>
        </is>
      </c>
      <c r="C3114" t="inlineStr">
        <is>
          <t>136540</t>
        </is>
      </c>
      <c r="D3114" t="inlineStr">
        <is>
          <t>별도</t>
        </is>
      </c>
      <c r="E3114" t="inlineStr">
        <is>
          <t>2025Q1</t>
        </is>
      </c>
      <c r="F3114" s="2" t="n">
        <v>17376</v>
      </c>
      <c r="G3114" t="inlineStr"/>
      <c r="H3114" t="inlineStr"/>
      <c r="I3114" s="2" t="n">
        <v>2509</v>
      </c>
      <c r="J3114" t="inlineStr"/>
      <c r="K3114" t="inlineStr"/>
      <c r="L3114" s="2" t="n">
        <v>2711</v>
      </c>
      <c r="M3114" t="inlineStr"/>
      <c r="N3114" t="inlineStr">
        <is>
          <t>20250430900312</t>
        </is>
      </c>
      <c r="O3114">
        <f>HYPERLINK("https://dart.fss.or.kr/dsaf001/main.do?rcpNo=20250430900312", "공시열람")</f>
        <v/>
      </c>
    </row>
    <row r="3115">
      <c r="A3115" t="inlineStr">
        <is>
          <t>2025-04-30</t>
        </is>
      </c>
      <c r="B3115" t="inlineStr">
        <is>
          <t>솔루스첨단소재</t>
        </is>
      </c>
      <c r="C3115" t="inlineStr">
        <is>
          <t>336370</t>
        </is>
      </c>
      <c r="D3115" t="inlineStr">
        <is>
          <t>연결</t>
        </is>
      </c>
      <c r="E3115" t="inlineStr">
        <is>
          <t>2025Q1</t>
        </is>
      </c>
      <c r="F3115" s="2" t="n">
        <v>157600</v>
      </c>
      <c r="G3115" t="n">
        <v>-4.9</v>
      </c>
      <c r="H3115" t="n">
        <v>29.92</v>
      </c>
      <c r="I3115" s="2" t="n">
        <v>-15300</v>
      </c>
      <c r="J3115" t="n">
        <v>-34.76</v>
      </c>
      <c r="K3115" t="n">
        <v>-9.27</v>
      </c>
      <c r="L3115" s="2" t="n">
        <v>-31900</v>
      </c>
      <c r="M3115" t="n">
        <v>-251.83</v>
      </c>
      <c r="N3115" t="inlineStr">
        <is>
          <t>20250430800295</t>
        </is>
      </c>
      <c r="O3115">
        <f>HYPERLINK("https://dart.fss.or.kr/dsaf001/main.do?rcpNo=20250430800295", "공시열람")</f>
        <v/>
      </c>
    </row>
    <row r="3116">
      <c r="A3116" t="inlineStr">
        <is>
          <t>2025-04-30</t>
        </is>
      </c>
      <c r="B3116" t="inlineStr">
        <is>
          <t>라온로보틱스</t>
        </is>
      </c>
      <c r="C3116" t="inlineStr">
        <is>
          <t>232680</t>
        </is>
      </c>
      <c r="D3116" t="inlineStr">
        <is>
          <t>별도</t>
        </is>
      </c>
      <c r="E3116" t="inlineStr">
        <is>
          <t>2025Q1</t>
        </is>
      </c>
      <c r="F3116" s="2" t="n">
        <v>12307</v>
      </c>
      <c r="G3116" t="inlineStr"/>
      <c r="H3116" t="inlineStr"/>
      <c r="I3116" s="2" t="n">
        <v>209</v>
      </c>
      <c r="J3116" t="inlineStr"/>
      <c r="K3116" t="inlineStr"/>
      <c r="L3116" s="2" t="n">
        <v>126</v>
      </c>
      <c r="M3116" t="inlineStr"/>
      <c r="N3116" t="inlineStr">
        <is>
          <t>20250430900271</t>
        </is>
      </c>
      <c r="O3116">
        <f>HYPERLINK("https://dart.fss.or.kr/dsaf001/main.do?rcpNo=20250430900271", "공시열람")</f>
        <v/>
      </c>
    </row>
    <row r="3117">
      <c r="A3117" t="inlineStr">
        <is>
          <t>2025-04-30</t>
        </is>
      </c>
      <c r="B3117" t="inlineStr">
        <is>
          <t>제이에스코퍼레이션</t>
        </is>
      </c>
      <c r="C3117" t="inlineStr">
        <is>
          <t>194370</t>
        </is>
      </c>
      <c r="D3117" t="inlineStr">
        <is>
          <t>연결</t>
        </is>
      </c>
      <c r="E3117" t="inlineStr">
        <is>
          <t>2025Q1</t>
        </is>
      </c>
      <c r="F3117" s="2" t="n">
        <v>293694</v>
      </c>
      <c r="G3117" t="n">
        <v>-8.15</v>
      </c>
      <c r="H3117" t="n">
        <v>41.58</v>
      </c>
      <c r="I3117" s="2" t="n">
        <v>28332</v>
      </c>
      <c r="J3117" t="n">
        <v>-14.33</v>
      </c>
      <c r="K3117" t="n">
        <v>46.99</v>
      </c>
      <c r="L3117" s="2" t="n">
        <v>14196</v>
      </c>
      <c r="M3117" t="n">
        <v>30.07</v>
      </c>
      <c r="N3117" t="inlineStr">
        <is>
          <t>20250430800194</t>
        </is>
      </c>
      <c r="O3117">
        <f>HYPERLINK("https://dart.fss.or.kr/dsaf001/main.do?rcpNo=20250430800194", "공시열람")</f>
        <v/>
      </c>
    </row>
    <row r="3118">
      <c r="A3118" t="inlineStr">
        <is>
          <t>2025-04-30</t>
        </is>
      </c>
      <c r="B3118" t="inlineStr">
        <is>
          <t>환인제약</t>
        </is>
      </c>
      <c r="C3118" t="inlineStr">
        <is>
          <t>016580</t>
        </is>
      </c>
      <c r="D3118" t="inlineStr">
        <is>
          <t>연결</t>
        </is>
      </c>
      <c r="E3118" t="inlineStr">
        <is>
          <t>2025Q1</t>
        </is>
      </c>
      <c r="F3118" s="2" t="n">
        <v>60199</v>
      </c>
      <c r="G3118" t="n">
        <v>-9.1</v>
      </c>
      <c r="H3118" t="n">
        <v>-2.3</v>
      </c>
      <c r="I3118" s="2" t="n">
        <v>5281</v>
      </c>
      <c r="J3118" t="n">
        <v>478.4</v>
      </c>
      <c r="K3118" t="n">
        <v>-36.5</v>
      </c>
      <c r="L3118" s="2" t="n">
        <v>5122</v>
      </c>
      <c r="M3118" t="n">
        <v>-43.5</v>
      </c>
      <c r="N3118" t="inlineStr">
        <is>
          <t>20250430800188</t>
        </is>
      </c>
      <c r="O3118">
        <f>HYPERLINK("https://dart.fss.or.kr/dsaf001/main.do?rcpNo=20250430800188", "공시열람")</f>
        <v/>
      </c>
    </row>
    <row r="3119">
      <c r="A3119" t="inlineStr">
        <is>
          <t>2025-04-30</t>
        </is>
      </c>
      <c r="B3119" t="inlineStr">
        <is>
          <t>지씨셀</t>
        </is>
      </c>
      <c r="C3119" t="inlineStr">
        <is>
          <t>144510</t>
        </is>
      </c>
      <c r="D3119" t="inlineStr">
        <is>
          <t>연결</t>
        </is>
      </c>
      <c r="E3119" t="inlineStr">
        <is>
          <t>2025Q1</t>
        </is>
      </c>
      <c r="F3119" s="2" t="n">
        <v>39549</v>
      </c>
      <c r="G3119" t="inlineStr"/>
      <c r="H3119" t="inlineStr"/>
      <c r="I3119" s="2" t="n">
        <v>-5695</v>
      </c>
      <c r="J3119" t="inlineStr"/>
      <c r="K3119" t="inlineStr"/>
      <c r="L3119" s="2" t="n">
        <v>-17899</v>
      </c>
      <c r="M3119" t="inlineStr"/>
      <c r="N3119" t="inlineStr">
        <is>
          <t>20250430900582</t>
        </is>
      </c>
      <c r="O3119">
        <f>HYPERLINK("https://dart.fss.or.kr/dsaf001/main.do?rcpNo=20250430900582", "공시열람")</f>
        <v/>
      </c>
    </row>
    <row r="3120">
      <c r="A3120" t="inlineStr">
        <is>
          <t>2025-04-30</t>
        </is>
      </c>
      <c r="B3120" t="inlineStr">
        <is>
          <t>삼성물산</t>
        </is>
      </c>
      <c r="C3120" t="inlineStr">
        <is>
          <t>028260</t>
        </is>
      </c>
      <c r="D3120" t="inlineStr">
        <is>
          <t>연결</t>
        </is>
      </c>
      <c r="E3120" t="inlineStr">
        <is>
          <t>2025Q1</t>
        </is>
      </c>
      <c r="F3120" s="2" t="n">
        <v>9736781</v>
      </c>
      <c r="G3120" t="inlineStr"/>
      <c r="H3120" t="inlineStr"/>
      <c r="I3120" s="2" t="n">
        <v>724421</v>
      </c>
      <c r="J3120" t="inlineStr"/>
      <c r="K3120" t="inlineStr"/>
      <c r="L3120" s="2" t="n">
        <v>937243</v>
      </c>
      <c r="M3120" t="inlineStr"/>
      <c r="N3120" t="inlineStr">
        <is>
          <t>20250430800600</t>
        </is>
      </c>
      <c r="O3120">
        <f>HYPERLINK("https://dart.fss.or.kr/dsaf001/main.do?rcpNo=20250430800600", "공시열람")</f>
        <v/>
      </c>
    </row>
    <row r="3121">
      <c r="A3121" t="inlineStr">
        <is>
          <t>2025-04-30</t>
        </is>
      </c>
      <c r="B3121" t="inlineStr">
        <is>
          <t>폰드그룹</t>
        </is>
      </c>
      <c r="C3121" t="inlineStr">
        <is>
          <t>472850</t>
        </is>
      </c>
      <c r="D3121" t="inlineStr">
        <is>
          <t>연결</t>
        </is>
      </c>
      <c r="E3121" t="inlineStr">
        <is>
          <t>2025Q1</t>
        </is>
      </c>
      <c r="F3121" s="2" t="n">
        <v>106561</v>
      </c>
      <c r="G3121" t="inlineStr"/>
      <c r="H3121" t="inlineStr"/>
      <c r="I3121" s="2" t="n">
        <v>14430</v>
      </c>
      <c r="J3121" t="inlineStr"/>
      <c r="K3121" t="inlineStr"/>
      <c r="L3121" s="2" t="n">
        <v>9151</v>
      </c>
      <c r="M3121" t="inlineStr"/>
      <c r="N3121" t="inlineStr">
        <is>
          <t>20250430900111</t>
        </is>
      </c>
      <c r="O3121">
        <f>HYPERLINK("https://dart.fss.or.kr/dsaf001/main.do?rcpNo=20250430900111", "공시열람")</f>
        <v/>
      </c>
    </row>
    <row r="3122">
      <c r="A3122" t="inlineStr">
        <is>
          <t>2025-04-30</t>
        </is>
      </c>
      <c r="B3122" t="inlineStr">
        <is>
          <t>고영</t>
        </is>
      </c>
      <c r="C3122" t="inlineStr">
        <is>
          <t>098460</t>
        </is>
      </c>
      <c r="D3122" t="inlineStr">
        <is>
          <t>연결</t>
        </is>
      </c>
      <c r="E3122" t="inlineStr">
        <is>
          <t>2025Q1</t>
        </is>
      </c>
      <c r="F3122" s="2" t="n">
        <v>51125</v>
      </c>
      <c r="G3122" t="inlineStr"/>
      <c r="H3122" t="inlineStr"/>
      <c r="I3122" s="2" t="n">
        <v>3187</v>
      </c>
      <c r="J3122" t="inlineStr"/>
      <c r="K3122" t="inlineStr"/>
      <c r="L3122" s="2" t="n">
        <v>3209</v>
      </c>
      <c r="M3122" t="inlineStr"/>
      <c r="N3122" t="inlineStr">
        <is>
          <t>20250430900722</t>
        </is>
      </c>
      <c r="O3122">
        <f>HYPERLINK("https://dart.fss.or.kr/dsaf001/main.do?rcpNo=20250430900722", "공시열람")</f>
        <v/>
      </c>
    </row>
    <row r="3123">
      <c r="A3123" t="inlineStr">
        <is>
          <t>2025-04-30</t>
        </is>
      </c>
      <c r="B3123" t="inlineStr">
        <is>
          <t>종근당</t>
        </is>
      </c>
      <c r="C3123" t="inlineStr">
        <is>
          <t>185750</t>
        </is>
      </c>
      <c r="D3123" t="inlineStr">
        <is>
          <t>별도</t>
        </is>
      </c>
      <c r="E3123" t="inlineStr">
        <is>
          <t>2025Q1</t>
        </is>
      </c>
      <c r="F3123" s="2" t="n">
        <v>399072</v>
      </c>
      <c r="G3123" t="n">
        <v>-3.2</v>
      </c>
      <c r="H3123" t="n">
        <v>12.9</v>
      </c>
      <c r="I3123" s="2" t="n">
        <v>12839</v>
      </c>
      <c r="J3123" t="n">
        <v>65.40000000000001</v>
      </c>
      <c r="K3123" t="n">
        <v>-52</v>
      </c>
      <c r="L3123" s="2" t="n">
        <v>14011</v>
      </c>
      <c r="M3123" t="n">
        <v>-44.2</v>
      </c>
      <c r="N3123" t="inlineStr">
        <is>
          <t>20250430801491</t>
        </is>
      </c>
      <c r="O3123">
        <f>HYPERLINK("https://dart.fss.or.kr/dsaf001/main.do?rcpNo=20250430801491", "공시열람")</f>
        <v/>
      </c>
    </row>
    <row r="3124">
      <c r="A3124" t="inlineStr">
        <is>
          <t>2025-04-30</t>
        </is>
      </c>
      <c r="B3124" t="inlineStr">
        <is>
          <t>녹십자엠에스</t>
        </is>
      </c>
      <c r="C3124" t="inlineStr">
        <is>
          <t>142280</t>
        </is>
      </c>
      <c r="D3124" t="inlineStr">
        <is>
          <t>연결</t>
        </is>
      </c>
      <c r="E3124" t="inlineStr">
        <is>
          <t>2025Q1</t>
        </is>
      </c>
      <c r="F3124" s="2" t="n">
        <v>26482</v>
      </c>
      <c r="G3124" t="inlineStr"/>
      <c r="H3124" t="inlineStr"/>
      <c r="I3124" s="2" t="n">
        <v>495</v>
      </c>
      <c r="J3124" t="inlineStr"/>
      <c r="K3124" t="inlineStr"/>
      <c r="L3124" s="2" t="n">
        <v>-727</v>
      </c>
      <c r="M3124" t="inlineStr"/>
      <c r="N3124" t="inlineStr">
        <is>
          <t>20250430901427</t>
        </is>
      </c>
      <c r="O3124">
        <f>HYPERLINK("https://dart.fss.or.kr/dsaf001/main.do?rcpNo=20250430901427", "공시열람")</f>
        <v/>
      </c>
    </row>
    <row r="3125">
      <c r="A3125" t="inlineStr">
        <is>
          <t>2025-04-30</t>
        </is>
      </c>
      <c r="B3125" t="inlineStr">
        <is>
          <t>바이오니아</t>
        </is>
      </c>
      <c r="C3125" t="inlineStr">
        <is>
          <t>064550</t>
        </is>
      </c>
      <c r="D3125" t="inlineStr">
        <is>
          <t>연결</t>
        </is>
      </c>
      <c r="E3125" t="inlineStr">
        <is>
          <t>2025Q1</t>
        </is>
      </c>
      <c r="F3125" s="2" t="n">
        <v>73909</v>
      </c>
      <c r="G3125" t="inlineStr"/>
      <c r="H3125" t="inlineStr"/>
      <c r="I3125" s="2" t="n">
        <v>4344</v>
      </c>
      <c r="J3125" t="inlineStr"/>
      <c r="K3125" t="inlineStr"/>
      <c r="L3125" s="2" t="n">
        <v>1200</v>
      </c>
      <c r="M3125" t="inlineStr"/>
      <c r="N3125" t="inlineStr">
        <is>
          <t>20250430901093</t>
        </is>
      </c>
      <c r="O3125">
        <f>HYPERLINK("https://dart.fss.or.kr/dsaf001/main.do?rcpNo=20250430901093", "공시열람")</f>
        <v/>
      </c>
    </row>
    <row r="3126">
      <c r="A3126" t="inlineStr">
        <is>
          <t>2025-04-30</t>
        </is>
      </c>
      <c r="B3126" t="inlineStr">
        <is>
          <t>하츠</t>
        </is>
      </c>
      <c r="C3126" t="inlineStr">
        <is>
          <t>066130</t>
        </is>
      </c>
      <c r="D3126" t="inlineStr">
        <is>
          <t>별도</t>
        </is>
      </c>
      <c r="E3126" t="inlineStr">
        <is>
          <t>2025Q1</t>
        </is>
      </c>
      <c r="F3126" s="2" t="n">
        <v>40861</v>
      </c>
      <c r="G3126" t="inlineStr"/>
      <c r="H3126" t="inlineStr"/>
      <c r="I3126" s="2" t="n">
        <v>1889</v>
      </c>
      <c r="J3126" t="inlineStr"/>
      <c r="K3126" t="inlineStr"/>
      <c r="L3126" s="2" t="n">
        <v>1561</v>
      </c>
      <c r="M3126" t="inlineStr"/>
      <c r="N3126" t="inlineStr">
        <is>
          <t>20250430901001</t>
        </is>
      </c>
      <c r="O3126">
        <f>HYPERLINK("https://dart.fss.or.kr/dsaf001/main.do?rcpNo=20250430901001", "공시열람")</f>
        <v/>
      </c>
    </row>
    <row r="3127">
      <c r="A3127" t="inlineStr">
        <is>
          <t>2025-04-30</t>
        </is>
      </c>
      <c r="B3127" t="inlineStr">
        <is>
          <t>녹십자웰빙</t>
        </is>
      </c>
      <c r="C3127" t="inlineStr">
        <is>
          <t>234690</t>
        </is>
      </c>
      <c r="D3127" t="inlineStr">
        <is>
          <t>연결</t>
        </is>
      </c>
      <c r="E3127" t="inlineStr">
        <is>
          <t>2025Q1</t>
        </is>
      </c>
      <c r="F3127" s="2" t="n">
        <v>34756</v>
      </c>
      <c r="G3127" t="inlineStr"/>
      <c r="H3127" t="inlineStr"/>
      <c r="I3127" s="2" t="n">
        <v>4987</v>
      </c>
      <c r="J3127" t="inlineStr"/>
      <c r="K3127" t="inlineStr"/>
      <c r="L3127" s="2" t="n">
        <v>6082</v>
      </c>
      <c r="M3127" t="inlineStr"/>
      <c r="N3127" t="inlineStr">
        <is>
          <t>20250430900979</t>
        </is>
      </c>
      <c r="O3127">
        <f>HYPERLINK("https://dart.fss.or.kr/dsaf001/main.do?rcpNo=20250430900979", "공시열람")</f>
        <v/>
      </c>
    </row>
    <row r="3128">
      <c r="A3128" t="inlineStr">
        <is>
          <t>2025-04-30</t>
        </is>
      </c>
      <c r="B3128" t="inlineStr">
        <is>
          <t>해성디에스</t>
        </is>
      </c>
      <c r="C3128" t="inlineStr">
        <is>
          <t>195870</t>
        </is>
      </c>
      <c r="D3128" t="inlineStr">
        <is>
          <t>연결</t>
        </is>
      </c>
      <c r="E3128" t="inlineStr">
        <is>
          <t>2025Q1</t>
        </is>
      </c>
      <c r="F3128" s="2" t="n">
        <v>137500</v>
      </c>
      <c r="G3128" t="n">
        <v>-5.3</v>
      </c>
      <c r="H3128" t="n">
        <v>-11.2</v>
      </c>
      <c r="I3128" s="2" t="n">
        <v>400</v>
      </c>
      <c r="J3128" t="n">
        <v>-94.3</v>
      </c>
      <c r="K3128" t="n">
        <v>-98.3</v>
      </c>
      <c r="L3128" s="2" t="n">
        <v>600</v>
      </c>
      <c r="M3128" t="n">
        <v>-97</v>
      </c>
      <c r="N3128" t="inlineStr">
        <is>
          <t>20250430800946</t>
        </is>
      </c>
      <c r="O3128">
        <f>HYPERLINK("https://dart.fss.or.kr/dsaf001/main.do?rcpNo=20250430800946", "공시열람")</f>
        <v/>
      </c>
    </row>
    <row r="3129">
      <c r="A3129" t="inlineStr">
        <is>
          <t>2025-04-30</t>
        </is>
      </c>
      <c r="B3129" t="inlineStr">
        <is>
          <t>현대위아</t>
        </is>
      </c>
      <c r="C3129" t="inlineStr">
        <is>
          <t>011210</t>
        </is>
      </c>
      <c r="D3129" t="inlineStr">
        <is>
          <t>연결</t>
        </is>
      </c>
      <c r="E3129" t="inlineStr">
        <is>
          <t>2025Q1</t>
        </is>
      </c>
      <c r="F3129" s="2" t="n">
        <v>2061791</v>
      </c>
      <c r="G3129" t="n">
        <v>2.8</v>
      </c>
      <c r="H3129" t="n">
        <v>0.5</v>
      </c>
      <c r="I3129" s="2" t="n">
        <v>48548</v>
      </c>
      <c r="J3129" t="n">
        <v>-11.2</v>
      </c>
      <c r="K3129" t="n">
        <v>-15.9</v>
      </c>
      <c r="L3129" s="2" t="n">
        <v>101963</v>
      </c>
      <c r="M3129" t="n">
        <v>177.9</v>
      </c>
      <c r="N3129" t="inlineStr">
        <is>
          <t>20250430800930</t>
        </is>
      </c>
      <c r="O3129">
        <f>HYPERLINK("https://dart.fss.or.kr/dsaf001/main.do?rcpNo=20250430800930", "공시열람")</f>
        <v/>
      </c>
    </row>
    <row r="3130">
      <c r="A3130" t="inlineStr">
        <is>
          <t>2025-04-30</t>
        </is>
      </c>
      <c r="B3130" t="inlineStr">
        <is>
          <t>GC메디아이</t>
        </is>
      </c>
      <c r="C3130" t="inlineStr">
        <is>
          <t>032620</t>
        </is>
      </c>
      <c r="D3130" t="inlineStr">
        <is>
          <t>연결</t>
        </is>
      </c>
      <c r="E3130" t="inlineStr">
        <is>
          <t>2025Q1</t>
        </is>
      </c>
      <c r="F3130" s="2" t="n">
        <v>45306</v>
      </c>
      <c r="G3130" t="inlineStr"/>
      <c r="H3130" t="inlineStr"/>
      <c r="I3130" s="2" t="n">
        <v>430</v>
      </c>
      <c r="J3130" t="inlineStr"/>
      <c r="K3130" t="inlineStr"/>
      <c r="L3130" s="2" t="n">
        <v>2314</v>
      </c>
      <c r="M3130" t="inlineStr"/>
      <c r="N3130" t="inlineStr">
        <is>
          <t>20250430900859</t>
        </is>
      </c>
      <c r="O3130">
        <f>HYPERLINK("https://dart.fss.or.kr/dsaf001/main.do?rcpNo=20250430900859", "공시열람")</f>
        <v/>
      </c>
    </row>
    <row r="3131">
      <c r="A3131" t="inlineStr">
        <is>
          <t>2025-04-30</t>
        </is>
      </c>
      <c r="B3131" t="inlineStr">
        <is>
          <t>HL D&amp;I</t>
        </is>
      </c>
      <c r="C3131" t="inlineStr">
        <is>
          <t>014790</t>
        </is>
      </c>
      <c r="D3131" t="inlineStr">
        <is>
          <t>연결</t>
        </is>
      </c>
      <c r="E3131" t="inlineStr">
        <is>
          <t>2025Q1</t>
        </is>
      </c>
      <c r="F3131" s="2" t="n">
        <v>324900</v>
      </c>
      <c r="G3131" t="n">
        <v>-25.1</v>
      </c>
      <c r="H3131" t="n">
        <v>-18.5</v>
      </c>
      <c r="I3131" s="2" t="n">
        <v>14172</v>
      </c>
      <c r="J3131" t="n">
        <v>-6.4</v>
      </c>
      <c r="K3131" t="n">
        <v>-22.7</v>
      </c>
      <c r="L3131" s="2" t="n">
        <v>3374</v>
      </c>
      <c r="M3131" t="n">
        <v>-71.7</v>
      </c>
      <c r="N3131" t="inlineStr">
        <is>
          <t>20250430800814</t>
        </is>
      </c>
      <c r="O3131">
        <f>HYPERLINK("https://dart.fss.or.kr/dsaf001/main.do?rcpNo=20250430800814", "공시열람")</f>
        <v/>
      </c>
    </row>
    <row r="3132">
      <c r="A3132" t="inlineStr">
        <is>
          <t>2025-04-30</t>
        </is>
      </c>
      <c r="B3132" t="inlineStr">
        <is>
          <t>SM C&amp;C</t>
        </is>
      </c>
      <c r="C3132" t="inlineStr">
        <is>
          <t>048550</t>
        </is>
      </c>
      <c r="D3132" t="inlineStr">
        <is>
          <t>연결</t>
        </is>
      </c>
      <c r="E3132" t="inlineStr">
        <is>
          <t>2025Q1</t>
        </is>
      </c>
      <c r="F3132" s="2" t="n">
        <v>17697</v>
      </c>
      <c r="G3132" t="inlineStr"/>
      <c r="H3132" t="inlineStr"/>
      <c r="I3132" s="2" t="n">
        <v>-2935</v>
      </c>
      <c r="J3132" t="inlineStr"/>
      <c r="K3132" t="inlineStr"/>
      <c r="L3132" s="2" t="n">
        <v>-1809</v>
      </c>
      <c r="M3132" t="inlineStr"/>
      <c r="N3132" t="inlineStr">
        <is>
          <t>20250430900796</t>
        </is>
      </c>
      <c r="O3132">
        <f>HYPERLINK("https://dart.fss.or.kr/dsaf001/main.do?rcpNo=20250430900796", "공시열람")</f>
        <v/>
      </c>
    </row>
    <row r="3133">
      <c r="A3133" t="inlineStr">
        <is>
          <t>2025-04-30</t>
        </is>
      </c>
      <c r="B3133" t="inlineStr">
        <is>
          <t>롯데이노베이트</t>
        </is>
      </c>
      <c r="C3133" t="inlineStr">
        <is>
          <t>286940</t>
        </is>
      </c>
      <c r="D3133" t="inlineStr">
        <is>
          <t>연결</t>
        </is>
      </c>
      <c r="E3133" t="inlineStr">
        <is>
          <t>2025Q1</t>
        </is>
      </c>
      <c r="F3133" s="2" t="n">
        <v>284811</v>
      </c>
      <c r="G3133" t="n">
        <v>-13.5</v>
      </c>
      <c r="H3133" t="n">
        <v>3</v>
      </c>
      <c r="I3133" s="2" t="n">
        <v>6958</v>
      </c>
      <c r="J3133" t="n">
        <v>164.2</v>
      </c>
      <c r="K3133" t="n">
        <v>-22.3</v>
      </c>
      <c r="L3133" s="2" t="n">
        <v>3410</v>
      </c>
      <c r="M3133" t="n">
        <v>-36.3</v>
      </c>
      <c r="N3133" t="inlineStr">
        <is>
          <t>20250430800804</t>
        </is>
      </c>
      <c r="O3133">
        <f>HYPERLINK("https://dart.fss.or.kr/dsaf001/main.do?rcpNo=20250430800804", "공시열람")</f>
        <v/>
      </c>
    </row>
    <row r="3134">
      <c r="A3134" t="inlineStr">
        <is>
          <t>2025-04-30</t>
        </is>
      </c>
      <c r="B3134" t="inlineStr">
        <is>
          <t>SK이노베이션</t>
        </is>
      </c>
      <c r="C3134" t="inlineStr">
        <is>
          <t>096770</t>
        </is>
      </c>
      <c r="D3134" t="inlineStr">
        <is>
          <t>연결</t>
        </is>
      </c>
      <c r="E3134" t="inlineStr">
        <is>
          <t>2025Q1</t>
        </is>
      </c>
      <c r="F3134" s="2" t="n">
        <v>21146552</v>
      </c>
      <c r="G3134" t="inlineStr"/>
      <c r="H3134" t="inlineStr"/>
      <c r="I3134" s="2" t="n">
        <v>-44639</v>
      </c>
      <c r="J3134" t="inlineStr"/>
      <c r="K3134" t="inlineStr"/>
      <c r="L3134" s="2" t="n">
        <v>-125617</v>
      </c>
      <c r="M3134" t="inlineStr"/>
      <c r="N3134" t="inlineStr">
        <is>
          <t>20250430800728</t>
        </is>
      </c>
      <c r="O3134">
        <f>HYPERLINK("https://dart.fss.or.kr/dsaf001/main.do?rcpNo=20250430800728", "공시열람")</f>
        <v/>
      </c>
    </row>
    <row r="3135">
      <c r="A3135" t="inlineStr">
        <is>
          <t>2025-04-30</t>
        </is>
      </c>
      <c r="B3135" t="inlineStr">
        <is>
          <t>녹십자</t>
        </is>
      </c>
      <c r="C3135" t="inlineStr">
        <is>
          <t>006280</t>
        </is>
      </c>
      <c r="D3135" t="inlineStr">
        <is>
          <t>연결</t>
        </is>
      </c>
      <c r="E3135" t="inlineStr">
        <is>
          <t>2025Q1</t>
        </is>
      </c>
      <c r="F3135" s="2" t="n">
        <v>383800</v>
      </c>
      <c r="G3135" t="inlineStr"/>
      <c r="H3135" t="inlineStr"/>
      <c r="I3135" s="2" t="n">
        <v>8000</v>
      </c>
      <c r="J3135" t="inlineStr"/>
      <c r="K3135" t="inlineStr"/>
      <c r="L3135" s="2" t="n">
        <v>22300</v>
      </c>
      <c r="M3135" t="inlineStr"/>
      <c r="N3135" t="inlineStr">
        <is>
          <t>20250430800621</t>
        </is>
      </c>
      <c r="O3135">
        <f>HYPERLINK("https://dart.fss.or.kr/dsaf001/main.do?rcpNo=20250430800621", "공시열람")</f>
        <v/>
      </c>
    </row>
    <row r="3136">
      <c r="A3136" t="inlineStr">
        <is>
          <t>2025-04-30</t>
        </is>
      </c>
      <c r="B3136" t="inlineStr">
        <is>
          <t>SK리츠</t>
        </is>
      </c>
      <c r="C3136" t="inlineStr">
        <is>
          <t>395400</t>
        </is>
      </c>
      <c r="D3136" t="inlineStr">
        <is>
          <t>별도</t>
        </is>
      </c>
      <c r="E3136" t="inlineStr">
        <is>
          <t>2025Q1</t>
        </is>
      </c>
      <c r="F3136" s="2" t="n">
        <v>36275</v>
      </c>
      <c r="G3136" t="n">
        <v>25.3</v>
      </c>
      <c r="H3136" t="n">
        <v>17.5</v>
      </c>
      <c r="I3136" s="2" t="n">
        <v>30725</v>
      </c>
      <c r="J3136" t="n">
        <v>27.8</v>
      </c>
      <c r="K3136" t="n">
        <v>18.8</v>
      </c>
      <c r="L3136" s="2" t="n">
        <v>14233</v>
      </c>
      <c r="M3136" t="n">
        <v>14.3</v>
      </c>
      <c r="N3136" t="inlineStr">
        <is>
          <t>20250430800702</t>
        </is>
      </c>
      <c r="O3136">
        <f>HYPERLINK("https://dart.fss.or.kr/dsaf001/main.do?rcpNo=20250430800702", "공시열람")</f>
        <v/>
      </c>
    </row>
    <row r="3137">
      <c r="A3137" t="inlineStr">
        <is>
          <t>2025-04-30</t>
        </is>
      </c>
      <c r="B3137" t="inlineStr">
        <is>
          <t>두산에너빌리티</t>
        </is>
      </c>
      <c r="C3137" t="inlineStr">
        <is>
          <t>034020</t>
        </is>
      </c>
      <c r="D3137" t="inlineStr">
        <is>
          <t>연결</t>
        </is>
      </c>
      <c r="E3137" t="inlineStr">
        <is>
          <t>2025Q1</t>
        </is>
      </c>
      <c r="F3137" s="2" t="n">
        <v>3748574</v>
      </c>
      <c r="G3137" t="n">
        <v>-18.32</v>
      </c>
      <c r="H3137" t="n">
        <v>-8.52</v>
      </c>
      <c r="I3137" s="2" t="n">
        <v>142475</v>
      </c>
      <c r="J3137" t="n">
        <v>-39.36</v>
      </c>
      <c r="K3137" t="n">
        <v>-60.21</v>
      </c>
      <c r="L3137" s="2" t="n">
        <v>-21157</v>
      </c>
      <c r="M3137" t="inlineStr"/>
      <c r="N3137" t="inlineStr">
        <is>
          <t>20250430800694</t>
        </is>
      </c>
      <c r="O3137">
        <f>HYPERLINK("https://dart.fss.or.kr/dsaf001/main.do?rcpNo=20250430800694", "공시열람")</f>
        <v/>
      </c>
    </row>
    <row r="3138">
      <c r="A3138" t="inlineStr">
        <is>
          <t>2025-04-30</t>
        </is>
      </c>
      <c r="B3138" t="inlineStr">
        <is>
          <t>파트론</t>
        </is>
      </c>
      <c r="C3138" t="inlineStr">
        <is>
          <t>091700</t>
        </is>
      </c>
      <c r="D3138" t="inlineStr">
        <is>
          <t>연결</t>
        </is>
      </c>
      <c r="E3138" t="inlineStr">
        <is>
          <t>2025Q1</t>
        </is>
      </c>
      <c r="F3138" s="2" t="n">
        <v>328097</v>
      </c>
      <c r="G3138" t="inlineStr"/>
      <c r="H3138" t="inlineStr"/>
      <c r="I3138" s="2" t="n">
        <v>6315</v>
      </c>
      <c r="J3138" t="inlineStr"/>
      <c r="K3138" t="inlineStr"/>
      <c r="L3138" s="2" t="n">
        <v>6680</v>
      </c>
      <c r="M3138" t="inlineStr"/>
      <c r="N3138" t="inlineStr">
        <is>
          <t>20250430900661</t>
        </is>
      </c>
      <c r="O3138">
        <f>HYPERLINK("https://dart.fss.or.kr/dsaf001/main.do?rcpNo=20250430900661", "공시열람")</f>
        <v/>
      </c>
    </row>
    <row r="3139">
      <c r="A3139" t="inlineStr">
        <is>
          <t>2025-04-30</t>
        </is>
      </c>
      <c r="B3139" t="inlineStr">
        <is>
          <t>두산퓨얼셀</t>
        </is>
      </c>
      <c r="C3139" t="inlineStr">
        <is>
          <t>336260</t>
        </is>
      </c>
      <c r="D3139" t="inlineStr">
        <is>
          <t>연결</t>
        </is>
      </c>
      <c r="E3139" t="inlineStr">
        <is>
          <t>2025Q1</t>
        </is>
      </c>
      <c r="F3139" s="2" t="n">
        <v>99749</v>
      </c>
      <c r="G3139" t="inlineStr"/>
      <c r="H3139" t="inlineStr"/>
      <c r="I3139" s="2" t="n">
        <v>-11550</v>
      </c>
      <c r="J3139" t="inlineStr"/>
      <c r="K3139" t="inlineStr"/>
      <c r="L3139" s="2" t="n">
        <v>-10118</v>
      </c>
      <c r="M3139" t="inlineStr"/>
      <c r="N3139" t="inlineStr">
        <is>
          <t>20250430800676</t>
        </is>
      </c>
      <c r="O3139">
        <f>HYPERLINK("https://dart.fss.or.kr/dsaf001/main.do?rcpNo=20250430800676", "공시열람")</f>
        <v/>
      </c>
    </row>
    <row r="3140">
      <c r="A3140" t="inlineStr">
        <is>
          <t>2025-04-30</t>
        </is>
      </c>
      <c r="B3140" t="inlineStr">
        <is>
          <t>자이에스앤디</t>
        </is>
      </c>
      <c r="C3140" t="inlineStr">
        <is>
          <t>317400</t>
        </is>
      </c>
      <c r="D3140" t="inlineStr">
        <is>
          <t>연결</t>
        </is>
      </c>
      <c r="E3140" t="inlineStr">
        <is>
          <t>2025Q1</t>
        </is>
      </c>
      <c r="F3140" s="2" t="n">
        <v>312684</v>
      </c>
      <c r="G3140" t="n">
        <v>-16.5</v>
      </c>
      <c r="H3140" t="n">
        <v>-21.92</v>
      </c>
      <c r="I3140" s="2" t="n">
        <v>-10602</v>
      </c>
      <c r="J3140" t="n">
        <v>-493.62</v>
      </c>
      <c r="K3140" t="inlineStr"/>
      <c r="L3140" s="2" t="n">
        <v>-8069</v>
      </c>
      <c r="M3140" t="inlineStr"/>
      <c r="N3140" t="inlineStr">
        <is>
          <t>20250430800664</t>
        </is>
      </c>
      <c r="O3140">
        <f>HYPERLINK("https://dart.fss.or.kr/dsaf001/main.do?rcpNo=20250430800664", "공시열람")</f>
        <v/>
      </c>
    </row>
    <row r="3141">
      <c r="A3141" t="inlineStr">
        <is>
          <t>2025-04-30</t>
        </is>
      </c>
      <c r="B3141" t="inlineStr">
        <is>
          <t>LG화학</t>
        </is>
      </c>
      <c r="C3141" t="inlineStr">
        <is>
          <t>051910</t>
        </is>
      </c>
      <c r="D3141" t="inlineStr">
        <is>
          <t>연결</t>
        </is>
      </c>
      <c r="E3141" t="inlineStr">
        <is>
          <t>2025Q1</t>
        </is>
      </c>
      <c r="F3141" s="2" t="n">
        <v>12171015</v>
      </c>
      <c r="G3141" t="n">
        <v>-1.3</v>
      </c>
      <c r="H3141" t="n">
        <v>4.8</v>
      </c>
      <c r="I3141" s="2" t="n">
        <v>446971</v>
      </c>
      <c r="J3141" t="inlineStr"/>
      <c r="K3141" t="n">
        <v>68.90000000000001</v>
      </c>
      <c r="L3141" s="2" t="n">
        <v>260370</v>
      </c>
      <c r="M3141" t="n">
        <v>-23.8</v>
      </c>
      <c r="N3141" t="inlineStr">
        <is>
          <t>20250430800654</t>
        </is>
      </c>
      <c r="O3141">
        <f>HYPERLINK("https://dart.fss.or.kr/dsaf001/main.do?rcpNo=20250430800654", "공시열람")</f>
        <v/>
      </c>
    </row>
    <row r="3142">
      <c r="A3142" t="inlineStr">
        <is>
          <t>2025-04-30</t>
        </is>
      </c>
      <c r="B3142" t="inlineStr">
        <is>
          <t>두산</t>
        </is>
      </c>
      <c r="C3142" t="inlineStr">
        <is>
          <t>000150</t>
        </is>
      </c>
      <c r="D3142" t="inlineStr">
        <is>
          <t>연결</t>
        </is>
      </c>
      <c r="E3142" t="inlineStr">
        <is>
          <t>2025Q1</t>
        </is>
      </c>
      <c r="F3142" s="2" t="n">
        <v>4298700</v>
      </c>
      <c r="G3142" t="inlineStr"/>
      <c r="H3142" t="inlineStr"/>
      <c r="I3142" s="2" t="n">
        <v>198500</v>
      </c>
      <c r="J3142" t="inlineStr"/>
      <c r="K3142" t="inlineStr"/>
      <c r="L3142" s="2" t="n">
        <v>11300</v>
      </c>
      <c r="M3142" t="inlineStr"/>
      <c r="N3142" t="inlineStr">
        <is>
          <t>20250430800624</t>
        </is>
      </c>
      <c r="O3142">
        <f>HYPERLINK("https://dart.fss.or.kr/dsaf001/main.do?rcpNo=20250430800624", "공시열람")</f>
        <v/>
      </c>
    </row>
    <row r="3143">
      <c r="A3143" t="inlineStr">
        <is>
          <t>2025-04-30</t>
        </is>
      </c>
      <c r="B3143" t="inlineStr">
        <is>
          <t>한독</t>
        </is>
      </c>
      <c r="C3143" t="inlineStr">
        <is>
          <t>002390</t>
        </is>
      </c>
      <c r="D3143" t="inlineStr">
        <is>
          <t>별도</t>
        </is>
      </c>
      <c r="E3143" t="inlineStr">
        <is>
          <t>2025Q1</t>
        </is>
      </c>
      <c r="F3143" s="2" t="n">
        <v>118438</v>
      </c>
      <c r="G3143" t="n">
        <v>-0.83</v>
      </c>
      <c r="H3143" t="n">
        <v>-6.5</v>
      </c>
      <c r="I3143" s="2" t="n">
        <v>-1626</v>
      </c>
      <c r="J3143" t="n">
        <v>40.67</v>
      </c>
      <c r="K3143" t="inlineStr"/>
      <c r="L3143" s="2" t="n">
        <v>-2350</v>
      </c>
      <c r="M3143" t="inlineStr"/>
      <c r="N3143" t="inlineStr">
        <is>
          <t>20250430800642</t>
        </is>
      </c>
      <c r="O3143">
        <f>HYPERLINK("https://dart.fss.or.kr/dsaf001/main.do?rcpNo=20250430800642", "공시열람")</f>
        <v/>
      </c>
    </row>
    <row r="3144">
      <c r="A3144" t="inlineStr">
        <is>
          <t>2025-04-30</t>
        </is>
      </c>
      <c r="B3144" t="inlineStr">
        <is>
          <t>한올바이오파마</t>
        </is>
      </c>
      <c r="C3144" t="inlineStr">
        <is>
          <t>009420</t>
        </is>
      </c>
      <c r="D3144" t="inlineStr">
        <is>
          <t>연결</t>
        </is>
      </c>
      <c r="E3144" t="inlineStr">
        <is>
          <t>2025Q1</t>
        </is>
      </c>
      <c r="F3144" s="2" t="n">
        <v>36150</v>
      </c>
      <c r="G3144" t="n">
        <v>-0.7</v>
      </c>
      <c r="H3144" t="n">
        <v>6</v>
      </c>
      <c r="I3144" s="2" t="n">
        <v>-394</v>
      </c>
      <c r="J3144" t="inlineStr"/>
      <c r="K3144" t="inlineStr"/>
      <c r="L3144" s="2" t="n">
        <v>-208</v>
      </c>
      <c r="M3144" t="n">
        <v>35.8</v>
      </c>
      <c r="N3144" t="inlineStr">
        <is>
          <t>20250430800639</t>
        </is>
      </c>
      <c r="O3144">
        <f>HYPERLINK("https://dart.fss.or.kr/dsaf001/main.do?rcpNo=20250430800639", "공시열람")</f>
        <v/>
      </c>
    </row>
    <row r="3145">
      <c r="A3145" t="inlineStr">
        <is>
          <t>2025-04-30</t>
        </is>
      </c>
      <c r="B3145" t="inlineStr">
        <is>
          <t>엘앤에프</t>
        </is>
      </c>
      <c r="C3145" t="inlineStr">
        <is>
          <t>066970</t>
        </is>
      </c>
      <c r="D3145" t="inlineStr">
        <is>
          <t>연결</t>
        </is>
      </c>
      <c r="E3145" t="inlineStr">
        <is>
          <t>2025Q1</t>
        </is>
      </c>
      <c r="F3145" s="2" t="n">
        <v>364782</v>
      </c>
      <c r="G3145" t="n">
        <v>-0.2</v>
      </c>
      <c r="H3145" t="n">
        <v>-42.6</v>
      </c>
      <c r="I3145" s="2" t="n">
        <v>-140253</v>
      </c>
      <c r="J3145" t="n">
        <v>29.2</v>
      </c>
      <c r="K3145" t="n">
        <v>31.2</v>
      </c>
      <c r="L3145" s="2" t="n">
        <v>-111263</v>
      </c>
      <c r="M3145" t="n">
        <v>0.4</v>
      </c>
      <c r="N3145" t="inlineStr">
        <is>
          <t>20250430800635</t>
        </is>
      </c>
      <c r="O3145">
        <f>HYPERLINK("https://dart.fss.or.kr/dsaf001/main.do?rcpNo=20250430800635", "공시열람")</f>
        <v/>
      </c>
    </row>
    <row r="3146">
      <c r="A3146" t="inlineStr">
        <is>
          <t>2025-04-30</t>
        </is>
      </c>
      <c r="B3146" t="inlineStr">
        <is>
          <t>한국항공우주</t>
        </is>
      </c>
      <c r="C3146" t="inlineStr">
        <is>
          <t>047810</t>
        </is>
      </c>
      <c r="D3146" t="inlineStr">
        <is>
          <t>연결</t>
        </is>
      </c>
      <c r="E3146" t="inlineStr">
        <is>
          <t>2025Q1</t>
        </is>
      </c>
      <c r="F3146" s="2" t="n">
        <v>699300</v>
      </c>
      <c r="G3146" t="n">
        <v>-36.1</v>
      </c>
      <c r="H3146" t="n">
        <v>-5.5</v>
      </c>
      <c r="I3146" s="2" t="n">
        <v>46800</v>
      </c>
      <c r="J3146" t="n">
        <v>11.2</v>
      </c>
      <c r="K3146" t="n">
        <v>-2.5</v>
      </c>
      <c r="L3146" s="2" t="n">
        <v>29200</v>
      </c>
      <c r="M3146" t="n">
        <v>-17</v>
      </c>
      <c r="N3146" t="inlineStr">
        <is>
          <t>20250430800619</t>
        </is>
      </c>
      <c r="O3146">
        <f>HYPERLINK("https://dart.fss.or.kr/dsaf001/main.do?rcpNo=20250430800619", "공시열람")</f>
        <v/>
      </c>
    </row>
    <row r="3147">
      <c r="A3147" t="inlineStr">
        <is>
          <t>2025-04-30</t>
        </is>
      </c>
      <c r="B3147" t="inlineStr">
        <is>
          <t>현대글로비스</t>
        </is>
      </c>
      <c r="C3147" t="inlineStr">
        <is>
          <t>086280</t>
        </is>
      </c>
      <c r="D3147" t="inlineStr">
        <is>
          <t>연결</t>
        </is>
      </c>
      <c r="E3147" t="inlineStr">
        <is>
          <t>2025Q1</t>
        </is>
      </c>
      <c r="F3147" s="2" t="n">
        <v>7223390</v>
      </c>
      <c r="G3147" t="n">
        <v>-0.9</v>
      </c>
      <c r="H3147" t="n">
        <v>9.699999999999999</v>
      </c>
      <c r="I3147" s="2" t="n">
        <v>501884</v>
      </c>
      <c r="J3147" t="n">
        <v>9.199999999999999</v>
      </c>
      <c r="K3147" t="n">
        <v>30.4</v>
      </c>
      <c r="L3147" s="2" t="n">
        <v>398229</v>
      </c>
      <c r="M3147" t="n">
        <v>30.1</v>
      </c>
      <c r="N3147" t="inlineStr">
        <is>
          <t>20250430800160</t>
        </is>
      </c>
      <c r="O3147">
        <f>HYPERLINK("https://dart.fss.or.kr/dsaf001/main.do?rcpNo=20250430800160", "공시열람")</f>
        <v/>
      </c>
    </row>
    <row r="3148">
      <c r="A3148" t="inlineStr">
        <is>
          <t>2025-04-30</t>
        </is>
      </c>
      <c r="B3148" t="inlineStr">
        <is>
          <t>SKC</t>
        </is>
      </c>
      <c r="C3148" t="inlineStr">
        <is>
          <t>011790</t>
        </is>
      </c>
      <c r="D3148" t="inlineStr">
        <is>
          <t>연결</t>
        </is>
      </c>
      <c r="E3148" t="inlineStr">
        <is>
          <t>2025Q1</t>
        </is>
      </c>
      <c r="F3148" s="2" t="n">
        <v>438500</v>
      </c>
      <c r="G3148" t="inlineStr"/>
      <c r="H3148" t="inlineStr"/>
      <c r="I3148" s="2" t="n">
        <v>-74500</v>
      </c>
      <c r="J3148" t="inlineStr"/>
      <c r="K3148" t="inlineStr"/>
      <c r="L3148" s="2" t="n">
        <v>-117800</v>
      </c>
      <c r="M3148" t="inlineStr"/>
      <c r="N3148" t="inlineStr">
        <is>
          <t>20250430800197</t>
        </is>
      </c>
      <c r="O3148">
        <f>HYPERLINK("https://dart.fss.or.kr/dsaf001/main.do?rcpNo=20250430800197", "공시열람")</f>
        <v/>
      </c>
    </row>
    <row r="3149">
      <c r="A3149" t="inlineStr">
        <is>
          <t>2025-04-30</t>
        </is>
      </c>
      <c r="B3149" t="inlineStr">
        <is>
          <t>산일전기</t>
        </is>
      </c>
      <c r="C3149" t="inlineStr">
        <is>
          <t>062040</t>
        </is>
      </c>
      <c r="D3149" t="inlineStr">
        <is>
          <t>별도</t>
        </is>
      </c>
      <c r="E3149" t="inlineStr">
        <is>
          <t>2025Q1</t>
        </is>
      </c>
      <c r="F3149" s="2" t="n">
        <v>98829</v>
      </c>
      <c r="G3149" t="n">
        <v>-8.82</v>
      </c>
      <c r="H3149" t="n">
        <v>39.9</v>
      </c>
      <c r="I3149" s="2" t="n">
        <v>37521</v>
      </c>
      <c r="J3149" t="n">
        <v>11.37</v>
      </c>
      <c r="K3149" t="n">
        <v>61.37</v>
      </c>
      <c r="L3149" s="2" t="n">
        <v>31246</v>
      </c>
      <c r="M3149" t="n">
        <v>89.73999999999999</v>
      </c>
      <c r="N3149" t="inlineStr">
        <is>
          <t>20250430800106</t>
        </is>
      </c>
      <c r="O3149">
        <f>HYPERLINK("https://dart.fss.or.kr/dsaf001/main.do?rcpNo=20250430800106", "공시열람")</f>
        <v/>
      </c>
    </row>
    <row r="3150">
      <c r="A3150" t="inlineStr">
        <is>
          <t>2025-04-30</t>
        </is>
      </c>
      <c r="B3150" t="inlineStr">
        <is>
          <t>삼성전자</t>
        </is>
      </c>
      <c r="C3150" t="inlineStr">
        <is>
          <t>005930</t>
        </is>
      </c>
      <c r="D3150" t="inlineStr">
        <is>
          <t>연결</t>
        </is>
      </c>
      <c r="E3150" t="inlineStr">
        <is>
          <t>2025Q1</t>
        </is>
      </c>
      <c r="F3150" s="2" t="n">
        <v>79</v>
      </c>
      <c r="G3150" t="n">
        <v>4.42</v>
      </c>
      <c r="H3150" t="n">
        <v>10.05</v>
      </c>
      <c r="I3150" s="2" t="n">
        <v>7</v>
      </c>
      <c r="J3150" t="n">
        <v>2.97</v>
      </c>
      <c r="K3150" t="n">
        <v>1.2</v>
      </c>
      <c r="L3150" s="2" t="inlineStr"/>
      <c r="M3150" t="inlineStr"/>
      <c r="N3150" t="inlineStr">
        <is>
          <t>20250430800092</t>
        </is>
      </c>
      <c r="O3150">
        <f>HYPERLINK("https://dart.fss.or.kr/dsaf001/main.do?rcpNo=20250430800092", "공시열람")</f>
        <v/>
      </c>
    </row>
    <row r="3151">
      <c r="A3151" t="inlineStr">
        <is>
          <t>2025-04-30</t>
        </is>
      </c>
      <c r="B3151" t="inlineStr">
        <is>
          <t>GS건설</t>
        </is>
      </c>
      <c r="C3151" t="inlineStr">
        <is>
          <t>006360</t>
        </is>
      </c>
      <c r="D3151" t="inlineStr">
        <is>
          <t>연결</t>
        </is>
      </c>
      <c r="E3151" t="inlineStr">
        <is>
          <t>2025Q1</t>
        </is>
      </c>
      <c r="F3151" s="2" t="n">
        <v>3062935</v>
      </c>
      <c r="G3151" t="n">
        <v>-9.550000000000001</v>
      </c>
      <c r="H3151" t="n">
        <v>-0.26</v>
      </c>
      <c r="I3151" s="2" t="n">
        <v>70377</v>
      </c>
      <c r="J3151" t="n">
        <v>75.02</v>
      </c>
      <c r="K3151" t="n">
        <v>-0.2</v>
      </c>
      <c r="L3151" s="2" t="n">
        <v>12254</v>
      </c>
      <c r="M3151" t="n">
        <v>-91.20999999999999</v>
      </c>
      <c r="N3151" t="inlineStr">
        <is>
          <t>20250430800080</t>
        </is>
      </c>
      <c r="O3151">
        <f>HYPERLINK("https://dart.fss.or.kr/dsaf001/main.do?rcpNo=20250430800080", "공시열람")</f>
        <v/>
      </c>
    </row>
    <row r="3152">
      <c r="A3152" t="inlineStr">
        <is>
          <t>2025-04-30</t>
        </is>
      </c>
      <c r="B3152" t="inlineStr">
        <is>
          <t>LG에너지솔루션</t>
        </is>
      </c>
      <c r="C3152" t="inlineStr">
        <is>
          <t>373220</t>
        </is>
      </c>
      <c r="D3152" t="inlineStr">
        <is>
          <t>연결</t>
        </is>
      </c>
      <c r="E3152" t="inlineStr">
        <is>
          <t>2025Q1</t>
        </is>
      </c>
      <c r="F3152" s="2" t="n">
        <v>6265000</v>
      </c>
      <c r="G3152" t="n">
        <v>-2.9</v>
      </c>
      <c r="H3152" t="n">
        <v>2.2</v>
      </c>
      <c r="I3152" s="2" t="n">
        <v>374700</v>
      </c>
      <c r="J3152" t="inlineStr"/>
      <c r="K3152" t="n">
        <v>138.2</v>
      </c>
      <c r="L3152" s="2" t="n">
        <v>226600</v>
      </c>
      <c r="M3152" t="n">
        <v>6.8</v>
      </c>
      <c r="N3152" t="inlineStr">
        <is>
          <t>20250430800086</t>
        </is>
      </c>
      <c r="O3152">
        <f>HYPERLINK("https://dart.fss.or.kr/dsaf001/main.do?rcpNo=20250430800086", "공시열람")</f>
        <v/>
      </c>
    </row>
    <row r="3153">
      <c r="A3153" t="inlineStr">
        <is>
          <t>2025-04-30</t>
        </is>
      </c>
      <c r="B3153" t="inlineStr">
        <is>
          <t>삼성전자</t>
        </is>
      </c>
      <c r="C3153" t="inlineStr">
        <is>
          <t>005930</t>
        </is>
      </c>
      <c r="D3153" t="inlineStr">
        <is>
          <t>연결</t>
        </is>
      </c>
      <c r="E3153" t="inlineStr">
        <is>
          <t>2025Q1</t>
        </is>
      </c>
      <c r="F3153" s="2" t="n">
        <v>79140500</v>
      </c>
      <c r="G3153" t="n">
        <v>4.42</v>
      </c>
      <c r="H3153" t="n">
        <v>10.05</v>
      </c>
      <c r="I3153" s="2" t="n">
        <v>6685300</v>
      </c>
      <c r="J3153" t="n">
        <v>2.97</v>
      </c>
      <c r="K3153" t="n">
        <v>1.2</v>
      </c>
      <c r="L3153" s="2" t="n">
        <v>8222900</v>
      </c>
      <c r="M3153" t="n">
        <v>21.74</v>
      </c>
      <c r="N3153" t="inlineStr">
        <is>
          <t>20250430800069</t>
        </is>
      </c>
      <c r="O3153">
        <f>HYPERLINK("https://dart.fss.or.kr/dsaf001/main.do?rcpNo=20250430800069", "공시열람")</f>
        <v/>
      </c>
    </row>
    <row r="3154">
      <c r="A3154" t="inlineStr">
        <is>
          <t>2025-04-30</t>
        </is>
      </c>
      <c r="B3154" t="inlineStr">
        <is>
          <t>키움증권</t>
        </is>
      </c>
      <c r="C3154" t="inlineStr">
        <is>
          <t>039490</t>
        </is>
      </c>
      <c r="D3154" t="inlineStr">
        <is>
          <t>연결</t>
        </is>
      </c>
      <c r="E3154" t="inlineStr">
        <is>
          <t>2025Q1</t>
        </is>
      </c>
      <c r="F3154" s="2" t="n">
        <v>3659953</v>
      </c>
      <c r="G3154" t="n">
        <v>0.5</v>
      </c>
      <c r="H3154" t="n">
        <v>38.46</v>
      </c>
      <c r="I3154" s="2" t="n">
        <v>325456</v>
      </c>
      <c r="J3154" t="n">
        <v>80.56999999999999</v>
      </c>
      <c r="K3154" t="n">
        <v>-3.62</v>
      </c>
      <c r="L3154" s="2" t="n">
        <v>235600</v>
      </c>
      <c r="M3154" t="n">
        <v>-3.77</v>
      </c>
      <c r="N3154" t="inlineStr">
        <is>
          <t>20250430800017</t>
        </is>
      </c>
      <c r="O3154">
        <f>HYPERLINK("https://dart.fss.or.kr/dsaf001/main.do?rcpNo=20250430800017", "공시열람")</f>
        <v/>
      </c>
    </row>
    <row r="3155">
      <c r="A3155" t="inlineStr">
        <is>
          <t>2025-04-30</t>
        </is>
      </c>
      <c r="B3155" t="inlineStr">
        <is>
          <t>아모레퍼시픽홀딩스</t>
        </is>
      </c>
      <c r="C3155" t="inlineStr">
        <is>
          <t>002790</t>
        </is>
      </c>
      <c r="D3155" t="inlineStr">
        <is>
          <t>연결</t>
        </is>
      </c>
      <c r="E3155" t="inlineStr">
        <is>
          <t>2025Q1</t>
        </is>
      </c>
      <c r="F3155" s="2" t="n">
        <v>1164751</v>
      </c>
      <c r="G3155" t="n">
        <v>-1.2</v>
      </c>
      <c r="H3155" t="n">
        <v>15.7</v>
      </c>
      <c r="I3155" s="2" t="n">
        <v>128863</v>
      </c>
      <c r="J3155" t="n">
        <v>63.1</v>
      </c>
      <c r="K3155" t="n">
        <v>55.2</v>
      </c>
      <c r="L3155" s="2" t="n">
        <v>140008</v>
      </c>
      <c r="M3155" t="n">
        <v>43.2</v>
      </c>
      <c r="N3155" t="inlineStr">
        <is>
          <t>20250430800005</t>
        </is>
      </c>
      <c r="O3155">
        <f>HYPERLINK("https://dart.fss.or.kr/dsaf001/main.do?rcpNo=20250430800005", "공시열람")</f>
        <v/>
      </c>
    </row>
    <row r="3156">
      <c r="A3156" t="inlineStr">
        <is>
          <t>2025-04-30</t>
        </is>
      </c>
      <c r="B3156" t="inlineStr">
        <is>
          <t>아모레퍼시픽</t>
        </is>
      </c>
      <c r="C3156" t="inlineStr">
        <is>
          <t>090430</t>
        </is>
      </c>
      <c r="D3156" t="inlineStr">
        <is>
          <t>연결</t>
        </is>
      </c>
      <c r="E3156" t="inlineStr">
        <is>
          <t>2025Q1</t>
        </is>
      </c>
      <c r="F3156" s="2" t="n">
        <v>1067512</v>
      </c>
      <c r="G3156" t="n">
        <v>-2.2</v>
      </c>
      <c r="H3156" t="n">
        <v>17.1</v>
      </c>
      <c r="I3156" s="2" t="n">
        <v>117730</v>
      </c>
      <c r="J3156" t="n">
        <v>50</v>
      </c>
      <c r="K3156" t="n">
        <v>62</v>
      </c>
      <c r="L3156" s="2" t="n">
        <v>118953</v>
      </c>
      <c r="M3156" t="n">
        <v>48.5</v>
      </c>
      <c r="N3156" t="inlineStr">
        <is>
          <t>20250430800003</t>
        </is>
      </c>
      <c r="O3156">
        <f>HYPERLINK("https://dart.fss.or.kr/dsaf001/main.do?rcpNo=20250430800003", "공시열람")</f>
        <v/>
      </c>
    </row>
    <row r="3157">
      <c r="A3157" t="inlineStr">
        <is>
          <t>2025-04-30</t>
        </is>
      </c>
      <c r="B3157" t="inlineStr">
        <is>
          <t>팬오션</t>
        </is>
      </c>
      <c r="C3157" t="inlineStr">
        <is>
          <t>028670</t>
        </is>
      </c>
      <c r="D3157" t="inlineStr">
        <is>
          <t>연결</t>
        </is>
      </c>
      <c r="E3157" t="inlineStr">
        <is>
          <t>2025Q1</t>
        </is>
      </c>
      <c r="F3157" s="2" t="n">
        <v>1393400</v>
      </c>
      <c r="G3157" t="inlineStr"/>
      <c r="H3157" t="inlineStr"/>
      <c r="I3157" s="2" t="n">
        <v>113300</v>
      </c>
      <c r="J3157" t="inlineStr"/>
      <c r="K3157" t="inlineStr"/>
      <c r="L3157" s="2" t="n">
        <v>72000</v>
      </c>
      <c r="M3157" t="inlineStr"/>
      <c r="N3157" t="inlineStr">
        <is>
          <t>20250430800101</t>
        </is>
      </c>
      <c r="O3157">
        <f>HYPERLINK("https://dart.fss.or.kr/dsaf001/main.do?rcpNo=20250430800101", "공시열람")</f>
        <v/>
      </c>
    </row>
    <row r="3158">
      <c r="A3158" t="inlineStr">
        <is>
          <t>2025-04-29</t>
        </is>
      </c>
      <c r="B3158" t="inlineStr">
        <is>
          <t>RFHIC</t>
        </is>
      </c>
      <c r="C3158" t="inlineStr">
        <is>
          <t>218410</t>
        </is>
      </c>
      <c r="D3158" t="inlineStr">
        <is>
          <t>연결</t>
        </is>
      </c>
      <c r="E3158" t="inlineStr">
        <is>
          <t>2025Q1</t>
        </is>
      </c>
      <c r="F3158" s="2" t="n">
        <v>31874</v>
      </c>
      <c r="G3158" t="inlineStr"/>
      <c r="H3158" t="inlineStr"/>
      <c r="I3158" s="2" t="n">
        <v>3735</v>
      </c>
      <c r="J3158" t="inlineStr"/>
      <c r="K3158" t="inlineStr"/>
      <c r="L3158" s="2" t="n">
        <v>4325</v>
      </c>
      <c r="M3158" t="inlineStr"/>
      <c r="N3158" t="inlineStr">
        <is>
          <t>20250429900216</t>
        </is>
      </c>
      <c r="O3158">
        <f>HYPERLINK("https://dart.fss.or.kr/dsaf001/main.do?rcpNo=20250429900216", "공시열람")</f>
        <v/>
      </c>
    </row>
    <row r="3159">
      <c r="A3159" t="inlineStr">
        <is>
          <t>2025-04-29</t>
        </is>
      </c>
      <c r="B3159" t="inlineStr">
        <is>
          <t>에스티팜</t>
        </is>
      </c>
      <c r="C3159" t="inlineStr">
        <is>
          <t>237690</t>
        </is>
      </c>
      <c r="D3159" t="inlineStr">
        <is>
          <t>연결</t>
        </is>
      </c>
      <c r="E3159" t="inlineStr">
        <is>
          <t>2025Q1</t>
        </is>
      </c>
      <c r="F3159" s="2" t="n">
        <v>52420</v>
      </c>
      <c r="G3159" t="inlineStr"/>
      <c r="H3159" t="inlineStr"/>
      <c r="I3159" s="2" t="n">
        <v>1025</v>
      </c>
      <c r="J3159" t="inlineStr"/>
      <c r="K3159" t="inlineStr"/>
      <c r="L3159" s="2" t="n">
        <v>709</v>
      </c>
      <c r="M3159" t="inlineStr"/>
      <c r="N3159" t="inlineStr">
        <is>
          <t>20250429900334</t>
        </is>
      </c>
      <c r="O3159">
        <f>HYPERLINK("https://dart.fss.or.kr/dsaf001/main.do?rcpNo=20250429900334", "공시열람")</f>
        <v/>
      </c>
    </row>
    <row r="3160">
      <c r="A3160" t="inlineStr">
        <is>
          <t>2025-04-29</t>
        </is>
      </c>
      <c r="B3160" t="inlineStr">
        <is>
          <t>한국비엔씨</t>
        </is>
      </c>
      <c r="C3160" t="inlineStr">
        <is>
          <t>256840</t>
        </is>
      </c>
      <c r="D3160" t="inlineStr">
        <is>
          <t>연결</t>
        </is>
      </c>
      <c r="E3160" t="inlineStr">
        <is>
          <t>2025Q1</t>
        </is>
      </c>
      <c r="F3160" s="2" t="n">
        <v>25420</v>
      </c>
      <c r="G3160" t="inlineStr"/>
      <c r="H3160" t="inlineStr"/>
      <c r="I3160" s="2" t="n">
        <v>3795</v>
      </c>
      <c r="J3160" t="inlineStr"/>
      <c r="K3160" t="inlineStr"/>
      <c r="L3160" s="2" t="n">
        <v>5089</v>
      </c>
      <c r="M3160" t="inlineStr"/>
      <c r="N3160" t="inlineStr">
        <is>
          <t>20250429900314</t>
        </is>
      </c>
      <c r="O3160">
        <f>HYPERLINK("https://dart.fss.or.kr/dsaf001/main.do?rcpNo=20250429900314", "공시열람")</f>
        <v/>
      </c>
    </row>
    <row r="3161">
      <c r="A3161" t="inlineStr">
        <is>
          <t>2025-04-29</t>
        </is>
      </c>
      <c r="B3161" t="inlineStr">
        <is>
          <t>더블유씨피</t>
        </is>
      </c>
      <c r="C3161" t="inlineStr">
        <is>
          <t>393890</t>
        </is>
      </c>
      <c r="D3161" t="inlineStr">
        <is>
          <t>연결</t>
        </is>
      </c>
      <c r="E3161" t="inlineStr">
        <is>
          <t>2025Q1</t>
        </is>
      </c>
      <c r="F3161" s="2" t="n">
        <v>16309</v>
      </c>
      <c r="G3161" t="inlineStr"/>
      <c r="H3161" t="inlineStr"/>
      <c r="I3161" s="2" t="n">
        <v>-30433</v>
      </c>
      <c r="J3161" t="inlineStr"/>
      <c r="K3161" t="inlineStr"/>
      <c r="L3161" s="2" t="n">
        <v>-31276</v>
      </c>
      <c r="M3161" t="inlineStr"/>
      <c r="N3161" t="inlineStr">
        <is>
          <t>20250429900264</t>
        </is>
      </c>
      <c r="O3161">
        <f>HYPERLINK("https://dart.fss.or.kr/dsaf001/main.do?rcpNo=20250429900264", "공시열람")</f>
        <v/>
      </c>
    </row>
    <row r="3162">
      <c r="A3162" t="inlineStr">
        <is>
          <t>2025-04-29</t>
        </is>
      </c>
      <c r="B3162" t="inlineStr">
        <is>
          <t>현대건설</t>
        </is>
      </c>
      <c r="C3162" t="inlineStr">
        <is>
          <t>000720</t>
        </is>
      </c>
      <c r="D3162" t="inlineStr">
        <is>
          <t>연결</t>
        </is>
      </c>
      <c r="E3162" t="inlineStr">
        <is>
          <t>2025Q1</t>
        </is>
      </c>
      <c r="F3162" s="2" t="n">
        <v>7455579</v>
      </c>
      <c r="G3162" t="n">
        <v>2.9</v>
      </c>
      <c r="H3162" t="n">
        <v>-12.8</v>
      </c>
      <c r="I3162" s="2" t="n">
        <v>213696</v>
      </c>
      <c r="J3162" t="inlineStr"/>
      <c r="K3162" t="n">
        <v>-14.8</v>
      </c>
      <c r="L3162" s="2" t="n">
        <v>166742</v>
      </c>
      <c r="M3162" t="n">
        <v>-20</v>
      </c>
      <c r="N3162" t="inlineStr">
        <is>
          <t>20250429800262</t>
        </is>
      </c>
      <c r="O3162">
        <f>HYPERLINK("https://dart.fss.or.kr/dsaf001/main.do?rcpNo=20250429800262", "공시열람")</f>
        <v/>
      </c>
    </row>
    <row r="3163">
      <c r="A3163" t="inlineStr">
        <is>
          <t>2025-04-29</t>
        </is>
      </c>
      <c r="B3163" t="inlineStr">
        <is>
          <t>RF머트리얼즈</t>
        </is>
      </c>
      <c r="C3163" t="inlineStr">
        <is>
          <t>327260</t>
        </is>
      </c>
      <c r="D3163" t="inlineStr">
        <is>
          <t>연결</t>
        </is>
      </c>
      <c r="E3163" t="inlineStr">
        <is>
          <t>2025Q1</t>
        </is>
      </c>
      <c r="F3163" s="2" t="n">
        <v>11806</v>
      </c>
      <c r="G3163" t="inlineStr"/>
      <c r="H3163" t="inlineStr"/>
      <c r="I3163" s="2" t="n">
        <v>837</v>
      </c>
      <c r="J3163" t="inlineStr"/>
      <c r="K3163" t="inlineStr"/>
      <c r="L3163" s="2" t="n">
        <v>564</v>
      </c>
      <c r="M3163" t="inlineStr"/>
      <c r="N3163" t="inlineStr">
        <is>
          <t>20250429900240</t>
        </is>
      </c>
      <c r="O3163">
        <f>HYPERLINK("https://dart.fss.or.kr/dsaf001/main.do?rcpNo=20250429900240", "공시열람")</f>
        <v/>
      </c>
    </row>
    <row r="3164">
      <c r="A3164" t="inlineStr">
        <is>
          <t>2025-04-29</t>
        </is>
      </c>
      <c r="B3164" t="inlineStr">
        <is>
          <t>아이센스</t>
        </is>
      </c>
      <c r="C3164" t="inlineStr">
        <is>
          <t>099190</t>
        </is>
      </c>
      <c r="D3164" t="inlineStr">
        <is>
          <t>연결</t>
        </is>
      </c>
      <c r="E3164" t="inlineStr">
        <is>
          <t>2025Q1</t>
        </is>
      </c>
      <c r="F3164" s="2" t="n">
        <v>76269</v>
      </c>
      <c r="G3164" t="inlineStr"/>
      <c r="H3164" t="inlineStr"/>
      <c r="I3164" s="2" t="n">
        <v>3160</v>
      </c>
      <c r="J3164" t="inlineStr"/>
      <c r="K3164" t="inlineStr"/>
      <c r="L3164" s="2" t="n">
        <v>2135</v>
      </c>
      <c r="M3164" t="inlineStr"/>
      <c r="N3164" t="inlineStr">
        <is>
          <t>20250429900154</t>
        </is>
      </c>
      <c r="O3164">
        <f>HYPERLINK("https://dart.fss.or.kr/dsaf001/main.do?rcpNo=20250429900154", "공시열람")</f>
        <v/>
      </c>
    </row>
    <row r="3165">
      <c r="A3165" t="inlineStr">
        <is>
          <t>2025-04-29</t>
        </is>
      </c>
      <c r="B3165" t="inlineStr">
        <is>
          <t>쎄트렉아이</t>
        </is>
      </c>
      <c r="C3165" t="inlineStr">
        <is>
          <t>099320</t>
        </is>
      </c>
      <c r="D3165" t="inlineStr">
        <is>
          <t>연결</t>
        </is>
      </c>
      <c r="E3165" t="inlineStr">
        <is>
          <t>2025Q1</t>
        </is>
      </c>
      <c r="F3165" s="2" t="n">
        <v>40041</v>
      </c>
      <c r="G3165" t="inlineStr"/>
      <c r="H3165" t="inlineStr"/>
      <c r="I3165" s="2" t="n">
        <v>1742</v>
      </c>
      <c r="J3165" t="inlineStr"/>
      <c r="K3165" t="inlineStr"/>
      <c r="L3165" s="2" t="n">
        <v>1272</v>
      </c>
      <c r="M3165" t="inlineStr"/>
      <c r="N3165" t="inlineStr">
        <is>
          <t>20250429900190</t>
        </is>
      </c>
      <c r="O3165">
        <f>HYPERLINK("https://dart.fss.or.kr/dsaf001/main.do?rcpNo=20250429900190", "공시열람")</f>
        <v/>
      </c>
    </row>
    <row r="3166">
      <c r="A3166" t="inlineStr">
        <is>
          <t>2025-04-29</t>
        </is>
      </c>
      <c r="B3166" t="inlineStr">
        <is>
          <t>세아베스틸지주</t>
        </is>
      </c>
      <c r="C3166" t="inlineStr">
        <is>
          <t>001430</t>
        </is>
      </c>
      <c r="D3166" t="inlineStr">
        <is>
          <t>연결</t>
        </is>
      </c>
      <c r="E3166" t="inlineStr">
        <is>
          <t>2025Q1</t>
        </is>
      </c>
      <c r="F3166" s="2" t="n">
        <v>901670</v>
      </c>
      <c r="G3166" t="n">
        <v>8.699999999999999</v>
      </c>
      <c r="H3166" t="n">
        <v>-5.4</v>
      </c>
      <c r="I3166" s="2" t="n">
        <v>18085</v>
      </c>
      <c r="J3166" t="inlineStr"/>
      <c r="K3166" t="n">
        <v>-15</v>
      </c>
      <c r="L3166" s="2" t="n">
        <v>5288</v>
      </c>
      <c r="M3166" t="n">
        <v>-67.09999999999999</v>
      </c>
      <c r="N3166" t="inlineStr">
        <is>
          <t>20250429800205</t>
        </is>
      </c>
      <c r="O3166">
        <f>HYPERLINK("https://dart.fss.or.kr/dsaf001/main.do?rcpNo=20250429800205", "공시열람")</f>
        <v/>
      </c>
    </row>
    <row r="3167">
      <c r="A3167" t="inlineStr">
        <is>
          <t>2025-04-29</t>
        </is>
      </c>
      <c r="B3167" t="inlineStr">
        <is>
          <t>아가방컴퍼니</t>
        </is>
      </c>
      <c r="C3167" t="inlineStr">
        <is>
          <t>013990</t>
        </is>
      </c>
      <c r="D3167" t="inlineStr">
        <is>
          <t>연결</t>
        </is>
      </c>
      <c r="E3167" t="inlineStr">
        <is>
          <t>2025Q1</t>
        </is>
      </c>
      <c r="F3167" s="2" t="n">
        <v>44371</v>
      </c>
      <c r="G3167" t="inlineStr"/>
      <c r="H3167" t="inlineStr"/>
      <c r="I3167" s="2" t="n">
        <v>1355</v>
      </c>
      <c r="J3167" t="inlineStr"/>
      <c r="K3167" t="inlineStr"/>
      <c r="L3167" s="2" t="n">
        <v>863</v>
      </c>
      <c r="M3167" t="inlineStr"/>
      <c r="N3167" t="inlineStr">
        <is>
          <t>20250429900171</t>
        </is>
      </c>
      <c r="O3167">
        <f>HYPERLINK("https://dart.fss.or.kr/dsaf001/main.do?rcpNo=20250429900171", "공시열람")</f>
        <v/>
      </c>
    </row>
    <row r="3168">
      <c r="A3168" t="inlineStr">
        <is>
          <t>2025-04-29</t>
        </is>
      </c>
      <c r="B3168" t="inlineStr">
        <is>
          <t>HD현대</t>
        </is>
      </c>
      <c r="C3168" t="inlineStr">
        <is>
          <t>267250</t>
        </is>
      </c>
      <c r="D3168" t="inlineStr">
        <is>
          <t>별도</t>
        </is>
      </c>
      <c r="E3168" t="inlineStr">
        <is>
          <t>2025Q1</t>
        </is>
      </c>
      <c r="F3168" s="2" t="n">
        <v>6675700</v>
      </c>
      <c r="G3168" t="inlineStr"/>
      <c r="H3168" t="inlineStr"/>
      <c r="I3168" s="2" t="n">
        <v>38500</v>
      </c>
      <c r="J3168" t="inlineStr"/>
      <c r="K3168" t="inlineStr"/>
      <c r="L3168" s="2" t="n">
        <v>74000</v>
      </c>
      <c r="M3168" t="inlineStr"/>
      <c r="N3168" t="inlineStr">
        <is>
          <t>20250429800417</t>
        </is>
      </c>
      <c r="O3168">
        <f>HYPERLINK("https://dart.fss.or.kr/dsaf001/main.do?rcpNo=20250429800417", "공시열람")</f>
        <v/>
      </c>
    </row>
    <row r="3169">
      <c r="A3169" t="inlineStr">
        <is>
          <t>2025-04-29</t>
        </is>
      </c>
      <c r="B3169" t="inlineStr">
        <is>
          <t>동아에스티</t>
        </is>
      </c>
      <c r="C3169" t="inlineStr">
        <is>
          <t>170900</t>
        </is>
      </c>
      <c r="D3169" t="inlineStr">
        <is>
          <t>별도</t>
        </is>
      </c>
      <c r="E3169" t="inlineStr">
        <is>
          <t>2025Q1</t>
        </is>
      </c>
      <c r="F3169" s="2" t="n">
        <v>168991</v>
      </c>
      <c r="G3169" t="n">
        <v>3.4</v>
      </c>
      <c r="H3169" t="n">
        <v>20.7</v>
      </c>
      <c r="I3169" s="2" t="n">
        <v>7008</v>
      </c>
      <c r="J3169" t="n">
        <v>45</v>
      </c>
      <c r="K3169" t="n">
        <v>853.8</v>
      </c>
      <c r="L3169" s="2" t="n">
        <v>4925</v>
      </c>
      <c r="M3169" t="n">
        <v>188</v>
      </c>
      <c r="N3169" t="inlineStr">
        <is>
          <t>20250429800148</t>
        </is>
      </c>
      <c r="O3169">
        <f>HYPERLINK("https://dart.fss.or.kr/dsaf001/main.do?rcpNo=20250429800148", "공시열람")</f>
        <v/>
      </c>
    </row>
    <row r="3170">
      <c r="A3170" t="inlineStr">
        <is>
          <t>2025-04-29</t>
        </is>
      </c>
      <c r="B3170" t="inlineStr">
        <is>
          <t>동아쏘시오홀딩스</t>
        </is>
      </c>
      <c r="C3170" t="inlineStr">
        <is>
          <t>000640</t>
        </is>
      </c>
      <c r="D3170" t="inlineStr">
        <is>
          <t>연결</t>
        </is>
      </c>
      <c r="E3170" t="inlineStr">
        <is>
          <t>2025Q1</t>
        </is>
      </c>
      <c r="F3170" s="2" t="n">
        <v>328401</v>
      </c>
      <c r="G3170" t="n">
        <v>-5.34</v>
      </c>
      <c r="H3170" t="n">
        <v>7.7</v>
      </c>
      <c r="I3170" s="2" t="n">
        <v>20350</v>
      </c>
      <c r="J3170" t="n">
        <v>-6.18</v>
      </c>
      <c r="K3170" t="n">
        <v>30.88</v>
      </c>
      <c r="L3170" s="2" t="inlineStr"/>
      <c r="M3170" t="inlineStr"/>
      <c r="N3170" t="inlineStr">
        <is>
          <t>20250429800146</t>
        </is>
      </c>
      <c r="O3170">
        <f>HYPERLINK("https://dart.fss.or.kr/dsaf001/main.do?rcpNo=20250429800146", "공시열람")</f>
        <v/>
      </c>
    </row>
    <row r="3171">
      <c r="A3171" t="inlineStr">
        <is>
          <t>2025-04-29</t>
        </is>
      </c>
      <c r="B3171" t="inlineStr">
        <is>
          <t>HD현대</t>
        </is>
      </c>
      <c r="C3171" t="inlineStr">
        <is>
          <t>267250</t>
        </is>
      </c>
      <c r="D3171" t="inlineStr">
        <is>
          <t>연결</t>
        </is>
      </c>
      <c r="E3171" t="inlineStr">
        <is>
          <t>2025Q1</t>
        </is>
      </c>
      <c r="F3171" s="2" t="n">
        <v>7124700</v>
      </c>
      <c r="G3171" t="n">
        <v>-0.4</v>
      </c>
      <c r="H3171" t="n">
        <v>-9.6</v>
      </c>
      <c r="I3171" s="2" t="n">
        <v>31100</v>
      </c>
      <c r="J3171" t="n">
        <v>-78.90000000000001</v>
      </c>
      <c r="K3171" t="n">
        <v>-89.8</v>
      </c>
      <c r="L3171" s="2" t="n">
        <v>-48100</v>
      </c>
      <c r="M3171" t="inlineStr"/>
      <c r="N3171" t="inlineStr">
        <is>
          <t>20250429800413</t>
        </is>
      </c>
      <c r="O3171">
        <f>HYPERLINK("https://dart.fss.or.kr/dsaf001/main.do?rcpNo=20250429800413", "공시열람")</f>
        <v/>
      </c>
    </row>
    <row r="3172">
      <c r="A3172" t="inlineStr">
        <is>
          <t>2025-04-29</t>
        </is>
      </c>
      <c r="B3172" t="inlineStr">
        <is>
          <t>F&amp;F</t>
        </is>
      </c>
      <c r="C3172" t="inlineStr">
        <is>
          <t>383220</t>
        </is>
      </c>
      <c r="D3172" t="inlineStr">
        <is>
          <t>연결</t>
        </is>
      </c>
      <c r="E3172" t="inlineStr">
        <is>
          <t>2025Q1</t>
        </is>
      </c>
      <c r="F3172" s="2" t="n">
        <v>505616</v>
      </c>
      <c r="G3172" t="n">
        <v>-7.5</v>
      </c>
      <c r="H3172" t="n">
        <v>-0.3</v>
      </c>
      <c r="I3172" s="2" t="n">
        <v>123616</v>
      </c>
      <c r="J3172" t="n">
        <v>2.7</v>
      </c>
      <c r="K3172" t="n">
        <v>-5.1</v>
      </c>
      <c r="L3172" s="2" t="n">
        <v>83024</v>
      </c>
      <c r="M3172" t="n">
        <v>-13.8</v>
      </c>
      <c r="N3172" t="inlineStr">
        <is>
          <t>20250429800552</t>
        </is>
      </c>
      <c r="O3172">
        <f>HYPERLINK("https://dart.fss.or.kr/dsaf001/main.do?rcpNo=20250429800552", "공시열람")</f>
        <v/>
      </c>
    </row>
    <row r="3173">
      <c r="A3173" t="inlineStr">
        <is>
          <t>2025-04-29</t>
        </is>
      </c>
      <c r="B3173" t="inlineStr">
        <is>
          <t>애경산업</t>
        </is>
      </c>
      <c r="C3173" t="inlineStr">
        <is>
          <t>018250</t>
        </is>
      </c>
      <c r="D3173" t="inlineStr">
        <is>
          <t>연결</t>
        </is>
      </c>
      <c r="E3173" t="inlineStr">
        <is>
          <t>2025Q1</t>
        </is>
      </c>
      <c r="F3173" s="2" t="n">
        <v>151078</v>
      </c>
      <c r="G3173" t="inlineStr"/>
      <c r="H3173" t="inlineStr"/>
      <c r="I3173" s="2" t="n">
        <v>6044</v>
      </c>
      <c r="J3173" t="inlineStr"/>
      <c r="K3173" t="inlineStr"/>
      <c r="L3173" s="2" t="n">
        <v>5031</v>
      </c>
      <c r="M3173" t="inlineStr"/>
      <c r="N3173" t="inlineStr">
        <is>
          <t>20250429800499</t>
        </is>
      </c>
      <c r="O3173">
        <f>HYPERLINK("https://dart.fss.or.kr/dsaf001/main.do?rcpNo=20250429800499", "공시열람")</f>
        <v/>
      </c>
    </row>
    <row r="3174">
      <c r="A3174" t="inlineStr">
        <is>
          <t>2025-04-29</t>
        </is>
      </c>
      <c r="B3174" t="inlineStr">
        <is>
          <t>강원랜드</t>
        </is>
      </c>
      <c r="C3174" t="inlineStr">
        <is>
          <t>035250</t>
        </is>
      </c>
      <c r="D3174" t="inlineStr">
        <is>
          <t>별도</t>
        </is>
      </c>
      <c r="E3174" t="inlineStr">
        <is>
          <t>2025Q1</t>
        </is>
      </c>
      <c r="F3174" s="2" t="n">
        <v>365830</v>
      </c>
      <c r="G3174" t="n">
        <v>6.2</v>
      </c>
      <c r="H3174" t="n">
        <v>-0.6</v>
      </c>
      <c r="I3174" s="2" t="n">
        <v>77659</v>
      </c>
      <c r="J3174" t="n">
        <v>75.40000000000001</v>
      </c>
      <c r="K3174" t="n">
        <v>2.5</v>
      </c>
      <c r="L3174" s="2" t="n">
        <v>78021</v>
      </c>
      <c r="M3174" t="n">
        <v>-16.9</v>
      </c>
      <c r="N3174" t="inlineStr">
        <is>
          <t>20250429800491</t>
        </is>
      </c>
      <c r="O3174">
        <f>HYPERLINK("https://dart.fss.or.kr/dsaf001/main.do?rcpNo=20250429800491", "공시열람")</f>
        <v/>
      </c>
    </row>
    <row r="3175">
      <c r="A3175" t="inlineStr">
        <is>
          <t>2025-04-29</t>
        </is>
      </c>
      <c r="B3175" t="inlineStr">
        <is>
          <t>크래프톤</t>
        </is>
      </c>
      <c r="C3175" t="inlineStr">
        <is>
          <t>259960</t>
        </is>
      </c>
      <c r="D3175" t="inlineStr">
        <is>
          <t>연결</t>
        </is>
      </c>
      <c r="E3175" t="inlineStr">
        <is>
          <t>2025Q1</t>
        </is>
      </c>
      <c r="F3175" s="2" t="n">
        <v>874200</v>
      </c>
      <c r="G3175" t="n">
        <v>41.6</v>
      </c>
      <c r="H3175" t="n">
        <v>31.3</v>
      </c>
      <c r="I3175" s="2" t="n">
        <v>457300</v>
      </c>
      <c r="J3175" t="n">
        <v>112.2</v>
      </c>
      <c r="K3175" t="n">
        <v>47.3</v>
      </c>
      <c r="L3175" s="2" t="n">
        <v>371500</v>
      </c>
      <c r="M3175" t="n">
        <v>6.6</v>
      </c>
      <c r="N3175" t="inlineStr">
        <is>
          <t>20250429800508</t>
        </is>
      </c>
      <c r="O3175">
        <f>HYPERLINK("https://dart.fss.or.kr/dsaf001/main.do?rcpNo=20250429800508", "공시열람")</f>
        <v/>
      </c>
    </row>
    <row r="3176">
      <c r="A3176" t="inlineStr">
        <is>
          <t>2025-04-29</t>
        </is>
      </c>
      <c r="B3176" t="inlineStr">
        <is>
          <t>삼성전기</t>
        </is>
      </c>
      <c r="C3176" t="inlineStr">
        <is>
          <t>009150</t>
        </is>
      </c>
      <c r="D3176" t="inlineStr">
        <is>
          <t>연결</t>
        </is>
      </c>
      <c r="E3176" t="inlineStr">
        <is>
          <t>2025Q1</t>
        </is>
      </c>
      <c r="F3176" s="2" t="n">
        <v>2738649</v>
      </c>
      <c r="G3176" t="inlineStr"/>
      <c r="H3176" t="inlineStr"/>
      <c r="I3176" s="2" t="n">
        <v>200550</v>
      </c>
      <c r="J3176" t="inlineStr"/>
      <c r="K3176" t="inlineStr"/>
      <c r="L3176" s="2" t="n">
        <v>141602</v>
      </c>
      <c r="M3176" t="inlineStr"/>
      <c r="N3176" t="inlineStr">
        <is>
          <t>20250429800117</t>
        </is>
      </c>
      <c r="O3176">
        <f>HYPERLINK("https://dart.fss.or.kr/dsaf001/main.do?rcpNo=20250429800117", "공시열람")</f>
        <v/>
      </c>
    </row>
    <row r="3177">
      <c r="A3177" t="inlineStr">
        <is>
          <t>2025-04-29</t>
        </is>
      </c>
      <c r="B3177" t="inlineStr">
        <is>
          <t>보령</t>
        </is>
      </c>
      <c r="C3177" t="inlineStr">
        <is>
          <t>003850</t>
        </is>
      </c>
      <c r="D3177" t="inlineStr">
        <is>
          <t>연결</t>
        </is>
      </c>
      <c r="E3177" t="inlineStr">
        <is>
          <t>2025Q1</t>
        </is>
      </c>
      <c r="F3177" s="2" t="n">
        <v>240550</v>
      </c>
      <c r="G3177" t="n">
        <v>-6.37</v>
      </c>
      <c r="H3177" t="n">
        <v>2.97</v>
      </c>
      <c r="I3177" s="2" t="n">
        <v>10913</v>
      </c>
      <c r="J3177" t="n">
        <v>-24.99</v>
      </c>
      <c r="K3177" t="n">
        <v>-33.24</v>
      </c>
      <c r="L3177" s="2" t="n">
        <v>349</v>
      </c>
      <c r="M3177" t="n">
        <v>-98.51000000000001</v>
      </c>
      <c r="N3177" t="inlineStr">
        <is>
          <t>20250429800541</t>
        </is>
      </c>
      <c r="O3177">
        <f>HYPERLINK("https://dart.fss.or.kr/dsaf001/main.do?rcpNo=20250429800541", "공시열람")</f>
        <v/>
      </c>
    </row>
    <row r="3178">
      <c r="A3178" t="inlineStr">
        <is>
          <t>2025-04-29</t>
        </is>
      </c>
      <c r="B3178" t="inlineStr">
        <is>
          <t>엘컴텍</t>
        </is>
      </c>
      <c r="C3178" t="inlineStr">
        <is>
          <t>037950</t>
        </is>
      </c>
      <c r="D3178" t="inlineStr">
        <is>
          <t>연결</t>
        </is>
      </c>
      <c r="E3178" t="inlineStr">
        <is>
          <t>2025Q1</t>
        </is>
      </c>
      <c r="F3178" s="2" t="n">
        <v>9780</v>
      </c>
      <c r="G3178" t="inlineStr"/>
      <c r="H3178" t="inlineStr"/>
      <c r="I3178" s="2" t="n">
        <v>633</v>
      </c>
      <c r="J3178" t="inlineStr"/>
      <c r="K3178" t="inlineStr"/>
      <c r="L3178" s="2" t="n">
        <v>613</v>
      </c>
      <c r="M3178" t="inlineStr"/>
      <c r="N3178" t="inlineStr">
        <is>
          <t>20250429900591</t>
        </is>
      </c>
      <c r="O3178">
        <f>HYPERLINK("https://dart.fss.or.kr/dsaf001/main.do?rcpNo=20250429900591", "공시열람")</f>
        <v/>
      </c>
    </row>
    <row r="3179">
      <c r="A3179" t="inlineStr">
        <is>
          <t>2025-04-29</t>
        </is>
      </c>
      <c r="B3179" t="inlineStr">
        <is>
          <t>한미약품</t>
        </is>
      </c>
      <c r="C3179" t="inlineStr">
        <is>
          <t>128940</t>
        </is>
      </c>
      <c r="D3179" t="inlineStr">
        <is>
          <t>연결</t>
        </is>
      </c>
      <c r="E3179" t="inlineStr">
        <is>
          <t>2025Q1</t>
        </is>
      </c>
      <c r="F3179" s="2" t="n">
        <v>390948</v>
      </c>
      <c r="G3179" t="inlineStr"/>
      <c r="H3179" t="inlineStr"/>
      <c r="I3179" s="2" t="n">
        <v>59020</v>
      </c>
      <c r="J3179" t="inlineStr"/>
      <c r="K3179" t="inlineStr"/>
      <c r="L3179" s="2" t="n">
        <v>44652</v>
      </c>
      <c r="M3179" t="inlineStr"/>
      <c r="N3179" t="inlineStr">
        <is>
          <t>20250429800608</t>
        </is>
      </c>
      <c r="O3179">
        <f>HYPERLINK("https://dart.fss.or.kr/dsaf001/main.do?rcpNo=20250429800608", "공시열람")</f>
        <v/>
      </c>
    </row>
    <row r="3180">
      <c r="A3180" t="inlineStr">
        <is>
          <t>2025-04-29</t>
        </is>
      </c>
      <c r="B3180" t="inlineStr">
        <is>
          <t>슈프리마</t>
        </is>
      </c>
      <c r="C3180" t="inlineStr">
        <is>
          <t>236200</t>
        </is>
      </c>
      <c r="D3180" t="inlineStr">
        <is>
          <t>연결</t>
        </is>
      </c>
      <c r="E3180" t="inlineStr">
        <is>
          <t>2025Q1</t>
        </is>
      </c>
      <c r="F3180" s="2" t="n">
        <v>28799</v>
      </c>
      <c r="G3180" t="inlineStr"/>
      <c r="H3180" t="inlineStr"/>
      <c r="I3180" s="2" t="n">
        <v>5688</v>
      </c>
      <c r="J3180" t="inlineStr"/>
      <c r="K3180" t="inlineStr"/>
      <c r="L3180" s="2" t="n">
        <v>8086</v>
      </c>
      <c r="M3180" t="inlineStr"/>
      <c r="N3180" t="inlineStr">
        <is>
          <t>20250429900637</t>
        </is>
      </c>
      <c r="O3180">
        <f>HYPERLINK("https://dart.fss.or.kr/dsaf001/main.do?rcpNo=20250429900637", "공시열람")</f>
        <v/>
      </c>
    </row>
    <row r="3181">
      <c r="A3181" t="inlineStr">
        <is>
          <t>2025-04-29</t>
        </is>
      </c>
      <c r="B3181" t="inlineStr">
        <is>
          <t>제이브이엠</t>
        </is>
      </c>
      <c r="C3181" t="inlineStr">
        <is>
          <t>054950</t>
        </is>
      </c>
      <c r="D3181" t="inlineStr">
        <is>
          <t>연결</t>
        </is>
      </c>
      <c r="E3181" t="inlineStr">
        <is>
          <t>2025Q1</t>
        </is>
      </c>
      <c r="F3181" s="2" t="n">
        <v>42819</v>
      </c>
      <c r="G3181" t="inlineStr"/>
      <c r="H3181" t="inlineStr"/>
      <c r="I3181" s="2" t="n">
        <v>8865</v>
      </c>
      <c r="J3181" t="inlineStr"/>
      <c r="K3181" t="inlineStr"/>
      <c r="L3181" s="2" t="n">
        <v>7777</v>
      </c>
      <c r="M3181" t="inlineStr"/>
      <c r="N3181" t="inlineStr">
        <is>
          <t>20250429900703</t>
        </is>
      </c>
      <c r="O3181">
        <f>HYPERLINK("https://dart.fss.or.kr/dsaf001/main.do?rcpNo=20250429900703", "공시열람")</f>
        <v/>
      </c>
    </row>
    <row r="3182">
      <c r="A3182" t="inlineStr">
        <is>
          <t>2025-04-29</t>
        </is>
      </c>
      <c r="B3182" t="inlineStr">
        <is>
          <t>대덕전자</t>
        </is>
      </c>
      <c r="C3182" t="inlineStr">
        <is>
          <t>353200</t>
        </is>
      </c>
      <c r="D3182" t="inlineStr">
        <is>
          <t>연결</t>
        </is>
      </c>
      <c r="E3182" t="inlineStr">
        <is>
          <t>2025Q1</t>
        </is>
      </c>
      <c r="F3182" s="2" t="n">
        <v>215376</v>
      </c>
      <c r="G3182" t="n">
        <v>4.3</v>
      </c>
      <c r="H3182" t="n">
        <v>0.3</v>
      </c>
      <c r="I3182" s="2" t="n">
        <v>-6202</v>
      </c>
      <c r="J3182" t="n">
        <v>-3.8</v>
      </c>
      <c r="K3182" t="n">
        <v>-114.9</v>
      </c>
      <c r="L3182" s="2" t="n">
        <v>-5701</v>
      </c>
      <c r="M3182" t="inlineStr"/>
      <c r="N3182" t="inlineStr">
        <is>
          <t>20250429800710</t>
        </is>
      </c>
      <c r="O3182">
        <f>HYPERLINK("https://dart.fss.or.kr/dsaf001/main.do?rcpNo=20250429800710", "공시열람")</f>
        <v/>
      </c>
    </row>
    <row r="3183">
      <c r="A3183" t="inlineStr">
        <is>
          <t>2025-04-29</t>
        </is>
      </c>
      <c r="B3183" t="inlineStr">
        <is>
          <t>유나이티드</t>
        </is>
      </c>
      <c r="C3183" t="inlineStr">
        <is>
          <t>033270</t>
        </is>
      </c>
      <c r="D3183" t="inlineStr">
        <is>
          <t>별도</t>
        </is>
      </c>
      <c r="E3183" t="inlineStr">
        <is>
          <t>2025Q1</t>
        </is>
      </c>
      <c r="F3183" s="2" t="n">
        <v>71348</v>
      </c>
      <c r="G3183" t="n">
        <v>-2.5</v>
      </c>
      <c r="H3183" t="n">
        <v>-2.5</v>
      </c>
      <c r="I3183" s="2" t="n">
        <v>13776</v>
      </c>
      <c r="J3183" t="n">
        <v>16.4</v>
      </c>
      <c r="K3183" t="n">
        <v>-18.3</v>
      </c>
      <c r="L3183" s="2" t="n">
        <v>12656</v>
      </c>
      <c r="M3183" t="n">
        <v>-34</v>
      </c>
      <c r="N3183" t="inlineStr">
        <is>
          <t>20250429800722</t>
        </is>
      </c>
      <c r="O3183">
        <f>HYPERLINK("https://dart.fss.or.kr/dsaf001/main.do?rcpNo=20250429800722", "공시열람")</f>
        <v/>
      </c>
    </row>
    <row r="3184">
      <c r="A3184" t="inlineStr">
        <is>
          <t>2025-04-29</t>
        </is>
      </c>
      <c r="B3184" t="inlineStr">
        <is>
          <t>현대코퍼레이션</t>
        </is>
      </c>
      <c r="C3184" t="inlineStr">
        <is>
          <t>011760</t>
        </is>
      </c>
      <c r="D3184" t="inlineStr">
        <is>
          <t>연결</t>
        </is>
      </c>
      <c r="E3184" t="inlineStr">
        <is>
          <t>2025Q1</t>
        </is>
      </c>
      <c r="F3184" s="2" t="n">
        <v>1856857</v>
      </c>
      <c r="G3184" t="n">
        <v>0.5600000000000001</v>
      </c>
      <c r="H3184" t="n">
        <v>15.1</v>
      </c>
      <c r="I3184" s="2" t="n">
        <v>36884</v>
      </c>
      <c r="J3184" t="n">
        <v>16.08</v>
      </c>
      <c r="K3184" t="n">
        <v>31.5</v>
      </c>
      <c r="L3184" s="2" t="n">
        <v>23758</v>
      </c>
      <c r="M3184" t="n">
        <v>-31.5</v>
      </c>
      <c r="N3184" t="inlineStr">
        <is>
          <t>20250429800708</t>
        </is>
      </c>
      <c r="O3184">
        <f>HYPERLINK("https://dart.fss.or.kr/dsaf001/main.do?rcpNo=20250429800708", "공시열람")</f>
        <v/>
      </c>
    </row>
    <row r="3185">
      <c r="A3185" t="inlineStr">
        <is>
          <t>2025-04-29</t>
        </is>
      </c>
      <c r="B3185" t="inlineStr">
        <is>
          <t>HS효성첨단소재</t>
        </is>
      </c>
      <c r="C3185" t="inlineStr">
        <is>
          <t>298050</t>
        </is>
      </c>
      <c r="D3185" t="inlineStr">
        <is>
          <t>연결</t>
        </is>
      </c>
      <c r="E3185" t="inlineStr">
        <is>
          <t>2025Q1</t>
        </is>
      </c>
      <c r="F3185" s="2" t="n">
        <v>853558</v>
      </c>
      <c r="G3185" t="n">
        <v>6.1</v>
      </c>
      <c r="H3185" t="n">
        <v>2</v>
      </c>
      <c r="I3185" s="2" t="n">
        <v>49110</v>
      </c>
      <c r="J3185" t="n">
        <v>9.83</v>
      </c>
      <c r="K3185" t="n">
        <v>-23.39</v>
      </c>
      <c r="L3185" s="2" t="n">
        <v>10066</v>
      </c>
      <c r="M3185" t="n">
        <v>-61.66</v>
      </c>
      <c r="N3185" t="inlineStr">
        <is>
          <t>20250429800844</t>
        </is>
      </c>
      <c r="O3185">
        <f>HYPERLINK("https://dart.fss.or.kr/dsaf001/main.do?rcpNo=20250429800844", "공시열람")</f>
        <v/>
      </c>
    </row>
    <row r="3186">
      <c r="A3186" t="inlineStr">
        <is>
          <t>2025-04-29</t>
        </is>
      </c>
      <c r="B3186" t="inlineStr">
        <is>
          <t>HD현대</t>
        </is>
      </c>
      <c r="C3186" t="inlineStr">
        <is>
          <t>267250</t>
        </is>
      </c>
      <c r="D3186" t="inlineStr">
        <is>
          <t>연결</t>
        </is>
      </c>
      <c r="E3186" t="inlineStr">
        <is>
          <t>2025Q1</t>
        </is>
      </c>
      <c r="F3186" s="2" t="n">
        <v>17086900</v>
      </c>
      <c r="G3186" t="n">
        <v>-0.1</v>
      </c>
      <c r="H3186" t="n">
        <v>3.5</v>
      </c>
      <c r="I3186" s="2" t="n">
        <v>1286400</v>
      </c>
      <c r="J3186" t="n">
        <v>46.5</v>
      </c>
      <c r="K3186" t="n">
        <v>62.1</v>
      </c>
      <c r="L3186" s="2" t="n">
        <v>777400</v>
      </c>
      <c r="M3186" t="n">
        <v>52.9</v>
      </c>
      <c r="N3186" t="inlineStr">
        <is>
          <t>20250429800420</t>
        </is>
      </c>
      <c r="O3186">
        <f>HYPERLINK("https://dart.fss.or.kr/dsaf001/main.do?rcpNo=20250429800420", "공시열람")</f>
        <v/>
      </c>
    </row>
    <row r="3187">
      <c r="A3187" t="inlineStr">
        <is>
          <t>2025-04-29</t>
        </is>
      </c>
      <c r="B3187" t="inlineStr">
        <is>
          <t>에코프로비엠</t>
        </is>
      </c>
      <c r="C3187" t="inlineStr">
        <is>
          <t>247540</t>
        </is>
      </c>
      <c r="D3187" t="inlineStr">
        <is>
          <t>연결</t>
        </is>
      </c>
      <c r="E3187" t="inlineStr">
        <is>
          <t>2025Q1</t>
        </is>
      </c>
      <c r="F3187" s="2" t="n">
        <v>629789</v>
      </c>
      <c r="G3187" t="inlineStr"/>
      <c r="H3187" t="inlineStr"/>
      <c r="I3187" s="2" t="n">
        <v>2270</v>
      </c>
      <c r="J3187" t="inlineStr"/>
      <c r="K3187" t="inlineStr"/>
      <c r="L3187" s="2" t="n">
        <v>-9969</v>
      </c>
      <c r="M3187" t="inlineStr"/>
      <c r="N3187" t="inlineStr">
        <is>
          <t>20250429900114</t>
        </is>
      </c>
      <c r="O3187">
        <f>HYPERLINK("https://dart.fss.or.kr/dsaf001/main.do?rcpNo=20250429900114", "공시열람")</f>
        <v/>
      </c>
    </row>
    <row r="3188">
      <c r="A3188" t="inlineStr">
        <is>
          <t>2025-04-29</t>
        </is>
      </c>
      <c r="B3188" t="inlineStr">
        <is>
          <t>롯데정밀화학</t>
        </is>
      </c>
      <c r="C3188" t="inlineStr">
        <is>
          <t>004000</t>
        </is>
      </c>
      <c r="D3188" t="inlineStr">
        <is>
          <t>연결</t>
        </is>
      </c>
      <c r="E3188" t="inlineStr">
        <is>
          <t>2025Q1</t>
        </is>
      </c>
      <c r="F3188" s="2" t="n">
        <v>445600</v>
      </c>
      <c r="G3188" t="n">
        <v>4</v>
      </c>
      <c r="H3188" t="n">
        <v>11.6</v>
      </c>
      <c r="I3188" s="2" t="n">
        <v>18800</v>
      </c>
      <c r="J3188" t="n">
        <v>54.1</v>
      </c>
      <c r="K3188" t="n">
        <v>74.09999999999999</v>
      </c>
      <c r="L3188" s="2" t="n">
        <v>28400</v>
      </c>
      <c r="M3188" t="n">
        <v>-65.90000000000001</v>
      </c>
      <c r="N3188" t="inlineStr">
        <is>
          <t>20250429800303</t>
        </is>
      </c>
      <c r="O3188">
        <f>HYPERLINK("https://dart.fss.or.kr/dsaf001/main.do?rcpNo=20250429800303", "공시열람")</f>
        <v/>
      </c>
    </row>
    <row r="3189">
      <c r="A3189" t="inlineStr">
        <is>
          <t>2025-04-29</t>
        </is>
      </c>
      <c r="B3189" t="inlineStr">
        <is>
          <t>대우건설</t>
        </is>
      </c>
      <c r="C3189" t="inlineStr">
        <is>
          <t>047040</t>
        </is>
      </c>
      <c r="D3189" t="inlineStr">
        <is>
          <t>연결</t>
        </is>
      </c>
      <c r="E3189" t="inlineStr">
        <is>
          <t>2025Q1</t>
        </is>
      </c>
      <c r="F3189" s="2" t="n">
        <v>2076700</v>
      </c>
      <c r="G3189" t="n">
        <v>-21.5</v>
      </c>
      <c r="H3189" t="n">
        <v>-16.5</v>
      </c>
      <c r="I3189" s="2" t="n">
        <v>151300</v>
      </c>
      <c r="J3189" t="n">
        <v>24.8</v>
      </c>
      <c r="K3189" t="n">
        <v>31.8</v>
      </c>
      <c r="L3189" s="2" t="n">
        <v>58000</v>
      </c>
      <c r="M3189" t="n">
        <v>-36.6</v>
      </c>
      <c r="N3189" t="inlineStr">
        <is>
          <t>20250429800069</t>
        </is>
      </c>
      <c r="O3189">
        <f>HYPERLINK("https://dart.fss.or.kr/dsaf001/main.do?rcpNo=20250429800069", "공시열람")</f>
        <v/>
      </c>
    </row>
    <row r="3190">
      <c r="A3190" t="inlineStr">
        <is>
          <t>2025-04-29</t>
        </is>
      </c>
      <c r="B3190" t="inlineStr">
        <is>
          <t>비씨엔씨</t>
        </is>
      </c>
      <c r="C3190" t="inlineStr">
        <is>
          <t>146320</t>
        </is>
      </c>
      <c r="D3190" t="inlineStr">
        <is>
          <t>별도</t>
        </is>
      </c>
      <c r="E3190" t="inlineStr">
        <is>
          <t>2025Q1</t>
        </is>
      </c>
      <c r="F3190" s="2" t="n">
        <v>18598</v>
      </c>
      <c r="G3190" t="inlineStr"/>
      <c r="H3190" t="inlineStr"/>
      <c r="I3190" s="2" t="n">
        <v>121</v>
      </c>
      <c r="J3190" t="inlineStr"/>
      <c r="K3190" t="inlineStr"/>
      <c r="L3190" s="2" t="n">
        <v>-981</v>
      </c>
      <c r="M3190" t="inlineStr"/>
      <c r="N3190" t="inlineStr">
        <is>
          <t>20250429900012</t>
        </is>
      </c>
      <c r="O3190">
        <f>HYPERLINK("https://dart.fss.or.kr/dsaf001/main.do?rcpNo=20250429900012", "공시열람")</f>
        <v/>
      </c>
    </row>
    <row r="3191">
      <c r="A3191" t="inlineStr">
        <is>
          <t>2025-04-29</t>
        </is>
      </c>
      <c r="B3191" t="inlineStr">
        <is>
          <t>금호타이어</t>
        </is>
      </c>
      <c r="C3191" t="inlineStr">
        <is>
          <t>073240</t>
        </is>
      </c>
      <c r="D3191" t="inlineStr">
        <is>
          <t>연결</t>
        </is>
      </c>
      <c r="E3191" t="inlineStr">
        <is>
          <t>2025Q1</t>
        </is>
      </c>
      <c r="F3191" s="2" t="n">
        <v>1206213</v>
      </c>
      <c r="G3191" t="n">
        <v>-2.8</v>
      </c>
      <c r="H3191" t="n">
        <v>15.5</v>
      </c>
      <c r="I3191" s="2" t="n">
        <v>144828</v>
      </c>
      <c r="J3191" t="n">
        <v>-4.2</v>
      </c>
      <c r="K3191" t="n">
        <v>-0.6</v>
      </c>
      <c r="L3191" s="2" t="n">
        <v>101956</v>
      </c>
      <c r="M3191" t="n">
        <v>12.1</v>
      </c>
      <c r="N3191" t="inlineStr">
        <is>
          <t>20250429800486</t>
        </is>
      </c>
      <c r="O3191">
        <f>HYPERLINK("https://dart.fss.or.kr/dsaf001/main.do?rcpNo=20250429800486", "공시열람")</f>
        <v/>
      </c>
    </row>
    <row r="3192">
      <c r="A3192" t="inlineStr">
        <is>
          <t>2025-04-29</t>
        </is>
      </c>
      <c r="B3192" t="inlineStr">
        <is>
          <t>SOOP</t>
        </is>
      </c>
      <c r="C3192" t="inlineStr">
        <is>
          <t>067160</t>
        </is>
      </c>
      <c r="D3192" t="inlineStr">
        <is>
          <t>연결</t>
        </is>
      </c>
      <c r="E3192" t="inlineStr">
        <is>
          <t>2025Q1</t>
        </is>
      </c>
      <c r="F3192" s="2" t="n">
        <v>107652</v>
      </c>
      <c r="G3192" t="inlineStr"/>
      <c r="H3192" t="inlineStr"/>
      <c r="I3192" s="2" t="n">
        <v>32744</v>
      </c>
      <c r="J3192" t="inlineStr"/>
      <c r="K3192" t="inlineStr"/>
      <c r="L3192" s="2" t="n">
        <v>27100</v>
      </c>
      <c r="M3192" t="inlineStr"/>
      <c r="N3192" t="inlineStr">
        <is>
          <t>20250429900047</t>
        </is>
      </c>
      <c r="O3192">
        <f>HYPERLINK("https://dart.fss.or.kr/dsaf001/main.do?rcpNo=20250429900047", "공시열람")</f>
        <v/>
      </c>
    </row>
    <row r="3193">
      <c r="A3193" t="inlineStr">
        <is>
          <t>2025-04-29</t>
        </is>
      </c>
      <c r="B3193" t="inlineStr">
        <is>
          <t>하이브</t>
        </is>
      </c>
      <c r="C3193" t="inlineStr">
        <is>
          <t>352820</t>
        </is>
      </c>
      <c r="D3193" t="inlineStr">
        <is>
          <t>연결</t>
        </is>
      </c>
      <c r="E3193" t="inlineStr">
        <is>
          <t>2025Q1</t>
        </is>
      </c>
      <c r="F3193" s="2" t="n">
        <v>500600</v>
      </c>
      <c r="G3193" t="n">
        <v>-31.1</v>
      </c>
      <c r="H3193" t="n">
        <v>38.7</v>
      </c>
      <c r="I3193" s="2" t="n">
        <v>21600</v>
      </c>
      <c r="J3193" t="n">
        <v>-66.59999999999999</v>
      </c>
      <c r="K3193" t="n">
        <v>50</v>
      </c>
      <c r="L3193" s="2" t="n">
        <v>55300</v>
      </c>
      <c r="M3193" t="n">
        <v>398.2</v>
      </c>
      <c r="N3193" t="inlineStr">
        <is>
          <t>20250429800494</t>
        </is>
      </c>
      <c r="O3193">
        <f>HYPERLINK("https://dart.fss.or.kr/dsaf001/main.do?rcpNo=20250429800494", "공시열람")</f>
        <v/>
      </c>
    </row>
    <row r="3194">
      <c r="A3194" t="inlineStr">
        <is>
          <t>2025-04-29</t>
        </is>
      </c>
      <c r="B3194" t="inlineStr">
        <is>
          <t>DL이앤씨</t>
        </is>
      </c>
      <c r="C3194" t="inlineStr">
        <is>
          <t>375500</t>
        </is>
      </c>
      <c r="D3194" t="inlineStr">
        <is>
          <t>연결</t>
        </is>
      </c>
      <c r="E3194" t="inlineStr">
        <is>
          <t>2025Q1</t>
        </is>
      </c>
      <c r="F3194" s="2" t="n">
        <v>1808165</v>
      </c>
      <c r="G3194" t="n">
        <v>-25.86</v>
      </c>
      <c r="H3194" t="n">
        <v>-4.36</v>
      </c>
      <c r="I3194" s="2" t="n">
        <v>80971</v>
      </c>
      <c r="J3194" t="n">
        <v>-13.99</v>
      </c>
      <c r="K3194" t="n">
        <v>32.97</v>
      </c>
      <c r="L3194" s="2" t="n">
        <v>30245</v>
      </c>
      <c r="M3194" t="n">
        <v>16.38</v>
      </c>
      <c r="N3194" t="inlineStr">
        <is>
          <t>20250429800485</t>
        </is>
      </c>
      <c r="O3194">
        <f>HYPERLINK("https://dart.fss.or.kr/dsaf001/main.do?rcpNo=20250429800485", "공시열람")</f>
        <v/>
      </c>
    </row>
    <row r="3195">
      <c r="A3195" t="inlineStr">
        <is>
          <t>2025-04-28</t>
        </is>
      </c>
      <c r="B3195" t="inlineStr">
        <is>
          <t>현대오토에버</t>
        </is>
      </c>
      <c r="C3195" t="inlineStr">
        <is>
          <t>307950</t>
        </is>
      </c>
      <c r="D3195" t="inlineStr">
        <is>
          <t>연결</t>
        </is>
      </c>
      <c r="E3195" t="inlineStr">
        <is>
          <t>2025Q1</t>
        </is>
      </c>
      <c r="F3195" s="2" t="n">
        <v>833010</v>
      </c>
      <c r="G3195" t="n">
        <v>-28.2</v>
      </c>
      <c r="H3195" t="n">
        <v>13.9</v>
      </c>
      <c r="I3195" s="2" t="n">
        <v>26710</v>
      </c>
      <c r="J3195" t="n">
        <v>-63.2</v>
      </c>
      <c r="K3195" t="n">
        <v>-13.1</v>
      </c>
      <c r="L3195" s="2" t="n">
        <v>19904</v>
      </c>
      <c r="M3195" t="n">
        <v>-23.7</v>
      </c>
      <c r="N3195" t="inlineStr">
        <is>
          <t>20250428800245</t>
        </is>
      </c>
      <c r="O3195">
        <f>HYPERLINK("https://dart.fss.or.kr/dsaf001/main.do?rcpNo=20250428800245", "공시열람")</f>
        <v/>
      </c>
    </row>
    <row r="3196">
      <c r="A3196" t="inlineStr">
        <is>
          <t>2025-04-28</t>
        </is>
      </c>
      <c r="B3196" t="inlineStr">
        <is>
          <t>SNT에너지</t>
        </is>
      </c>
      <c r="C3196" t="inlineStr">
        <is>
          <t>100840</t>
        </is>
      </c>
      <c r="D3196" t="inlineStr">
        <is>
          <t>연결</t>
        </is>
      </c>
      <c r="E3196" t="inlineStr">
        <is>
          <t>2025Q1</t>
        </is>
      </c>
      <c r="F3196" s="2" t="n">
        <v>115256</v>
      </c>
      <c r="G3196" t="n">
        <v>20.4</v>
      </c>
      <c r="H3196" t="n">
        <v>87</v>
      </c>
      <c r="I3196" s="2" t="n">
        <v>12880</v>
      </c>
      <c r="J3196" t="n">
        <v>42.5</v>
      </c>
      <c r="K3196" t="n">
        <v>327.9</v>
      </c>
      <c r="L3196" s="2" t="n">
        <v>8369</v>
      </c>
      <c r="M3196" t="n">
        <v>0.4</v>
      </c>
      <c r="N3196" t="inlineStr">
        <is>
          <t>20250428800059</t>
        </is>
      </c>
      <c r="O3196">
        <f>HYPERLINK("https://dart.fss.or.kr/dsaf001/main.do?rcpNo=20250428800059", "공시열람")</f>
        <v/>
      </c>
    </row>
    <row r="3197">
      <c r="A3197" t="inlineStr">
        <is>
          <t>2025-04-28</t>
        </is>
      </c>
      <c r="B3197" t="inlineStr">
        <is>
          <t>주성엔지니어링</t>
        </is>
      </c>
      <c r="C3197" t="inlineStr">
        <is>
          <t>036930</t>
        </is>
      </c>
      <c r="D3197" t="inlineStr">
        <is>
          <t>연결</t>
        </is>
      </c>
      <c r="E3197" t="inlineStr">
        <is>
          <t>2025Q1</t>
        </is>
      </c>
      <c r="F3197" s="2" t="n">
        <v>120846</v>
      </c>
      <c r="G3197" t="inlineStr"/>
      <c r="H3197" t="inlineStr"/>
      <c r="I3197" s="2" t="n">
        <v>33908</v>
      </c>
      <c r="J3197" t="inlineStr"/>
      <c r="K3197" t="inlineStr"/>
      <c r="L3197" s="2" t="n">
        <v>27716</v>
      </c>
      <c r="M3197" t="inlineStr"/>
      <c r="N3197" t="inlineStr">
        <is>
          <t>20250428900231</t>
        </is>
      </c>
      <c r="O3197">
        <f>HYPERLINK("https://dart.fss.or.kr/dsaf001/main.do?rcpNo=20250428900231", "공시열람")</f>
        <v/>
      </c>
    </row>
    <row r="3198">
      <c r="A3198" t="inlineStr">
        <is>
          <t>2025-04-28</t>
        </is>
      </c>
      <c r="B3198" t="inlineStr">
        <is>
          <t>세이브존I&amp;C</t>
        </is>
      </c>
      <c r="C3198" t="inlineStr">
        <is>
          <t>067830</t>
        </is>
      </c>
      <c r="D3198" t="inlineStr">
        <is>
          <t>별도</t>
        </is>
      </c>
      <c r="E3198" t="inlineStr">
        <is>
          <t>2025Q1</t>
        </is>
      </c>
      <c r="F3198" s="2" t="n">
        <v>29394</v>
      </c>
      <c r="G3198" t="inlineStr"/>
      <c r="H3198" t="inlineStr"/>
      <c r="I3198" s="2" t="n">
        <v>1415</v>
      </c>
      <c r="J3198" t="inlineStr"/>
      <c r="K3198" t="inlineStr"/>
      <c r="L3198" s="2" t="n">
        <v>2423</v>
      </c>
      <c r="M3198" t="inlineStr"/>
      <c r="N3198" t="inlineStr">
        <is>
          <t>20250428800740</t>
        </is>
      </c>
      <c r="O3198">
        <f>HYPERLINK("https://dart.fss.or.kr/dsaf001/main.do?rcpNo=20250428800740", "공시열람")</f>
        <v/>
      </c>
    </row>
    <row r="3199">
      <c r="A3199" t="inlineStr">
        <is>
          <t>2025-04-28</t>
        </is>
      </c>
      <c r="B3199" t="inlineStr">
        <is>
          <t>코미코</t>
        </is>
      </c>
      <c r="C3199" t="inlineStr">
        <is>
          <t>183300</t>
        </is>
      </c>
      <c r="D3199" t="inlineStr">
        <is>
          <t>별도</t>
        </is>
      </c>
      <c r="E3199" t="inlineStr">
        <is>
          <t>2025Q1</t>
        </is>
      </c>
      <c r="F3199" s="2" t="n">
        <v>134961</v>
      </c>
      <c r="G3199" t="inlineStr"/>
      <c r="H3199" t="inlineStr"/>
      <c r="I3199" s="2" t="n">
        <v>31251</v>
      </c>
      <c r="J3199" t="inlineStr"/>
      <c r="K3199" t="inlineStr"/>
      <c r="L3199" s="2" t="n">
        <v>20659</v>
      </c>
      <c r="M3199" t="inlineStr"/>
      <c r="N3199" t="inlineStr">
        <is>
          <t>20250428900250</t>
        </is>
      </c>
      <c r="O3199">
        <f>HYPERLINK("https://dart.fss.or.kr/dsaf001/main.do?rcpNo=20250428900250", "공시열람")</f>
        <v/>
      </c>
    </row>
    <row r="3200">
      <c r="A3200" t="inlineStr">
        <is>
          <t>2025-04-28</t>
        </is>
      </c>
      <c r="B3200" t="inlineStr">
        <is>
          <t>DB하이텍</t>
        </is>
      </c>
      <c r="C3200" t="inlineStr">
        <is>
          <t>000990</t>
        </is>
      </c>
      <c r="D3200" t="inlineStr">
        <is>
          <t>연결</t>
        </is>
      </c>
      <c r="E3200" t="inlineStr">
        <is>
          <t>2025Q1</t>
        </is>
      </c>
      <c r="F3200" s="2" t="n">
        <v>297381</v>
      </c>
      <c r="G3200" t="n">
        <v>4.9</v>
      </c>
      <c r="H3200" t="n">
        <v>13.72</v>
      </c>
      <c r="I3200" s="2" t="n">
        <v>52462</v>
      </c>
      <c r="J3200" t="n">
        <v>48.65</v>
      </c>
      <c r="K3200" t="n">
        <v>27.83</v>
      </c>
      <c r="L3200" s="2" t="n">
        <v>45514</v>
      </c>
      <c r="M3200" t="n">
        <v>3.65</v>
      </c>
      <c r="N3200" t="inlineStr">
        <is>
          <t>20250428800032</t>
        </is>
      </c>
      <c r="O3200">
        <f>HYPERLINK("https://dart.fss.or.kr/dsaf001/main.do?rcpNo=20250428800032", "공시열람")</f>
        <v/>
      </c>
    </row>
    <row r="3201">
      <c r="A3201" t="inlineStr">
        <is>
          <t>2025-04-28</t>
        </is>
      </c>
      <c r="B3201" t="inlineStr">
        <is>
          <t>HK이노엔</t>
        </is>
      </c>
      <c r="C3201" t="inlineStr">
        <is>
          <t>195940</t>
        </is>
      </c>
      <c r="D3201" t="inlineStr">
        <is>
          <t>별도</t>
        </is>
      </c>
      <c r="E3201" t="inlineStr">
        <is>
          <t>2025Q1</t>
        </is>
      </c>
      <c r="F3201" s="2" t="n">
        <v>247359</v>
      </c>
      <c r="G3201" t="inlineStr"/>
      <c r="H3201" t="inlineStr"/>
      <c r="I3201" s="2" t="n">
        <v>25370</v>
      </c>
      <c r="J3201" t="inlineStr"/>
      <c r="K3201" t="inlineStr"/>
      <c r="L3201" s="2" t="n">
        <v>17427</v>
      </c>
      <c r="M3201" t="inlineStr"/>
      <c r="N3201" t="inlineStr">
        <is>
          <t>20250428900169</t>
        </is>
      </c>
      <c r="O3201">
        <f>HYPERLINK("https://dart.fss.or.kr/dsaf001/main.do?rcpNo=20250428900169", "공시열람")</f>
        <v/>
      </c>
    </row>
    <row r="3202">
      <c r="A3202" t="inlineStr">
        <is>
          <t>2025-04-28</t>
        </is>
      </c>
      <c r="B3202" t="inlineStr">
        <is>
          <t>LG씨엔에스</t>
        </is>
      </c>
      <c r="C3202" t="inlineStr">
        <is>
          <t>064400</t>
        </is>
      </c>
      <c r="D3202" t="inlineStr">
        <is>
          <t>연결</t>
        </is>
      </c>
      <c r="E3202" t="inlineStr">
        <is>
          <t>2025Q1</t>
        </is>
      </c>
      <c r="F3202" s="2" t="n">
        <v>1211381</v>
      </c>
      <c r="G3202" t="inlineStr"/>
      <c r="H3202" t="inlineStr"/>
      <c r="I3202" s="2" t="n">
        <v>78895</v>
      </c>
      <c r="J3202" t="inlineStr"/>
      <c r="K3202" t="inlineStr"/>
      <c r="L3202" s="2" t="n">
        <v>57288</v>
      </c>
      <c r="M3202" t="inlineStr"/>
      <c r="N3202" t="inlineStr">
        <is>
          <t>20250428800119</t>
        </is>
      </c>
      <c r="O3202">
        <f>HYPERLINK("https://dart.fss.or.kr/dsaf001/main.do?rcpNo=20250428800119", "공시열람")</f>
        <v/>
      </c>
    </row>
    <row r="3203">
      <c r="A3203" t="inlineStr">
        <is>
          <t>2025-04-28</t>
        </is>
      </c>
      <c r="B3203" t="inlineStr">
        <is>
          <t>S-Oil</t>
        </is>
      </c>
      <c r="C3203" t="inlineStr">
        <is>
          <t>010950</t>
        </is>
      </c>
      <c r="D3203" t="inlineStr">
        <is>
          <t>연결</t>
        </is>
      </c>
      <c r="E3203" t="inlineStr">
        <is>
          <t>2025Q1</t>
        </is>
      </c>
      <c r="F3203" s="2" t="n">
        <v>8990533</v>
      </c>
      <c r="G3203" t="inlineStr"/>
      <c r="H3203" t="inlineStr"/>
      <c r="I3203" s="2" t="n">
        <v>-21541</v>
      </c>
      <c r="J3203" t="inlineStr"/>
      <c r="K3203" t="inlineStr"/>
      <c r="L3203" s="2" t="n">
        <v>-44558</v>
      </c>
      <c r="M3203" t="inlineStr"/>
      <c r="N3203" t="inlineStr">
        <is>
          <t>20250428800077</t>
        </is>
      </c>
      <c r="O3203">
        <f>HYPERLINK("https://dart.fss.or.kr/dsaf001/main.do?rcpNo=20250428800077", "공시열람")</f>
        <v/>
      </c>
    </row>
    <row r="3204">
      <c r="A3204" t="inlineStr">
        <is>
          <t>2025-04-28</t>
        </is>
      </c>
      <c r="B3204" t="inlineStr">
        <is>
          <t>SNT홀딩스</t>
        </is>
      </c>
      <c r="C3204" t="inlineStr">
        <is>
          <t>036530</t>
        </is>
      </c>
      <c r="D3204" t="inlineStr">
        <is>
          <t>연결</t>
        </is>
      </c>
      <c r="E3204" t="inlineStr">
        <is>
          <t>2025Q1</t>
        </is>
      </c>
      <c r="F3204" s="2" t="n">
        <v>466634</v>
      </c>
      <c r="G3204" t="n">
        <v>-16.4</v>
      </c>
      <c r="H3204" t="n">
        <v>20.8</v>
      </c>
      <c r="I3204" s="2" t="n">
        <v>53077</v>
      </c>
      <c r="J3204" t="n">
        <v>-15.3</v>
      </c>
      <c r="K3204" t="n">
        <v>46.2</v>
      </c>
      <c r="L3204" s="2" t="n">
        <v>46154</v>
      </c>
      <c r="M3204" t="n">
        <v>-3.4</v>
      </c>
      <c r="N3204" t="inlineStr">
        <is>
          <t>20250428800072</t>
        </is>
      </c>
      <c r="O3204">
        <f>HYPERLINK("https://dart.fss.or.kr/dsaf001/main.do?rcpNo=20250428800072", "공시열람")</f>
        <v/>
      </c>
    </row>
    <row r="3205">
      <c r="A3205" t="inlineStr">
        <is>
          <t>2025-04-28</t>
        </is>
      </c>
      <c r="B3205" t="inlineStr">
        <is>
          <t>한화오션</t>
        </is>
      </c>
      <c r="C3205" t="inlineStr">
        <is>
          <t>042660</t>
        </is>
      </c>
      <c r="D3205" t="inlineStr">
        <is>
          <t>연결</t>
        </is>
      </c>
      <c r="E3205" t="inlineStr">
        <is>
          <t>2025Q1</t>
        </is>
      </c>
      <c r="F3205" s="2" t="n">
        <v>3143100</v>
      </c>
      <c r="G3205" t="n">
        <v>-3.4</v>
      </c>
      <c r="H3205" t="n">
        <v>37.6</v>
      </c>
      <c r="I3205" s="2" t="n">
        <v>258600</v>
      </c>
      <c r="J3205" t="n">
        <v>53</v>
      </c>
      <c r="K3205" t="n">
        <v>388.8</v>
      </c>
      <c r="L3205" s="2" t="n">
        <v>215700</v>
      </c>
      <c r="M3205" t="n">
        <v>322.9</v>
      </c>
      <c r="N3205" t="inlineStr">
        <is>
          <t>20250428800259</t>
        </is>
      </c>
      <c r="O3205">
        <f>HYPERLINK("https://dart.fss.or.kr/dsaf001/main.do?rcpNo=20250428800259", "공시열람")</f>
        <v/>
      </c>
    </row>
    <row r="3206">
      <c r="A3206" t="inlineStr">
        <is>
          <t>2025-04-28</t>
        </is>
      </c>
      <c r="B3206" t="inlineStr">
        <is>
          <t>HD건설기계</t>
        </is>
      </c>
      <c r="C3206" t="inlineStr">
        <is>
          <t>267270</t>
        </is>
      </c>
      <c r="D3206" t="inlineStr">
        <is>
          <t>연결</t>
        </is>
      </c>
      <c r="E3206" t="inlineStr">
        <is>
          <t>2025Q1</t>
        </is>
      </c>
      <c r="F3206" s="2" t="n">
        <v>906800</v>
      </c>
      <c r="G3206" t="n">
        <v>14.9</v>
      </c>
      <c r="H3206" t="n">
        <v>-7.4</v>
      </c>
      <c r="I3206" s="2" t="n">
        <v>41700</v>
      </c>
      <c r="J3206" t="n">
        <v>18.1</v>
      </c>
      <c r="K3206" t="n">
        <v>-22.3</v>
      </c>
      <c r="L3206" s="2" t="n">
        <v>25700</v>
      </c>
      <c r="M3206" t="n">
        <v>-44</v>
      </c>
      <c r="N3206" t="inlineStr">
        <is>
          <t>20250428800314</t>
        </is>
      </c>
      <c r="O3206">
        <f>HYPERLINK("https://dart.fss.or.kr/dsaf001/main.do?rcpNo=20250428800314", "공시열람")</f>
        <v/>
      </c>
    </row>
    <row r="3207">
      <c r="A3207" t="inlineStr">
        <is>
          <t>2025-04-28</t>
        </is>
      </c>
      <c r="B3207" t="inlineStr">
        <is>
          <t>엠앤씨솔루션</t>
        </is>
      </c>
      <c r="C3207" t="inlineStr">
        <is>
          <t>484870</t>
        </is>
      </c>
      <c r="D3207" t="inlineStr">
        <is>
          <t>별도</t>
        </is>
      </c>
      <c r="E3207" t="inlineStr">
        <is>
          <t>2025Q1</t>
        </is>
      </c>
      <c r="F3207" s="2" t="n">
        <v>75106</v>
      </c>
      <c r="G3207" t="n">
        <v>-20.4</v>
      </c>
      <c r="H3207" t="n">
        <v>51.7</v>
      </c>
      <c r="I3207" s="2" t="n">
        <v>9508</v>
      </c>
      <c r="J3207" t="n">
        <v>-46.1</v>
      </c>
      <c r="K3207" t="n">
        <v>413.2</v>
      </c>
      <c r="L3207" s="2" t="n">
        <v>7896</v>
      </c>
      <c r="M3207" t="n">
        <v>424.2</v>
      </c>
      <c r="N3207" t="inlineStr">
        <is>
          <t>20250428800321</t>
        </is>
      </c>
      <c r="O3207">
        <f>HYPERLINK("https://dart.fss.or.kr/dsaf001/main.do?rcpNo=20250428800321", "공시열람")</f>
        <v/>
      </c>
    </row>
    <row r="3208">
      <c r="A3208" t="inlineStr">
        <is>
          <t>2025-04-28</t>
        </is>
      </c>
      <c r="B3208" t="inlineStr">
        <is>
          <t>SNT다이내믹스</t>
        </is>
      </c>
      <c r="C3208" t="inlineStr">
        <is>
          <t>003570</t>
        </is>
      </c>
      <c r="D3208" t="inlineStr">
        <is>
          <t>연결</t>
        </is>
      </c>
      <c r="E3208" t="inlineStr">
        <is>
          <t>2025Q1</t>
        </is>
      </c>
      <c r="F3208" s="2" t="n">
        <v>150136</v>
      </c>
      <c r="G3208" t="n">
        <v>-21.6</v>
      </c>
      <c r="H3208" t="n">
        <v>31.6</v>
      </c>
      <c r="I3208" s="2" t="n">
        <v>17703</v>
      </c>
      <c r="J3208" t="n">
        <v>-25</v>
      </c>
      <c r="K3208" t="n">
        <v>60.4</v>
      </c>
      <c r="L3208" s="2" t="n">
        <v>17769</v>
      </c>
      <c r="M3208" t="n">
        <v>38</v>
      </c>
      <c r="N3208" t="inlineStr">
        <is>
          <t>20250428800063</t>
        </is>
      </c>
      <c r="O3208">
        <f>HYPERLINK("https://dart.fss.or.kr/dsaf001/main.do?rcpNo=20250428800063", "공시열람")</f>
        <v/>
      </c>
    </row>
    <row r="3209">
      <c r="A3209" t="inlineStr">
        <is>
          <t>2025-04-28</t>
        </is>
      </c>
      <c r="B3209" t="inlineStr">
        <is>
          <t>SNT모티브</t>
        </is>
      </c>
      <c r="C3209" t="inlineStr">
        <is>
          <t>064960</t>
        </is>
      </c>
      <c r="D3209" t="inlineStr">
        <is>
          <t>연결</t>
        </is>
      </c>
      <c r="E3209" t="inlineStr">
        <is>
          <t>2025Q1</t>
        </is>
      </c>
      <c r="F3209" s="2" t="n">
        <v>226185</v>
      </c>
      <c r="G3209" t="n">
        <v>-20.9</v>
      </c>
      <c r="H3209" t="n">
        <v>1.9</v>
      </c>
      <c r="I3209" s="2" t="n">
        <v>23018</v>
      </c>
      <c r="J3209" t="n">
        <v>-20.6</v>
      </c>
      <c r="K3209" t="n">
        <v>4.6</v>
      </c>
      <c r="L3209" s="2" t="n">
        <v>21279</v>
      </c>
      <c r="M3209" t="n">
        <v>-21</v>
      </c>
      <c r="N3209" t="inlineStr">
        <is>
          <t>20250428800064</t>
        </is>
      </c>
      <c r="O3209">
        <f>HYPERLINK("https://dart.fss.or.kr/dsaf001/main.do?rcpNo=20250428800064", "공시열람")</f>
        <v/>
      </c>
    </row>
    <row r="3210">
      <c r="A3210" t="inlineStr">
        <is>
          <t>2025-04-28</t>
        </is>
      </c>
      <c r="B3210" t="inlineStr">
        <is>
          <t>보락</t>
        </is>
      </c>
      <c r="C3210" t="inlineStr">
        <is>
          <t>002760</t>
        </is>
      </c>
      <c r="D3210" t="inlineStr">
        <is>
          <t>별도</t>
        </is>
      </c>
      <c r="E3210" t="inlineStr">
        <is>
          <t>2025Q1</t>
        </is>
      </c>
      <c r="F3210" s="2" t="n">
        <v>13048</v>
      </c>
      <c r="G3210" t="n">
        <v>10.79</v>
      </c>
      <c r="H3210" t="n">
        <v>14.76</v>
      </c>
      <c r="I3210" s="2" t="n">
        <v>305</v>
      </c>
      <c r="J3210" t="inlineStr"/>
      <c r="K3210" t="n">
        <v>-18.23</v>
      </c>
      <c r="L3210" s="2" t="n">
        <v>240</v>
      </c>
      <c r="M3210" t="n">
        <v>-30.43</v>
      </c>
      <c r="N3210" t="inlineStr">
        <is>
          <t>20250428800395</t>
        </is>
      </c>
      <c r="O3210">
        <f>HYPERLINK("https://dart.fss.or.kr/dsaf001/main.do?rcpNo=20250428800395", "공시열람")</f>
        <v/>
      </c>
    </row>
    <row r="3211">
      <c r="A3211" t="inlineStr">
        <is>
          <t>2025-04-28</t>
        </is>
      </c>
      <c r="B3211" t="inlineStr">
        <is>
          <t>iM금융지주</t>
        </is>
      </c>
      <c r="C3211" t="inlineStr">
        <is>
          <t>139130</t>
        </is>
      </c>
      <c r="D3211" t="inlineStr">
        <is>
          <t>연결</t>
        </is>
      </c>
      <c r="E3211" t="inlineStr">
        <is>
          <t>2025Q1</t>
        </is>
      </c>
      <c r="F3211" s="2" t="n">
        <v>468877</v>
      </c>
      <c r="G3211" t="n">
        <v>3.3</v>
      </c>
      <c r="H3211" t="n">
        <v>-14.8</v>
      </c>
      <c r="I3211" s="2" t="n">
        <v>33224</v>
      </c>
      <c r="J3211" t="inlineStr"/>
      <c r="K3211" t="inlineStr"/>
      <c r="L3211" s="2" t="n">
        <v>27367</v>
      </c>
      <c r="M3211" t="inlineStr"/>
      <c r="N3211" t="inlineStr">
        <is>
          <t>20250428800428</t>
        </is>
      </c>
      <c r="O3211">
        <f>HYPERLINK("https://dart.fss.or.kr/dsaf001/main.do?rcpNo=20250428800428", "공시열람")</f>
        <v/>
      </c>
    </row>
    <row r="3212">
      <c r="A3212" t="inlineStr">
        <is>
          <t>2025-04-28</t>
        </is>
      </c>
      <c r="B3212" t="inlineStr">
        <is>
          <t>대한유화</t>
        </is>
      </c>
      <c r="C3212" t="inlineStr">
        <is>
          <t>006650</t>
        </is>
      </c>
      <c r="D3212" t="inlineStr">
        <is>
          <t>연결</t>
        </is>
      </c>
      <c r="E3212" t="inlineStr">
        <is>
          <t>2025Q1</t>
        </is>
      </c>
      <c r="F3212" s="2" t="n">
        <v>741634</v>
      </c>
      <c r="G3212" t="n">
        <v>4.14</v>
      </c>
      <c r="H3212" t="n">
        <v>11.76</v>
      </c>
      <c r="I3212" s="2" t="n">
        <v>-9875</v>
      </c>
      <c r="J3212" t="n">
        <v>-5.86</v>
      </c>
      <c r="K3212" t="n">
        <v>36.9</v>
      </c>
      <c r="L3212" s="2" t="n">
        <v>2971</v>
      </c>
      <c r="M3212" t="inlineStr"/>
      <c r="N3212" t="inlineStr">
        <is>
          <t>20250428800567</t>
        </is>
      </c>
      <c r="O3212">
        <f>HYPERLINK("https://dart.fss.or.kr/dsaf001/main.do?rcpNo=20250428800567", "공시열람")</f>
        <v/>
      </c>
    </row>
    <row r="3213">
      <c r="A3213" t="inlineStr">
        <is>
          <t>2025-04-28</t>
        </is>
      </c>
      <c r="B3213" t="inlineStr">
        <is>
          <t>코렌텍</t>
        </is>
      </c>
      <c r="C3213" t="inlineStr">
        <is>
          <t>104540</t>
        </is>
      </c>
      <c r="D3213" t="inlineStr">
        <is>
          <t>별도</t>
        </is>
      </c>
      <c r="E3213" t="inlineStr">
        <is>
          <t>2025Q1</t>
        </is>
      </c>
      <c r="F3213" s="2" t="n">
        <v>18004</v>
      </c>
      <c r="G3213" t="inlineStr"/>
      <c r="H3213" t="inlineStr"/>
      <c r="I3213" s="2" t="n">
        <v>1650</v>
      </c>
      <c r="J3213" t="inlineStr"/>
      <c r="K3213" t="inlineStr"/>
      <c r="L3213" s="2" t="n">
        <v>3761</v>
      </c>
      <c r="M3213" t="inlineStr"/>
      <c r="N3213" t="inlineStr">
        <is>
          <t>20250428900551</t>
        </is>
      </c>
      <c r="O3213">
        <f>HYPERLINK("https://dart.fss.or.kr/dsaf001/main.do?rcpNo=20250428900551", "공시열람")</f>
        <v/>
      </c>
    </row>
    <row r="3214">
      <c r="A3214" t="inlineStr">
        <is>
          <t>2025-04-28</t>
        </is>
      </c>
      <c r="B3214" t="inlineStr">
        <is>
          <t>대웅제약</t>
        </is>
      </c>
      <c r="C3214" t="inlineStr">
        <is>
          <t>069620</t>
        </is>
      </c>
      <c r="D3214" t="inlineStr">
        <is>
          <t>별도</t>
        </is>
      </c>
      <c r="E3214" t="inlineStr">
        <is>
          <t>2025Q1</t>
        </is>
      </c>
      <c r="F3214" s="2" t="n">
        <v>316152</v>
      </c>
      <c r="G3214" t="n">
        <v>-3.42</v>
      </c>
      <c r="H3214" t="n">
        <v>6.59</v>
      </c>
      <c r="I3214" s="2" t="n">
        <v>42001</v>
      </c>
      <c r="J3214" t="n">
        <v>0.53</v>
      </c>
      <c r="K3214" t="n">
        <v>34.49</v>
      </c>
      <c r="L3214" s="2" t="n">
        <v>29211</v>
      </c>
      <c r="M3214" t="n">
        <v>169.76</v>
      </c>
      <c r="N3214" t="inlineStr">
        <is>
          <t>20250428800577</t>
        </is>
      </c>
      <c r="O3214">
        <f>HYPERLINK("https://dart.fss.or.kr/dsaf001/main.do?rcpNo=20250428800577", "공시열람")</f>
        <v/>
      </c>
    </row>
    <row r="3215">
      <c r="A3215" t="inlineStr">
        <is>
          <t>2025-04-28</t>
        </is>
      </c>
      <c r="B3215" t="inlineStr">
        <is>
          <t>한화시스템</t>
        </is>
      </c>
      <c r="C3215" t="inlineStr">
        <is>
          <t>272210</t>
        </is>
      </c>
      <c r="D3215" t="inlineStr">
        <is>
          <t>연결</t>
        </is>
      </c>
      <c r="E3215" t="inlineStr">
        <is>
          <t>2025Q1</t>
        </is>
      </c>
      <c r="F3215" s="2" t="n">
        <v>690101</v>
      </c>
      <c r="G3215" t="n">
        <v>-26.07</v>
      </c>
      <c r="H3215" t="n">
        <v>26.82</v>
      </c>
      <c r="I3215" s="2" t="n">
        <v>58164</v>
      </c>
      <c r="J3215" t="n">
        <v>99.64</v>
      </c>
      <c r="K3215" t="n">
        <v>27.9</v>
      </c>
      <c r="L3215" s="2" t="n">
        <v>40970</v>
      </c>
      <c r="M3215" t="n">
        <v>-18.59</v>
      </c>
      <c r="N3215" t="inlineStr">
        <is>
          <t>20250428800513</t>
        </is>
      </c>
      <c r="O3215">
        <f>HYPERLINK("https://dart.fss.or.kr/dsaf001/main.do?rcpNo=20250428800513", "공시열람")</f>
        <v/>
      </c>
    </row>
    <row r="3216">
      <c r="A3216" t="inlineStr">
        <is>
          <t>2025-04-28</t>
        </is>
      </c>
      <c r="B3216" t="inlineStr">
        <is>
          <t>iM금융지주</t>
        </is>
      </c>
      <c r="C3216" t="inlineStr">
        <is>
          <t>139130</t>
        </is>
      </c>
      <c r="D3216" t="inlineStr">
        <is>
          <t>연결</t>
        </is>
      </c>
      <c r="E3216" t="inlineStr">
        <is>
          <t>2025Q1</t>
        </is>
      </c>
      <c r="F3216" s="2" t="n">
        <v>1835060</v>
      </c>
      <c r="G3216" t="n">
        <v>-12.4</v>
      </c>
      <c r="H3216" t="n">
        <v>-13.7</v>
      </c>
      <c r="I3216" s="2" t="n">
        <v>209092</v>
      </c>
      <c r="J3216" t="inlineStr"/>
      <c r="K3216" t="n">
        <v>31.9</v>
      </c>
      <c r="L3216" s="2" t="n">
        <v>158663</v>
      </c>
      <c r="M3216" t="n">
        <v>40.5</v>
      </c>
      <c r="N3216" t="inlineStr">
        <is>
          <t>20250428800449</t>
        </is>
      </c>
      <c r="O3216">
        <f>HYPERLINK("https://dart.fss.or.kr/dsaf001/main.do?rcpNo=20250428800449", "공시열람")</f>
        <v/>
      </c>
    </row>
    <row r="3217">
      <c r="A3217" t="inlineStr">
        <is>
          <t>2025-04-28</t>
        </is>
      </c>
      <c r="B3217" t="inlineStr">
        <is>
          <t>두산밥캣</t>
        </is>
      </c>
      <c r="C3217" t="inlineStr">
        <is>
          <t>241560</t>
        </is>
      </c>
      <c r="D3217" t="inlineStr">
        <is>
          <t>연결</t>
        </is>
      </c>
      <c r="E3217" t="inlineStr">
        <is>
          <t>2025Q1</t>
        </is>
      </c>
      <c r="F3217" s="2" t="n">
        <v>2098200</v>
      </c>
      <c r="G3217" t="n">
        <v>-2.1</v>
      </c>
      <c r="H3217" t="n">
        <v>-12.4</v>
      </c>
      <c r="I3217" s="2" t="n">
        <v>200000</v>
      </c>
      <c r="J3217" t="n">
        <v>11</v>
      </c>
      <c r="K3217" t="n">
        <v>-38.6</v>
      </c>
      <c r="L3217" s="2" t="n">
        <v>113400</v>
      </c>
      <c r="M3217" t="n">
        <v>-47.7</v>
      </c>
      <c r="N3217" t="inlineStr">
        <is>
          <t>20250428800475</t>
        </is>
      </c>
      <c r="O3217">
        <f>HYPERLINK("https://dart.fss.or.kr/dsaf001/main.do?rcpNo=20250428800475", "공시열람")</f>
        <v/>
      </c>
    </row>
    <row r="3218">
      <c r="A3218" t="inlineStr">
        <is>
          <t>2025-04-28</t>
        </is>
      </c>
      <c r="B3218" t="inlineStr">
        <is>
          <t>HDC랩스</t>
        </is>
      </c>
      <c r="C3218" t="inlineStr">
        <is>
          <t>039570</t>
        </is>
      </c>
      <c r="D3218" t="inlineStr">
        <is>
          <t>연결</t>
        </is>
      </c>
      <c r="E3218" t="inlineStr">
        <is>
          <t>2025Q1</t>
        </is>
      </c>
      <c r="F3218" s="2" t="n">
        <v>162468</v>
      </c>
      <c r="G3218" t="n">
        <v>-11.5</v>
      </c>
      <c r="H3218" t="n">
        <v>21.6</v>
      </c>
      <c r="I3218" s="2" t="n">
        <v>2881</v>
      </c>
      <c r="J3218" t="n">
        <v>-26.6</v>
      </c>
      <c r="K3218" t="n">
        <v>2300.8</v>
      </c>
      <c r="L3218" s="2" t="n">
        <v>2621</v>
      </c>
      <c r="M3218" t="n">
        <v>48.7</v>
      </c>
      <c r="N3218" t="inlineStr">
        <is>
          <t>20250428800039</t>
        </is>
      </c>
      <c r="O3218">
        <f>HYPERLINK("https://dart.fss.or.kr/dsaf001/main.do?rcpNo=20250428800039", "공시열람")</f>
        <v/>
      </c>
    </row>
    <row r="3219">
      <c r="A3219" t="inlineStr">
        <is>
          <t>2025-04-28</t>
        </is>
      </c>
      <c r="B3219" t="inlineStr">
        <is>
          <t>iM금융지주</t>
        </is>
      </c>
      <c r="C3219" t="inlineStr">
        <is>
          <t>139130</t>
        </is>
      </c>
      <c r="D3219" t="inlineStr">
        <is>
          <t>연결</t>
        </is>
      </c>
      <c r="E3219" t="inlineStr">
        <is>
          <t>2025Q1</t>
        </is>
      </c>
      <c r="F3219" s="2" t="n">
        <v>1051604</v>
      </c>
      <c r="G3219" t="n">
        <v>-15.6</v>
      </c>
      <c r="H3219" t="n">
        <v>-12.6</v>
      </c>
      <c r="I3219" s="2" t="n">
        <v>161277</v>
      </c>
      <c r="J3219" t="n">
        <v>509.7</v>
      </c>
      <c r="K3219" t="n">
        <v>5.4</v>
      </c>
      <c r="L3219" s="2" t="n">
        <v>125143</v>
      </c>
      <c r="M3219" t="n">
        <v>4.7</v>
      </c>
      <c r="N3219" t="inlineStr">
        <is>
          <t>20250428800438</t>
        </is>
      </c>
      <c r="O3219">
        <f>HYPERLINK("https://dart.fss.or.kr/dsaf001/main.do?rcpNo=20250428800438", "공시열람")</f>
        <v/>
      </c>
    </row>
    <row r="3220">
      <c r="A3220" t="inlineStr">
        <is>
          <t>2025-04-28</t>
        </is>
      </c>
      <c r="B3220" t="inlineStr">
        <is>
          <t>이녹스첨단소재</t>
        </is>
      </c>
      <c r="C3220" t="inlineStr">
        <is>
          <t>272290</t>
        </is>
      </c>
      <c r="D3220" t="inlineStr">
        <is>
          <t>연결</t>
        </is>
      </c>
      <c r="E3220" t="inlineStr">
        <is>
          <t>2025Q1</t>
        </is>
      </c>
      <c r="F3220" s="2" t="n">
        <v>113116</v>
      </c>
      <c r="G3220" t="inlineStr"/>
      <c r="H3220" t="inlineStr"/>
      <c r="I3220" s="2" t="n">
        <v>26371</v>
      </c>
      <c r="J3220" t="inlineStr"/>
      <c r="K3220" t="inlineStr"/>
      <c r="L3220" s="2" t="n">
        <v>20021</v>
      </c>
      <c r="M3220" t="inlineStr"/>
      <c r="N3220" t="inlineStr">
        <is>
          <t>20250428900483</t>
        </is>
      </c>
      <c r="O3220">
        <f>HYPERLINK("https://dart.fss.or.kr/dsaf001/main.do?rcpNo=20250428900483", "공시열람")</f>
        <v/>
      </c>
    </row>
    <row r="3221">
      <c r="A3221" t="inlineStr">
        <is>
          <t>2025-04-28</t>
        </is>
      </c>
      <c r="B3221" t="inlineStr">
        <is>
          <t>LG생활건강</t>
        </is>
      </c>
      <c r="C3221" t="inlineStr">
        <is>
          <t>051900</t>
        </is>
      </c>
      <c r="D3221" t="inlineStr">
        <is>
          <t>연결</t>
        </is>
      </c>
      <c r="E3221" t="inlineStr">
        <is>
          <t>2025Q1</t>
        </is>
      </c>
      <c r="F3221" s="2" t="n">
        <v>1697900</v>
      </c>
      <c r="G3221" t="inlineStr"/>
      <c r="H3221" t="inlineStr"/>
      <c r="I3221" s="2" t="n">
        <v>142400</v>
      </c>
      <c r="J3221" t="inlineStr"/>
      <c r="K3221" t="inlineStr"/>
      <c r="L3221" s="2" t="n">
        <v>103500</v>
      </c>
      <c r="M3221" t="inlineStr"/>
      <c r="N3221" t="inlineStr">
        <is>
          <t>20250428800413</t>
        </is>
      </c>
      <c r="O3221">
        <f>HYPERLINK("https://dart.fss.or.kr/dsaf001/main.do?rcpNo=20250428800413", "공시열람")</f>
        <v/>
      </c>
    </row>
    <row r="3222">
      <c r="A3222" t="inlineStr">
        <is>
          <t>2025-04-28</t>
        </is>
      </c>
      <c r="B3222" t="inlineStr">
        <is>
          <t>조이시티</t>
        </is>
      </c>
      <c r="C3222" t="inlineStr">
        <is>
          <t>067000</t>
        </is>
      </c>
      <c r="D3222" t="inlineStr">
        <is>
          <t>연결</t>
        </is>
      </c>
      <c r="E3222" t="inlineStr">
        <is>
          <t>2025Q1</t>
        </is>
      </c>
      <c r="F3222" s="2" t="n">
        <v>32801</v>
      </c>
      <c r="G3222" t="inlineStr"/>
      <c r="H3222" t="inlineStr"/>
      <c r="I3222" s="2" t="n">
        <v>2320</v>
      </c>
      <c r="J3222" t="inlineStr"/>
      <c r="K3222" t="inlineStr"/>
      <c r="L3222" s="2" t="n">
        <v>1009</v>
      </c>
      <c r="M3222" t="inlineStr"/>
      <c r="N3222" t="inlineStr">
        <is>
          <t>20250428900453</t>
        </is>
      </c>
      <c r="O3222">
        <f>HYPERLINK("https://dart.fss.or.kr/dsaf001/main.do?rcpNo=20250428900453", "공시열람")</f>
        <v/>
      </c>
    </row>
    <row r="3223">
      <c r="A3223" t="inlineStr">
        <is>
          <t>2025-04-25</t>
        </is>
      </c>
      <c r="B3223" t="inlineStr">
        <is>
          <t>에스원</t>
        </is>
      </c>
      <c r="C3223" t="inlineStr">
        <is>
          <t>012750</t>
        </is>
      </c>
      <c r="D3223" t="inlineStr">
        <is>
          <t>연결</t>
        </is>
      </c>
      <c r="E3223" t="inlineStr">
        <is>
          <t>2025Q1</t>
        </is>
      </c>
      <c r="F3223" s="2" t="n">
        <v>674118</v>
      </c>
      <c r="G3223" t="n">
        <v>-11.71</v>
      </c>
      <c r="H3223" t="n">
        <v>1.7</v>
      </c>
      <c r="I3223" s="2" t="n">
        <v>55051</v>
      </c>
      <c r="J3223" t="n">
        <v>15</v>
      </c>
      <c r="K3223" t="n">
        <v>12.82</v>
      </c>
      <c r="L3223" s="2" t="n">
        <v>42025</v>
      </c>
      <c r="M3223" t="n">
        <v>3.36</v>
      </c>
      <c r="N3223" t="inlineStr">
        <is>
          <t>20250425800542</t>
        </is>
      </c>
      <c r="O3223">
        <f>HYPERLINK("https://dart.fss.or.kr/dsaf001/main.do?rcpNo=20250425800542", "공시열람")</f>
        <v/>
      </c>
    </row>
    <row r="3224">
      <c r="A3224" t="inlineStr">
        <is>
          <t>2025-04-25</t>
        </is>
      </c>
      <c r="B3224" t="inlineStr">
        <is>
          <t>우리금융지주</t>
        </is>
      </c>
      <c r="C3224" t="inlineStr">
        <is>
          <t>316140</t>
        </is>
      </c>
      <c r="D3224" t="inlineStr">
        <is>
          <t>연결</t>
        </is>
      </c>
      <c r="E3224" t="inlineStr">
        <is>
          <t>2025Q1</t>
        </is>
      </c>
      <c r="F3224" s="2" t="n">
        <v>9657830</v>
      </c>
      <c r="G3224" t="n">
        <v>-37.7</v>
      </c>
      <c r="H3224" t="n">
        <v>-24.85</v>
      </c>
      <c r="I3224" s="2" t="n">
        <v>867834</v>
      </c>
      <c r="J3224" t="n">
        <v>28.73</v>
      </c>
      <c r="K3224" t="n">
        <v>-24.58</v>
      </c>
      <c r="L3224" s="2" t="n">
        <v>653504</v>
      </c>
      <c r="M3224" t="n">
        <v>-22.1</v>
      </c>
      <c r="N3224" t="inlineStr">
        <is>
          <t>20250425800529</t>
        </is>
      </c>
      <c r="O3224">
        <f>HYPERLINK("https://dart.fss.or.kr/dsaf001/main.do?rcpNo=20250425800529", "공시열람")</f>
        <v/>
      </c>
    </row>
    <row r="3225">
      <c r="A3225" t="inlineStr">
        <is>
          <t>2025-04-25</t>
        </is>
      </c>
      <c r="B3225" t="inlineStr">
        <is>
          <t>우리금융지주</t>
        </is>
      </c>
      <c r="C3225" t="inlineStr">
        <is>
          <t>316140</t>
        </is>
      </c>
      <c r="D3225" t="inlineStr">
        <is>
          <t>연결</t>
        </is>
      </c>
      <c r="E3225" t="inlineStr">
        <is>
          <t>2025Q1</t>
        </is>
      </c>
      <c r="F3225" s="2" t="n">
        <v>8461574</v>
      </c>
      <c r="G3225" t="n">
        <v>-40.44</v>
      </c>
      <c r="H3225" t="n">
        <v>-27.8</v>
      </c>
      <c r="I3225" s="2" t="n">
        <v>813629</v>
      </c>
      <c r="J3225" t="n">
        <v>9.449999999999999</v>
      </c>
      <c r="K3225" t="n">
        <v>-24.44</v>
      </c>
      <c r="L3225" s="2" t="n">
        <v>634166</v>
      </c>
      <c r="M3225" t="n">
        <v>-19.93</v>
      </c>
      <c r="N3225" t="inlineStr">
        <is>
          <t>20250425800543</t>
        </is>
      </c>
      <c r="O3225">
        <f>HYPERLINK("https://dart.fss.or.kr/dsaf001/main.do?rcpNo=20250425800543", "공시열람")</f>
        <v/>
      </c>
    </row>
    <row r="3226">
      <c r="A3226" t="inlineStr">
        <is>
          <t>2025-04-25</t>
        </is>
      </c>
      <c r="B3226" t="inlineStr">
        <is>
          <t>효성중공업</t>
        </is>
      </c>
      <c r="C3226" t="inlineStr">
        <is>
          <t>298040</t>
        </is>
      </c>
      <c r="D3226" t="inlineStr">
        <is>
          <t>연결</t>
        </is>
      </c>
      <c r="E3226" t="inlineStr">
        <is>
          <t>2025Q1</t>
        </is>
      </c>
      <c r="F3226" s="2" t="n">
        <v>1076135</v>
      </c>
      <c r="G3226" t="n">
        <v>-31.52</v>
      </c>
      <c r="H3226" t="n">
        <v>9.31</v>
      </c>
      <c r="I3226" s="2" t="n">
        <v>102387</v>
      </c>
      <c r="J3226" t="n">
        <v>-22.57</v>
      </c>
      <c r="K3226" t="n">
        <v>82.3</v>
      </c>
      <c r="L3226" s="2" t="n">
        <v>103629</v>
      </c>
      <c r="M3226" t="n">
        <v>295.09</v>
      </c>
      <c r="N3226" t="inlineStr">
        <is>
          <t>20250425800635</t>
        </is>
      </c>
      <c r="O3226">
        <f>HYPERLINK("https://dart.fss.or.kr/dsaf001/main.do?rcpNo=20250425800635", "공시열람")</f>
        <v/>
      </c>
    </row>
    <row r="3227">
      <c r="A3227" t="inlineStr">
        <is>
          <t>2025-04-25</t>
        </is>
      </c>
      <c r="B3227" t="inlineStr">
        <is>
          <t>경보제약</t>
        </is>
      </c>
      <c r="C3227" t="inlineStr">
        <is>
          <t>214390</t>
        </is>
      </c>
      <c r="D3227" t="inlineStr">
        <is>
          <t>별도</t>
        </is>
      </c>
      <c r="E3227" t="inlineStr">
        <is>
          <t>2025Q1</t>
        </is>
      </c>
      <c r="F3227" s="2" t="n">
        <v>60588</v>
      </c>
      <c r="G3227" t="n">
        <v>2.1</v>
      </c>
      <c r="H3227" t="n">
        <v>-3.2</v>
      </c>
      <c r="I3227" s="2" t="n">
        <v>121</v>
      </c>
      <c r="J3227" t="n">
        <v>-95.90000000000001</v>
      </c>
      <c r="K3227" t="n">
        <v>-96</v>
      </c>
      <c r="L3227" s="2" t="n">
        <v>-695</v>
      </c>
      <c r="M3227" t="inlineStr"/>
      <c r="N3227" t="inlineStr">
        <is>
          <t>20250425800627</t>
        </is>
      </c>
      <c r="O3227">
        <f>HYPERLINK("https://dart.fss.or.kr/dsaf001/main.do?rcpNo=20250425800627", "공시열람")</f>
        <v/>
      </c>
    </row>
    <row r="3228">
      <c r="A3228" t="inlineStr">
        <is>
          <t>2025-04-25</t>
        </is>
      </c>
      <c r="B3228" t="inlineStr">
        <is>
          <t>현대비앤지스틸</t>
        </is>
      </c>
      <c r="C3228" t="inlineStr">
        <is>
          <t>004560</t>
        </is>
      </c>
      <c r="D3228" t="inlineStr">
        <is>
          <t>연결</t>
        </is>
      </c>
      <c r="E3228" t="inlineStr">
        <is>
          <t>2025Q1</t>
        </is>
      </c>
      <c r="F3228" s="2" t="n">
        <v>187469</v>
      </c>
      <c r="G3228" t="n">
        <v>1.8</v>
      </c>
      <c r="H3228" t="n">
        <v>-2.2</v>
      </c>
      <c r="I3228" s="2" t="n">
        <v>2475</v>
      </c>
      <c r="J3228" t="n">
        <v>-51.9</v>
      </c>
      <c r="K3228" t="inlineStr"/>
      <c r="L3228" s="2" t="n">
        <v>1020</v>
      </c>
      <c r="M3228" t="n">
        <v>-48.6</v>
      </c>
      <c r="N3228" t="inlineStr">
        <is>
          <t>20250425800669</t>
        </is>
      </c>
      <c r="O3228">
        <f>HYPERLINK("https://dart.fss.or.kr/dsaf001/main.do?rcpNo=20250425800669", "공시열람")</f>
        <v/>
      </c>
    </row>
    <row r="3229">
      <c r="A3229" t="inlineStr">
        <is>
          <t>2025-04-25</t>
        </is>
      </c>
      <c r="B3229" t="inlineStr">
        <is>
          <t>LX하우시스</t>
        </is>
      </c>
      <c r="C3229" t="inlineStr">
        <is>
          <t>108670</t>
        </is>
      </c>
      <c r="D3229" t="inlineStr">
        <is>
          <t>연결</t>
        </is>
      </c>
      <c r="E3229" t="inlineStr">
        <is>
          <t>2025Q1</t>
        </is>
      </c>
      <c r="F3229" s="2" t="n">
        <v>781390</v>
      </c>
      <c r="G3229" t="inlineStr"/>
      <c r="H3229" t="inlineStr"/>
      <c r="I3229" s="2" t="n">
        <v>7062</v>
      </c>
      <c r="J3229" t="inlineStr"/>
      <c r="K3229" t="inlineStr"/>
      <c r="L3229" s="2" t="n">
        <v>-2442</v>
      </c>
      <c r="M3229" t="inlineStr"/>
      <c r="N3229" t="inlineStr">
        <is>
          <t>20250425800807</t>
        </is>
      </c>
      <c r="O3229">
        <f>HYPERLINK("https://dart.fss.or.kr/dsaf001/main.do?rcpNo=20250425800807", "공시열람")</f>
        <v/>
      </c>
    </row>
    <row r="3230">
      <c r="A3230" t="inlineStr">
        <is>
          <t>2025-04-25</t>
        </is>
      </c>
      <c r="B3230" t="inlineStr">
        <is>
          <t>한미사이언스</t>
        </is>
      </c>
      <c r="C3230" t="inlineStr">
        <is>
          <t>008930</t>
        </is>
      </c>
      <c r="D3230" t="inlineStr">
        <is>
          <t>연결</t>
        </is>
      </c>
      <c r="E3230" t="inlineStr">
        <is>
          <t>2025Q1</t>
        </is>
      </c>
      <c r="F3230" s="2" t="n">
        <v>332161</v>
      </c>
      <c r="G3230" t="inlineStr"/>
      <c r="H3230" t="inlineStr"/>
      <c r="I3230" s="2" t="n">
        <v>27082</v>
      </c>
      <c r="J3230" t="inlineStr"/>
      <c r="K3230" t="inlineStr"/>
      <c r="L3230" s="2" t="n">
        <v>24465</v>
      </c>
      <c r="M3230" t="inlineStr"/>
      <c r="N3230" t="inlineStr">
        <is>
          <t>20250425800667</t>
        </is>
      </c>
      <c r="O3230">
        <f>HYPERLINK("https://dart.fss.or.kr/dsaf001/main.do?rcpNo=20250425800667", "공시열람")</f>
        <v/>
      </c>
    </row>
    <row r="3231">
      <c r="A3231" t="inlineStr">
        <is>
          <t>2025-04-25</t>
        </is>
      </c>
      <c r="B3231" t="inlineStr">
        <is>
          <t>효성</t>
        </is>
      </c>
      <c r="C3231" t="inlineStr">
        <is>
          <t>004800</t>
        </is>
      </c>
      <c r="D3231" t="inlineStr">
        <is>
          <t>연결</t>
        </is>
      </c>
      <c r="E3231" t="inlineStr">
        <is>
          <t>2025Q1</t>
        </is>
      </c>
      <c r="F3231" s="2" t="n">
        <v>553898</v>
      </c>
      <c r="G3231" t="inlineStr"/>
      <c r="H3231" t="inlineStr"/>
      <c r="I3231" s="2" t="n">
        <v>81821</v>
      </c>
      <c r="J3231" t="inlineStr"/>
      <c r="K3231" t="inlineStr"/>
      <c r="L3231" s="2" t="n">
        <v>72166</v>
      </c>
      <c r="M3231" t="inlineStr"/>
      <c r="N3231" t="inlineStr">
        <is>
          <t>20250425800845</t>
        </is>
      </c>
      <c r="O3231">
        <f>HYPERLINK("https://dart.fss.or.kr/dsaf001/main.do?rcpNo=20250425800845", "공시열람")</f>
        <v/>
      </c>
    </row>
    <row r="3232">
      <c r="A3232" t="inlineStr">
        <is>
          <t>2025-04-25</t>
        </is>
      </c>
      <c r="B3232" t="inlineStr">
        <is>
          <t>와이즈넛</t>
        </is>
      </c>
      <c r="C3232" t="inlineStr">
        <is>
          <t>096250</t>
        </is>
      </c>
      <c r="D3232" t="inlineStr">
        <is>
          <t>연결</t>
        </is>
      </c>
      <c r="E3232" t="inlineStr">
        <is>
          <t>2025Q1</t>
        </is>
      </c>
      <c r="F3232" s="2" t="n">
        <v>5395</v>
      </c>
      <c r="G3232" t="inlineStr"/>
      <c r="H3232" t="inlineStr"/>
      <c r="I3232" s="2" t="n">
        <v>-4075</v>
      </c>
      <c r="J3232" t="inlineStr"/>
      <c r="K3232" t="inlineStr"/>
      <c r="L3232" s="2" t="n">
        <v>-3580</v>
      </c>
      <c r="M3232" t="inlineStr"/>
      <c r="N3232" t="inlineStr">
        <is>
          <t>20250425900681</t>
        </is>
      </c>
      <c r="O3232">
        <f>HYPERLINK("https://dart.fss.or.kr/dsaf001/main.do?rcpNo=20250425900681", "공시열람")</f>
        <v/>
      </c>
    </row>
    <row r="3233">
      <c r="A3233" t="inlineStr">
        <is>
          <t>2025-04-25</t>
        </is>
      </c>
      <c r="B3233" t="inlineStr">
        <is>
          <t>골프존</t>
        </is>
      </c>
      <c r="C3233" t="inlineStr">
        <is>
          <t>215000</t>
        </is>
      </c>
      <c r="D3233" t="inlineStr">
        <is>
          <t>연결</t>
        </is>
      </c>
      <c r="E3233" t="inlineStr">
        <is>
          <t>2025Q1</t>
        </is>
      </c>
      <c r="F3233" s="2" t="n">
        <v>129837</v>
      </c>
      <c r="G3233" t="inlineStr"/>
      <c r="H3233" t="inlineStr"/>
      <c r="I3233" s="2" t="n">
        <v>26757</v>
      </c>
      <c r="J3233" t="inlineStr"/>
      <c r="K3233" t="inlineStr"/>
      <c r="L3233" s="2" t="inlineStr"/>
      <c r="M3233" t="inlineStr"/>
      <c r="N3233" t="inlineStr">
        <is>
          <t>20250425900894</t>
        </is>
      </c>
      <c r="O3233">
        <f>HYPERLINK("https://dart.fss.or.kr/dsaf001/main.do?rcpNo=20250425900894", "공시열람")</f>
        <v/>
      </c>
    </row>
    <row r="3234">
      <c r="A3234" t="inlineStr">
        <is>
          <t>2025-04-25</t>
        </is>
      </c>
      <c r="B3234" t="inlineStr">
        <is>
          <t>효성 ITX</t>
        </is>
      </c>
      <c r="C3234" t="inlineStr">
        <is>
          <t>094280</t>
        </is>
      </c>
      <c r="D3234" t="inlineStr">
        <is>
          <t>연결</t>
        </is>
      </c>
      <c r="E3234" t="inlineStr">
        <is>
          <t>2025Q1</t>
        </is>
      </c>
      <c r="F3234" s="2" t="n">
        <v>122076</v>
      </c>
      <c r="G3234" t="n">
        <v>-11.33</v>
      </c>
      <c r="H3234" t="n">
        <v>-3.65</v>
      </c>
      <c r="I3234" s="2" t="n">
        <v>3710</v>
      </c>
      <c r="J3234" t="n">
        <v>-36.11</v>
      </c>
      <c r="K3234" t="n">
        <v>-18.61</v>
      </c>
      <c r="L3234" s="2" t="n">
        <v>3223</v>
      </c>
      <c r="M3234" t="n">
        <v>-5.73</v>
      </c>
      <c r="N3234" t="inlineStr">
        <is>
          <t>20250425800897</t>
        </is>
      </c>
      <c r="O3234">
        <f>HYPERLINK("https://dart.fss.or.kr/dsaf001/main.do?rcpNo=20250425800897", "공시열람")</f>
        <v/>
      </c>
    </row>
    <row r="3235">
      <c r="A3235" t="inlineStr">
        <is>
          <t>2025-04-25</t>
        </is>
      </c>
      <c r="B3235" t="inlineStr">
        <is>
          <t>효성티앤씨</t>
        </is>
      </c>
      <c r="C3235" t="inlineStr">
        <is>
          <t>298020</t>
        </is>
      </c>
      <c r="D3235" t="inlineStr">
        <is>
          <t>연결</t>
        </is>
      </c>
      <c r="E3235" t="inlineStr">
        <is>
          <t>2025Q1</t>
        </is>
      </c>
      <c r="F3235" s="2" t="n">
        <v>1952704</v>
      </c>
      <c r="G3235" t="n">
        <v>-1.3</v>
      </c>
      <c r="H3235" t="n">
        <v>3.9</v>
      </c>
      <c r="I3235" s="2" t="n">
        <v>77386</v>
      </c>
      <c r="J3235" t="n">
        <v>82.40000000000001</v>
      </c>
      <c r="K3235" t="n">
        <v>1.7</v>
      </c>
      <c r="L3235" s="2" t="n">
        <v>24463</v>
      </c>
      <c r="M3235" t="n">
        <v>-56.4</v>
      </c>
      <c r="N3235" t="inlineStr">
        <is>
          <t>20250425800883</t>
        </is>
      </c>
      <c r="O3235">
        <f>HYPERLINK("https://dart.fss.or.kr/dsaf001/main.do?rcpNo=20250425800883", "공시열람")</f>
        <v/>
      </c>
    </row>
    <row r="3236">
      <c r="A3236" t="inlineStr">
        <is>
          <t>2025-04-25</t>
        </is>
      </c>
      <c r="B3236" t="inlineStr">
        <is>
          <t>효성화학</t>
        </is>
      </c>
      <c r="C3236" t="inlineStr">
        <is>
          <t>298000</t>
        </is>
      </c>
      <c r="D3236" t="inlineStr">
        <is>
          <t>연결</t>
        </is>
      </c>
      <c r="E3236" t="inlineStr">
        <is>
          <t>2025Q1</t>
        </is>
      </c>
      <c r="F3236" s="2" t="n">
        <v>615032</v>
      </c>
      <c r="G3236" t="n">
        <v>-15.98</v>
      </c>
      <c r="H3236" t="n">
        <v>-7.36</v>
      </c>
      <c r="I3236" s="2" t="n">
        <v>-59682</v>
      </c>
      <c r="J3236" t="n">
        <v>-29.65</v>
      </c>
      <c r="K3236" t="n">
        <v>-44.5</v>
      </c>
      <c r="L3236" s="2" t="n">
        <v>374151</v>
      </c>
      <c r="M3236" t="inlineStr"/>
      <c r="N3236" t="inlineStr">
        <is>
          <t>20250425800746</t>
        </is>
      </c>
      <c r="O3236">
        <f>HYPERLINK("https://dart.fss.or.kr/dsaf001/main.do?rcpNo=20250425800746", "공시열람")</f>
        <v/>
      </c>
    </row>
    <row r="3237">
      <c r="A3237" t="inlineStr">
        <is>
          <t>2025-04-25</t>
        </is>
      </c>
      <c r="B3237" t="inlineStr">
        <is>
          <t>호텔신라</t>
        </is>
      </c>
      <c r="C3237" t="inlineStr">
        <is>
          <t>008770</t>
        </is>
      </c>
      <c r="D3237" t="inlineStr">
        <is>
          <t>연결</t>
        </is>
      </c>
      <c r="E3237" t="inlineStr">
        <is>
          <t>2025Q1</t>
        </is>
      </c>
      <c r="F3237" s="2" t="n">
        <v>971789</v>
      </c>
      <c r="G3237" t="n">
        <v>2.5</v>
      </c>
      <c r="H3237" t="n">
        <v>-0.9</v>
      </c>
      <c r="I3237" s="2" t="n">
        <v>-2470</v>
      </c>
      <c r="J3237" t="n">
        <v>91.2</v>
      </c>
      <c r="K3237" t="inlineStr"/>
      <c r="L3237" s="2" t="n">
        <v>-6180</v>
      </c>
      <c r="M3237" t="n">
        <v>-284.1</v>
      </c>
      <c r="N3237" t="inlineStr">
        <is>
          <t>20250425800511</t>
        </is>
      </c>
      <c r="O3237">
        <f>HYPERLINK("https://dart.fss.or.kr/dsaf001/main.do?rcpNo=20250425800511", "공시열람")</f>
        <v/>
      </c>
    </row>
    <row r="3238">
      <c r="A3238" t="inlineStr">
        <is>
          <t>2025-04-25</t>
        </is>
      </c>
      <c r="B3238" t="inlineStr">
        <is>
          <t>HL만도</t>
        </is>
      </c>
      <c r="C3238" t="inlineStr">
        <is>
          <t>204320</t>
        </is>
      </c>
      <c r="D3238" t="inlineStr">
        <is>
          <t>연결</t>
        </is>
      </c>
      <c r="E3238" t="inlineStr">
        <is>
          <t>2025Q1</t>
        </is>
      </c>
      <c r="F3238" s="2" t="n">
        <v>2271045</v>
      </c>
      <c r="G3238" t="n">
        <v>-6.2</v>
      </c>
      <c r="H3238" t="n">
        <v>7.8</v>
      </c>
      <c r="I3238" s="2" t="n">
        <v>79183</v>
      </c>
      <c r="J3238" t="n">
        <v>-28.7</v>
      </c>
      <c r="K3238" t="n">
        <v>4.7</v>
      </c>
      <c r="L3238" s="2" t="n">
        <v>34643</v>
      </c>
      <c r="M3238" t="n">
        <v>-76.2</v>
      </c>
      <c r="N3238" t="inlineStr">
        <is>
          <t>20250425800517</t>
        </is>
      </c>
      <c r="O3238">
        <f>HYPERLINK("https://dart.fss.or.kr/dsaf001/main.do?rcpNo=20250425800517", "공시열람")</f>
        <v/>
      </c>
    </row>
    <row r="3239">
      <c r="A3239" t="inlineStr">
        <is>
          <t>2025-04-25</t>
        </is>
      </c>
      <c r="B3239" t="inlineStr">
        <is>
          <t>현대모비스</t>
        </is>
      </c>
      <c r="C3239" t="inlineStr">
        <is>
          <t>012330</t>
        </is>
      </c>
      <c r="D3239" t="inlineStr">
        <is>
          <t>연결</t>
        </is>
      </c>
      <c r="E3239" t="inlineStr">
        <is>
          <t>2025Q1</t>
        </is>
      </c>
      <c r="F3239" s="2" t="n">
        <v>14752034</v>
      </c>
      <c r="G3239" t="n">
        <v>0.28</v>
      </c>
      <c r="H3239" t="n">
        <v>6.37</v>
      </c>
      <c r="I3239" s="2" t="n">
        <v>776683</v>
      </c>
      <c r="J3239" t="n">
        <v>-21.24</v>
      </c>
      <c r="K3239" t="n">
        <v>43.13</v>
      </c>
      <c r="L3239" s="2" t="n">
        <v>1031748</v>
      </c>
      <c r="M3239" t="n">
        <v>19.64</v>
      </c>
      <c r="N3239" t="inlineStr">
        <is>
          <t>20250425800099</t>
        </is>
      </c>
      <c r="O3239">
        <f>HYPERLINK("https://dart.fss.or.kr/dsaf001/main.do?rcpNo=20250425800099", "공시열람")</f>
        <v/>
      </c>
    </row>
    <row r="3240">
      <c r="A3240" t="inlineStr">
        <is>
          <t>2025-04-25</t>
        </is>
      </c>
      <c r="B3240" t="inlineStr">
        <is>
          <t>기업은행</t>
        </is>
      </c>
      <c r="C3240" t="inlineStr">
        <is>
          <t>024110</t>
        </is>
      </c>
      <c r="D3240" t="inlineStr">
        <is>
          <t>연결</t>
        </is>
      </c>
      <c r="E3240" t="inlineStr">
        <is>
          <t>2025Q1</t>
        </is>
      </c>
      <c r="F3240" s="2" t="n">
        <v>7732963</v>
      </c>
      <c r="G3240" t="n">
        <v>-28.9</v>
      </c>
      <c r="H3240" t="n">
        <v>-14.1</v>
      </c>
      <c r="I3240" s="2" t="n">
        <v>1024027</v>
      </c>
      <c r="J3240" t="n">
        <v>67.7</v>
      </c>
      <c r="K3240" t="n">
        <v>-0.6</v>
      </c>
      <c r="L3240" s="2" t="n">
        <v>814175</v>
      </c>
      <c r="M3240" t="n">
        <v>3.8</v>
      </c>
      <c r="N3240" t="inlineStr">
        <is>
          <t>20250425800493</t>
        </is>
      </c>
      <c r="O3240">
        <f>HYPERLINK("https://dart.fss.or.kr/dsaf001/main.do?rcpNo=20250425800493", "공시열람")</f>
        <v/>
      </c>
    </row>
    <row r="3241">
      <c r="A3241" t="inlineStr">
        <is>
          <t>2025-04-25</t>
        </is>
      </c>
      <c r="B3241" t="inlineStr">
        <is>
          <t>BNK금융지주</t>
        </is>
      </c>
      <c r="C3241" t="inlineStr">
        <is>
          <t>138930</t>
        </is>
      </c>
      <c r="D3241" t="inlineStr">
        <is>
          <t>연결</t>
        </is>
      </c>
      <c r="E3241" t="inlineStr">
        <is>
          <t>2025Q1</t>
        </is>
      </c>
      <c r="F3241" s="2" t="n">
        <v>2646163</v>
      </c>
      <c r="G3241" t="n">
        <v>1.31</v>
      </c>
      <c r="H3241" t="n">
        <v>-0.12</v>
      </c>
      <c r="I3241" s="2" t="n">
        <v>205841</v>
      </c>
      <c r="J3241" t="n">
        <v>619.75</v>
      </c>
      <c r="K3241" t="n">
        <v>-33.91</v>
      </c>
      <c r="L3241" s="2" t="n">
        <v>171832</v>
      </c>
      <c r="M3241" t="n">
        <v>-32.52</v>
      </c>
      <c r="N3241" t="inlineStr">
        <is>
          <t>20250425800478</t>
        </is>
      </c>
      <c r="O3241">
        <f>HYPERLINK("https://dart.fss.or.kr/dsaf001/main.do?rcpNo=20250425800478", "공시열람")</f>
        <v/>
      </c>
    </row>
    <row r="3242">
      <c r="A3242" t="inlineStr">
        <is>
          <t>2025-04-25</t>
        </is>
      </c>
      <c r="B3242" t="inlineStr">
        <is>
          <t>삼성카드</t>
        </is>
      </c>
      <c r="C3242" t="inlineStr">
        <is>
          <t>029780</t>
        </is>
      </c>
      <c r="D3242" t="inlineStr">
        <is>
          <t>연결</t>
        </is>
      </c>
      <c r="E3242" t="inlineStr">
        <is>
          <t>2025Q1</t>
        </is>
      </c>
      <c r="F3242" s="2" t="n">
        <v>1067400</v>
      </c>
      <c r="G3242" t="n">
        <v>-18.2</v>
      </c>
      <c r="H3242" t="n">
        <v>-3.5</v>
      </c>
      <c r="I3242" s="2" t="n">
        <v>244900</v>
      </c>
      <c r="J3242" t="n">
        <v>42.6</v>
      </c>
      <c r="K3242" t="n">
        <v>1.5</v>
      </c>
      <c r="L3242" s="2" t="n">
        <v>184400</v>
      </c>
      <c r="M3242" t="n">
        <v>3.7</v>
      </c>
      <c r="N3242" t="inlineStr">
        <is>
          <t>20250425800054</t>
        </is>
      </c>
      <c r="O3242">
        <f>HYPERLINK("https://dart.fss.or.kr/dsaf001/main.do?rcpNo=20250425800054", "공시열람")</f>
        <v/>
      </c>
    </row>
    <row r="3243">
      <c r="A3243" t="inlineStr">
        <is>
          <t>2025-04-25</t>
        </is>
      </c>
      <c r="B3243" t="inlineStr">
        <is>
          <t>제일기획</t>
        </is>
      </c>
      <c r="C3243" t="inlineStr">
        <is>
          <t>030000</t>
        </is>
      </c>
      <c r="D3243" t="inlineStr">
        <is>
          <t>연결</t>
        </is>
      </c>
      <c r="E3243" t="inlineStr">
        <is>
          <t>2025Q1</t>
        </is>
      </c>
      <c r="F3243" s="2" t="n">
        <v>1039417</v>
      </c>
      <c r="G3243" t="n">
        <v>-10.72</v>
      </c>
      <c r="H3243" t="n">
        <v>2.1</v>
      </c>
      <c r="I3243" s="2" t="n">
        <v>58492</v>
      </c>
      <c r="J3243" t="n">
        <v>-29.01</v>
      </c>
      <c r="K3243" t="n">
        <v>7.24</v>
      </c>
      <c r="L3243" s="2" t="n">
        <v>28033</v>
      </c>
      <c r="M3243" t="n">
        <v>-35.47</v>
      </c>
      <c r="N3243" t="inlineStr">
        <is>
          <t>20250425800224</t>
        </is>
      </c>
      <c r="O3243">
        <f>HYPERLINK("https://dart.fss.or.kr/dsaf001/main.do?rcpNo=20250425800224", "공시열람")</f>
        <v/>
      </c>
    </row>
    <row r="3244">
      <c r="A3244" t="inlineStr">
        <is>
          <t>2025-04-25</t>
        </is>
      </c>
      <c r="B3244" t="inlineStr">
        <is>
          <t>동국제강</t>
        </is>
      </c>
      <c r="C3244" t="inlineStr">
        <is>
          <t>460860</t>
        </is>
      </c>
      <c r="D3244" t="inlineStr">
        <is>
          <t>별도</t>
        </is>
      </c>
      <c r="E3244" t="inlineStr">
        <is>
          <t>2025Q1</t>
        </is>
      </c>
      <c r="F3244" s="2" t="n">
        <v>725549</v>
      </c>
      <c r="G3244" t="n">
        <v>-11.69</v>
      </c>
      <c r="H3244" t="n">
        <v>-21.75</v>
      </c>
      <c r="I3244" s="2" t="n">
        <v>4255</v>
      </c>
      <c r="J3244" t="inlineStr"/>
      <c r="K3244" t="n">
        <v>-91.90000000000001</v>
      </c>
      <c r="L3244" s="2" t="n">
        <v>2451</v>
      </c>
      <c r="M3244" t="n">
        <v>-91.59</v>
      </c>
      <c r="N3244" t="inlineStr">
        <is>
          <t>20250425800236</t>
        </is>
      </c>
      <c r="O3244">
        <f>HYPERLINK("https://dart.fss.or.kr/dsaf001/main.do?rcpNo=20250425800236", "공시열람")</f>
        <v/>
      </c>
    </row>
    <row r="3245">
      <c r="A3245" t="inlineStr">
        <is>
          <t>2025-04-25</t>
        </is>
      </c>
      <c r="B3245" t="inlineStr">
        <is>
          <t>LX세미콘</t>
        </is>
      </c>
      <c r="C3245" t="inlineStr">
        <is>
          <t>108320</t>
        </is>
      </c>
      <c r="D3245" t="inlineStr">
        <is>
          <t>연결</t>
        </is>
      </c>
      <c r="E3245" t="inlineStr">
        <is>
          <t>2025Q1</t>
        </is>
      </c>
      <c r="F3245" s="2" t="n">
        <v>476233</v>
      </c>
      <c r="G3245" t="n">
        <v>-5.2</v>
      </c>
      <c r="H3245" t="n">
        <v>3.9</v>
      </c>
      <c r="I3245" s="2" t="n">
        <v>59691</v>
      </c>
      <c r="J3245" t="n">
        <v>95.7</v>
      </c>
      <c r="K3245" t="n">
        <v>29.1</v>
      </c>
      <c r="L3245" s="2" t="n">
        <v>45357</v>
      </c>
      <c r="M3245" t="n">
        <v>13.2</v>
      </c>
      <c r="N3245" t="inlineStr">
        <is>
          <t>20250425800238</t>
        </is>
      </c>
      <c r="O3245">
        <f>HYPERLINK("https://dart.fss.or.kr/dsaf001/main.do?rcpNo=20250425800238", "공시열람")</f>
        <v/>
      </c>
    </row>
    <row r="3246">
      <c r="A3246" t="inlineStr">
        <is>
          <t>2025-04-25</t>
        </is>
      </c>
      <c r="B3246" t="inlineStr">
        <is>
          <t>삼성SDI</t>
        </is>
      </c>
      <c r="C3246" t="inlineStr">
        <is>
          <t>006400</t>
        </is>
      </c>
      <c r="D3246" t="inlineStr">
        <is>
          <t>연결</t>
        </is>
      </c>
      <c r="E3246" t="inlineStr">
        <is>
          <t>2025Q1</t>
        </is>
      </c>
      <c r="F3246" s="2" t="n">
        <v>3176800</v>
      </c>
      <c r="G3246" t="n">
        <v>-15.4</v>
      </c>
      <c r="H3246" t="n">
        <v>-34</v>
      </c>
      <c r="I3246" s="2" t="n">
        <v>-434100</v>
      </c>
      <c r="J3246" t="inlineStr"/>
      <c r="K3246" t="inlineStr"/>
      <c r="L3246" s="2" t="n">
        <v>-216000</v>
      </c>
      <c r="M3246" t="inlineStr"/>
      <c r="N3246" t="inlineStr">
        <is>
          <t>20250425800258</t>
        </is>
      </c>
      <c r="O3246">
        <f>HYPERLINK("https://dart.fss.or.kr/dsaf001/main.do?rcpNo=20250425800258", "공시열람")</f>
        <v/>
      </c>
    </row>
    <row r="3247">
      <c r="A3247" t="inlineStr">
        <is>
          <t>2025-04-25</t>
        </is>
      </c>
      <c r="B3247" t="inlineStr">
        <is>
          <t>신한지주</t>
        </is>
      </c>
      <c r="C3247" t="inlineStr">
        <is>
          <t>055550</t>
        </is>
      </c>
      <c r="D3247" t="inlineStr">
        <is>
          <t>연결</t>
        </is>
      </c>
      <c r="E3247" t="inlineStr">
        <is>
          <t>2025Q1</t>
        </is>
      </c>
      <c r="F3247" s="2" t="n">
        <v>16116039</v>
      </c>
      <c r="G3247" t="n">
        <v>-33.81</v>
      </c>
      <c r="H3247" t="n">
        <v>-19.91</v>
      </c>
      <c r="I3247" s="2" t="n">
        <v>1944214</v>
      </c>
      <c r="J3247" t="n">
        <v>191.05</v>
      </c>
      <c r="K3247" t="n">
        <v>-6</v>
      </c>
      <c r="L3247" s="2" t="n">
        <v>1517046</v>
      </c>
      <c r="M3247" t="n">
        <v>12.55</v>
      </c>
      <c r="N3247" t="inlineStr">
        <is>
          <t>20250425800245</t>
        </is>
      </c>
      <c r="O3247">
        <f>HYPERLINK("https://dart.fss.or.kr/dsaf001/main.do?rcpNo=20250425800245", "공시열람")</f>
        <v/>
      </c>
    </row>
    <row r="3248">
      <c r="A3248" t="inlineStr">
        <is>
          <t>2025-04-25</t>
        </is>
      </c>
      <c r="B3248" t="inlineStr">
        <is>
          <t>신한지주</t>
        </is>
      </c>
      <c r="C3248" t="inlineStr">
        <is>
          <t>055550</t>
        </is>
      </c>
      <c r="D3248" t="inlineStr">
        <is>
          <t>연결</t>
        </is>
      </c>
      <c r="E3248" t="inlineStr">
        <is>
          <t>2025Q1</t>
        </is>
      </c>
      <c r="F3248" s="2" t="n">
        <v>9690434</v>
      </c>
      <c r="G3248" t="n">
        <v>-44.83</v>
      </c>
      <c r="H3248" t="n">
        <v>-23.46</v>
      </c>
      <c r="I3248" s="2" t="n">
        <v>1460133</v>
      </c>
      <c r="J3248" t="n">
        <v>80.23999999999999</v>
      </c>
      <c r="K3248" t="n">
        <v>-2.45</v>
      </c>
      <c r="L3248" s="2" t="n">
        <v>1128284</v>
      </c>
      <c r="M3248" t="n">
        <v>21.47</v>
      </c>
      <c r="N3248" t="inlineStr">
        <is>
          <t>20250425800253</t>
        </is>
      </c>
      <c r="O3248">
        <f>HYPERLINK("https://dart.fss.or.kr/dsaf001/main.do?rcpNo=20250425800253", "공시열람")</f>
        <v/>
      </c>
    </row>
    <row r="3249">
      <c r="A3249" t="inlineStr">
        <is>
          <t>2025-04-25</t>
        </is>
      </c>
      <c r="B3249" t="inlineStr">
        <is>
          <t>신한지주</t>
        </is>
      </c>
      <c r="C3249" t="inlineStr">
        <is>
          <t>055550</t>
        </is>
      </c>
      <c r="D3249" t="inlineStr">
        <is>
          <t>연결</t>
        </is>
      </c>
      <c r="E3249" t="inlineStr">
        <is>
          <t>2025Q1</t>
        </is>
      </c>
      <c r="F3249" s="2" t="n">
        <v>1469158</v>
      </c>
      <c r="G3249" t="n">
        <v>-20.61</v>
      </c>
      <c r="H3249" t="n">
        <v>-3.46</v>
      </c>
      <c r="I3249" s="2" t="n">
        <v>178390</v>
      </c>
      <c r="J3249" t="n">
        <v>287.23</v>
      </c>
      <c r="K3249" t="n">
        <v>-24.75</v>
      </c>
      <c r="L3249" s="2" t="n">
        <v>136878</v>
      </c>
      <c r="M3249" t="n">
        <v>-26.27</v>
      </c>
      <c r="N3249" t="inlineStr">
        <is>
          <t>20250425800260</t>
        </is>
      </c>
      <c r="O3249">
        <f>HYPERLINK("https://dart.fss.or.kr/dsaf001/main.do?rcpNo=20250425800260", "공시열람")</f>
        <v/>
      </c>
    </row>
    <row r="3250">
      <c r="A3250" t="inlineStr">
        <is>
          <t>2025-04-25</t>
        </is>
      </c>
      <c r="B3250" t="inlineStr">
        <is>
          <t>신한지주</t>
        </is>
      </c>
      <c r="C3250" t="inlineStr">
        <is>
          <t>055550</t>
        </is>
      </c>
      <c r="D3250" t="inlineStr">
        <is>
          <t>연결</t>
        </is>
      </c>
      <c r="E3250" t="inlineStr">
        <is>
          <t>2025Q1</t>
        </is>
      </c>
      <c r="F3250" s="2" t="n">
        <v>1745742</v>
      </c>
      <c r="G3250" t="n">
        <v>-14.16</v>
      </c>
      <c r="H3250" t="n">
        <v>-7.26</v>
      </c>
      <c r="I3250" s="2" t="n">
        <v>231374</v>
      </c>
      <c r="J3250" t="n">
        <v>185.77</v>
      </c>
      <c r="K3250" t="n">
        <v>6.55</v>
      </c>
      <c r="L3250" s="2" t="n">
        <v>165172</v>
      </c>
      <c r="M3250" t="n">
        <v>7.12</v>
      </c>
      <c r="N3250" t="inlineStr">
        <is>
          <t>20250425800261</t>
        </is>
      </c>
      <c r="O3250">
        <f>HYPERLINK("https://dart.fss.or.kr/dsaf001/main.do?rcpNo=20250425800261", "공시열람")</f>
        <v/>
      </c>
    </row>
    <row r="3251">
      <c r="A3251" t="inlineStr">
        <is>
          <t>2025-04-25</t>
        </is>
      </c>
      <c r="B3251" t="inlineStr">
        <is>
          <t>NI스틸</t>
        </is>
      </c>
      <c r="C3251" t="inlineStr">
        <is>
          <t>008260</t>
        </is>
      </c>
      <c r="D3251" t="inlineStr">
        <is>
          <t>별도</t>
        </is>
      </c>
      <c r="E3251" t="inlineStr">
        <is>
          <t>2025Q1</t>
        </is>
      </c>
      <c r="F3251" s="2" t="n">
        <v>53887</v>
      </c>
      <c r="G3251" t="n">
        <v>-13.6</v>
      </c>
      <c r="H3251" t="n">
        <v>-29.8</v>
      </c>
      <c r="I3251" s="2" t="n">
        <v>6775</v>
      </c>
      <c r="J3251" t="n">
        <v>16.6</v>
      </c>
      <c r="K3251" t="n">
        <v>-49.6</v>
      </c>
      <c r="L3251" s="2" t="n">
        <v>4382</v>
      </c>
      <c r="M3251" t="n">
        <v>-55</v>
      </c>
      <c r="N3251" t="inlineStr">
        <is>
          <t>20250425800286</t>
        </is>
      </c>
      <c r="O3251">
        <f>HYPERLINK("https://dart.fss.or.kr/dsaf001/main.do?rcpNo=20250425800286", "공시열람")</f>
        <v/>
      </c>
    </row>
    <row r="3252">
      <c r="A3252" t="inlineStr">
        <is>
          <t>2025-04-25</t>
        </is>
      </c>
      <c r="B3252" t="inlineStr">
        <is>
          <t>기아</t>
        </is>
      </c>
      <c r="C3252" t="inlineStr">
        <is>
          <t>000270</t>
        </is>
      </c>
      <c r="D3252" t="inlineStr">
        <is>
          <t>연결</t>
        </is>
      </c>
      <c r="E3252" t="inlineStr">
        <is>
          <t>2025Q1</t>
        </is>
      </c>
      <c r="F3252" s="2" t="n">
        <v>28017510</v>
      </c>
      <c r="G3252" t="n">
        <v>3.2</v>
      </c>
      <c r="H3252" t="n">
        <v>6.9</v>
      </c>
      <c r="I3252" s="2" t="n">
        <v>3008588</v>
      </c>
      <c r="J3252" t="n">
        <v>10.8</v>
      </c>
      <c r="K3252" t="n">
        <v>-12.2</v>
      </c>
      <c r="L3252" s="2" t="n">
        <v>2392589</v>
      </c>
      <c r="M3252" t="n">
        <v>-14.8</v>
      </c>
      <c r="N3252" t="inlineStr">
        <is>
          <t>20250425800310</t>
        </is>
      </c>
      <c r="O3252">
        <f>HYPERLINK("https://dart.fss.or.kr/dsaf001/main.do?rcpNo=20250425800310", "공시열람")</f>
        <v/>
      </c>
    </row>
    <row r="3253">
      <c r="A3253" t="inlineStr">
        <is>
          <t>2025-04-25</t>
        </is>
      </c>
      <c r="B3253" t="inlineStr">
        <is>
          <t>코스모신소재</t>
        </is>
      </c>
      <c r="C3253" t="inlineStr">
        <is>
          <t>005070</t>
        </is>
      </c>
      <c r="D3253" t="inlineStr">
        <is>
          <t>별도</t>
        </is>
      </c>
      <c r="E3253" t="inlineStr">
        <is>
          <t>2025Q1</t>
        </is>
      </c>
      <c r="F3253" s="2" t="n">
        <v>113877</v>
      </c>
      <c r="G3253" t="n">
        <v>-20.3</v>
      </c>
      <c r="H3253" t="n">
        <v>-6.7</v>
      </c>
      <c r="I3253" s="2" t="n">
        <v>1044</v>
      </c>
      <c r="J3253" t="n">
        <v>-83.3</v>
      </c>
      <c r="K3253" t="n">
        <v>-80.3</v>
      </c>
      <c r="L3253" s="2" t="n">
        <v>1923</v>
      </c>
      <c r="M3253" t="n">
        <v>-58.3</v>
      </c>
      <c r="N3253" t="inlineStr">
        <is>
          <t>20250425800305</t>
        </is>
      </c>
      <c r="O3253">
        <f>HYPERLINK("https://dart.fss.or.kr/dsaf001/main.do?rcpNo=20250425800305", "공시열람")</f>
        <v/>
      </c>
    </row>
    <row r="3254">
      <c r="A3254" t="inlineStr">
        <is>
          <t>2025-04-25</t>
        </is>
      </c>
      <c r="B3254" t="inlineStr">
        <is>
          <t>한솔테크닉스</t>
        </is>
      </c>
      <c r="C3254" t="inlineStr">
        <is>
          <t>004710</t>
        </is>
      </c>
      <c r="D3254" t="inlineStr">
        <is>
          <t>연결</t>
        </is>
      </c>
      <c r="E3254" t="inlineStr">
        <is>
          <t>2025Q1</t>
        </is>
      </c>
      <c r="F3254" s="2" t="n">
        <v>337753</v>
      </c>
      <c r="G3254" t="n">
        <v>4.1</v>
      </c>
      <c r="H3254" t="n">
        <v>26</v>
      </c>
      <c r="I3254" s="2" t="n">
        <v>19301</v>
      </c>
      <c r="J3254" t="n">
        <v>1697</v>
      </c>
      <c r="K3254" t="n">
        <v>54.5</v>
      </c>
      <c r="L3254" s="2" t="n">
        <v>16317</v>
      </c>
      <c r="M3254" t="n">
        <v>40.7</v>
      </c>
      <c r="N3254" t="inlineStr">
        <is>
          <t>20250425800335</t>
        </is>
      </c>
      <c r="O3254">
        <f>HYPERLINK("https://dart.fss.or.kr/dsaf001/main.do?rcpNo=20250425800335", "공시열람")</f>
        <v/>
      </c>
    </row>
    <row r="3255">
      <c r="A3255" t="inlineStr">
        <is>
          <t>2025-04-25</t>
        </is>
      </c>
      <c r="B3255" t="inlineStr">
        <is>
          <t>동국씨엠</t>
        </is>
      </c>
      <c r="C3255" t="inlineStr">
        <is>
          <t>460850</t>
        </is>
      </c>
      <c r="D3255" t="inlineStr">
        <is>
          <t>별도</t>
        </is>
      </c>
      <c r="E3255" t="inlineStr">
        <is>
          <t>2025Q1</t>
        </is>
      </c>
      <c r="F3255" s="2" t="n">
        <v>526561</v>
      </c>
      <c r="G3255" t="n">
        <v>4.03</v>
      </c>
      <c r="H3255" t="n">
        <v>-5.37</v>
      </c>
      <c r="I3255" s="2" t="n">
        <v>15063</v>
      </c>
      <c r="J3255" t="n">
        <v>425.44</v>
      </c>
      <c r="K3255" t="n">
        <v>-36.81</v>
      </c>
      <c r="L3255" s="2" t="n">
        <v>9753</v>
      </c>
      <c r="M3255" t="n">
        <v>-54.27</v>
      </c>
      <c r="N3255" t="inlineStr">
        <is>
          <t>20250425800358</t>
        </is>
      </c>
      <c r="O3255">
        <f>HYPERLINK("https://dart.fss.or.kr/dsaf001/main.do?rcpNo=20250425800358", "공시열람")</f>
        <v/>
      </c>
    </row>
    <row r="3256">
      <c r="A3256" t="inlineStr">
        <is>
          <t>2025-04-25</t>
        </is>
      </c>
      <c r="B3256" t="inlineStr">
        <is>
          <t>하나금융지주</t>
        </is>
      </c>
      <c r="C3256" t="inlineStr">
        <is>
          <t>086790</t>
        </is>
      </c>
      <c r="D3256" t="inlineStr">
        <is>
          <t>연결</t>
        </is>
      </c>
      <c r="E3256" t="inlineStr">
        <is>
          <t>2025Q1</t>
        </is>
      </c>
      <c r="F3256" s="2" t="n">
        <v>16922150</v>
      </c>
      <c r="G3256" t="n">
        <v>-40.63</v>
      </c>
      <c r="H3256" t="n">
        <v>-24.58</v>
      </c>
      <c r="I3256" s="2" t="n">
        <v>1488926</v>
      </c>
      <c r="J3256" t="n">
        <v>147.51</v>
      </c>
      <c r="K3256" t="n">
        <v>-4.75</v>
      </c>
      <c r="L3256" s="2" t="n">
        <v>1138429</v>
      </c>
      <c r="M3256" t="n">
        <v>9.300000000000001</v>
      </c>
      <c r="N3256" t="inlineStr">
        <is>
          <t>20250425800410</t>
        </is>
      </c>
      <c r="O3256">
        <f>HYPERLINK("https://dart.fss.or.kr/dsaf001/main.do?rcpNo=20250425800410", "공시열람")</f>
        <v/>
      </c>
    </row>
    <row r="3257">
      <c r="A3257" t="inlineStr">
        <is>
          <t>2025-04-25</t>
        </is>
      </c>
      <c r="B3257" t="inlineStr">
        <is>
          <t>하나금융지주</t>
        </is>
      </c>
      <c r="C3257" t="inlineStr">
        <is>
          <t>086790</t>
        </is>
      </c>
      <c r="D3257" t="inlineStr">
        <is>
          <t>연결</t>
        </is>
      </c>
      <c r="E3257" t="inlineStr">
        <is>
          <t>2025Q1</t>
        </is>
      </c>
      <c r="F3257" s="2" t="n">
        <v>3649124</v>
      </c>
      <c r="G3257" t="n">
        <v>-9.289999999999999</v>
      </c>
      <c r="H3257" t="n">
        <v>-5.89</v>
      </c>
      <c r="I3257" s="2" t="n">
        <v>95754</v>
      </c>
      <c r="J3257" t="inlineStr"/>
      <c r="K3257" t="n">
        <v>-12.16</v>
      </c>
      <c r="L3257" s="2" t="n">
        <v>74699</v>
      </c>
      <c r="M3257" t="n">
        <v>-17.47</v>
      </c>
      <c r="N3257" t="inlineStr">
        <is>
          <t>20250425800421</t>
        </is>
      </c>
      <c r="O3257">
        <f>HYPERLINK("https://dart.fss.or.kr/dsaf001/main.do?rcpNo=20250425800421", "공시열람")</f>
        <v/>
      </c>
    </row>
    <row r="3258">
      <c r="A3258" t="inlineStr">
        <is>
          <t>2025-04-25</t>
        </is>
      </c>
      <c r="B3258" t="inlineStr">
        <is>
          <t>기아</t>
        </is>
      </c>
      <c r="C3258" t="inlineStr">
        <is>
          <t>000270</t>
        </is>
      </c>
      <c r="D3258" t="inlineStr">
        <is>
          <t>연결</t>
        </is>
      </c>
      <c r="E3258" t="inlineStr">
        <is>
          <t>2025Q1</t>
        </is>
      </c>
      <c r="F3258" s="2" t="n">
        <v>28017510</v>
      </c>
      <c r="G3258" t="n">
        <v>3.2</v>
      </c>
      <c r="H3258" t="n">
        <v>6.9</v>
      </c>
      <c r="I3258" s="2" t="n">
        <v>3008588</v>
      </c>
      <c r="J3258" t="n">
        <v>10.8</v>
      </c>
      <c r="K3258" t="n">
        <v>-12.2</v>
      </c>
      <c r="L3258" s="2" t="n">
        <v>2392589</v>
      </c>
      <c r="M3258" t="n">
        <v>-14.8</v>
      </c>
      <c r="N3258" t="inlineStr">
        <is>
          <t>20250425800707</t>
        </is>
      </c>
      <c r="O3258">
        <f>HYPERLINK("https://dart.fss.or.kr/dsaf001/main.do?rcpNo=20250425800707", "공시열람")</f>
        <v/>
      </c>
    </row>
    <row r="3259">
      <c r="A3259" t="inlineStr">
        <is>
          <t>2025-04-25</t>
        </is>
      </c>
      <c r="B3259" t="inlineStr">
        <is>
          <t>BNK금융지주</t>
        </is>
      </c>
      <c r="C3259" t="inlineStr">
        <is>
          <t>138930</t>
        </is>
      </c>
      <c r="D3259" t="inlineStr">
        <is>
          <t>연결</t>
        </is>
      </c>
      <c r="E3259" t="inlineStr">
        <is>
          <t>2025Q1</t>
        </is>
      </c>
      <c r="F3259" s="2" t="n">
        <v>370657</v>
      </c>
      <c r="G3259" t="n">
        <v>-6.74</v>
      </c>
      <c r="H3259" t="n">
        <v>24.1</v>
      </c>
      <c r="I3259" s="2" t="n">
        <v>10942</v>
      </c>
      <c r="J3259" t="n">
        <v>12.65</v>
      </c>
      <c r="K3259" t="n">
        <v>-41.66</v>
      </c>
      <c r="L3259" s="2" t="n">
        <v>5724</v>
      </c>
      <c r="M3259" t="n">
        <v>-60.77</v>
      </c>
      <c r="N3259" t="inlineStr">
        <is>
          <t>20250425800448</t>
        </is>
      </c>
      <c r="O3259">
        <f>HYPERLINK("https://dart.fss.or.kr/dsaf001/main.do?rcpNo=20250425800448", "공시열람")</f>
        <v/>
      </c>
    </row>
    <row r="3260">
      <c r="A3260" t="inlineStr">
        <is>
          <t>2025-04-25</t>
        </is>
      </c>
      <c r="B3260" t="inlineStr">
        <is>
          <t>BNK금융지주</t>
        </is>
      </c>
      <c r="C3260" t="inlineStr">
        <is>
          <t>138930</t>
        </is>
      </c>
      <c r="D3260" t="inlineStr">
        <is>
          <t>연결</t>
        </is>
      </c>
      <c r="E3260" t="inlineStr">
        <is>
          <t>2025Q1</t>
        </is>
      </c>
      <c r="F3260" s="2" t="n">
        <v>649977</v>
      </c>
      <c r="G3260" t="n">
        <v>-7.33</v>
      </c>
      <c r="H3260" t="n">
        <v>-9.460000000000001</v>
      </c>
      <c r="I3260" s="2" t="n">
        <v>81081</v>
      </c>
      <c r="J3260" t="n">
        <v>289.12</v>
      </c>
      <c r="K3260" t="n">
        <v>-36.18</v>
      </c>
      <c r="L3260" s="2" t="n">
        <v>69354</v>
      </c>
      <c r="M3260" t="n">
        <v>-31.47</v>
      </c>
      <c r="N3260" t="inlineStr">
        <is>
          <t>20250425800456</t>
        </is>
      </c>
      <c r="O3260">
        <f>HYPERLINK("https://dart.fss.or.kr/dsaf001/main.do?rcpNo=20250425800456", "공시열람")</f>
        <v/>
      </c>
    </row>
    <row r="3261">
      <c r="A3261" t="inlineStr">
        <is>
          <t>2025-04-25</t>
        </is>
      </c>
      <c r="B3261" t="inlineStr">
        <is>
          <t>티씨케이</t>
        </is>
      </c>
      <c r="C3261" t="inlineStr">
        <is>
          <t>064760</t>
        </is>
      </c>
      <c r="D3261" t="inlineStr">
        <is>
          <t>별도</t>
        </is>
      </c>
      <c r="E3261" t="inlineStr">
        <is>
          <t>2025Q1</t>
        </is>
      </c>
      <c r="F3261" s="2" t="n">
        <v>78362</v>
      </c>
      <c r="G3261" t="inlineStr"/>
      <c r="H3261" t="inlineStr"/>
      <c r="I3261" s="2" t="n">
        <v>23474</v>
      </c>
      <c r="J3261" t="inlineStr"/>
      <c r="K3261" t="inlineStr"/>
      <c r="L3261" s="2" t="n">
        <v>19519</v>
      </c>
      <c r="M3261" t="inlineStr"/>
      <c r="N3261" t="inlineStr">
        <is>
          <t>20250425900452</t>
        </is>
      </c>
      <c r="O3261">
        <f>HYPERLINK("https://dart.fss.or.kr/dsaf001/main.do?rcpNo=20250425900452", "공시열람")</f>
        <v/>
      </c>
    </row>
    <row r="3262">
      <c r="A3262" t="inlineStr">
        <is>
          <t>2025-04-25</t>
        </is>
      </c>
      <c r="B3262" t="inlineStr">
        <is>
          <t>BNK금융지주</t>
        </is>
      </c>
      <c r="C3262" t="inlineStr">
        <is>
          <t>138930</t>
        </is>
      </c>
      <c r="D3262" t="inlineStr">
        <is>
          <t>연결</t>
        </is>
      </c>
      <c r="E3262" t="inlineStr">
        <is>
          <t>2025Q1</t>
        </is>
      </c>
      <c r="F3262" s="2" t="n">
        <v>1214366</v>
      </c>
      <c r="G3262" t="n">
        <v>10.07</v>
      </c>
      <c r="H3262" t="n">
        <v>-2.17</v>
      </c>
      <c r="I3262" s="2" t="n">
        <v>96691</v>
      </c>
      <c r="J3262" t="n">
        <v>418.53</v>
      </c>
      <c r="K3262" t="n">
        <v>-34.87</v>
      </c>
      <c r="L3262" s="2" t="n">
        <v>85614</v>
      </c>
      <c r="M3262" t="n">
        <v>-31.61</v>
      </c>
      <c r="N3262" t="inlineStr">
        <is>
          <t>20250425800468</t>
        </is>
      </c>
      <c r="O3262">
        <f>HYPERLINK("https://dart.fss.or.kr/dsaf001/main.do?rcpNo=20250425800468", "공시열람")</f>
        <v/>
      </c>
    </row>
    <row r="3263">
      <c r="A3263" t="inlineStr">
        <is>
          <t>2025-04-25</t>
        </is>
      </c>
      <c r="B3263" t="inlineStr">
        <is>
          <t>하나금융지주</t>
        </is>
      </c>
      <c r="C3263" t="inlineStr">
        <is>
          <t>086790</t>
        </is>
      </c>
      <c r="D3263" t="inlineStr">
        <is>
          <t>연결</t>
        </is>
      </c>
      <c r="E3263" t="inlineStr">
        <is>
          <t>2025Q1</t>
        </is>
      </c>
      <c r="F3263" s="2" t="n">
        <v>11665434</v>
      </c>
      <c r="G3263" t="n">
        <v>-48.88</v>
      </c>
      <c r="H3263" t="n">
        <v>-32.28</v>
      </c>
      <c r="I3263" s="2" t="n">
        <v>1276260</v>
      </c>
      <c r="J3263" t="n">
        <v>61.12</v>
      </c>
      <c r="K3263" t="n">
        <v>-1.47</v>
      </c>
      <c r="L3263" s="2" t="n">
        <v>997027</v>
      </c>
      <c r="M3263" t="n">
        <v>17.87</v>
      </c>
      <c r="N3263" t="inlineStr">
        <is>
          <t>20250425800418</t>
        </is>
      </c>
      <c r="O3263">
        <f>HYPERLINK("https://dart.fss.or.kr/dsaf001/main.do?rcpNo=20250425800418", "공시열람")</f>
        <v/>
      </c>
    </row>
    <row r="3264">
      <c r="A3264" t="inlineStr">
        <is>
          <t>2025-04-25</t>
        </is>
      </c>
      <c r="B3264" t="inlineStr">
        <is>
          <t>종근당바이오</t>
        </is>
      </c>
      <c r="C3264" t="inlineStr">
        <is>
          <t>063160</t>
        </is>
      </c>
      <c r="D3264" t="inlineStr">
        <is>
          <t>별도</t>
        </is>
      </c>
      <c r="E3264" t="inlineStr">
        <is>
          <t>2025Q1</t>
        </is>
      </c>
      <c r="F3264" s="2" t="n">
        <v>42521</v>
      </c>
      <c r="G3264" t="inlineStr"/>
      <c r="H3264" t="inlineStr"/>
      <c r="I3264" s="2" t="n">
        <v>2087</v>
      </c>
      <c r="J3264" t="inlineStr"/>
      <c r="K3264" t="inlineStr"/>
      <c r="L3264" s="2" t="n">
        <v>900</v>
      </c>
      <c r="M3264" t="inlineStr"/>
      <c r="N3264" t="inlineStr">
        <is>
          <t>20250425800674</t>
        </is>
      </c>
      <c r="O3264">
        <f>HYPERLINK("https://dart.fss.or.kr/dsaf001/main.do?rcpNo=20250425800674", "공시열람")</f>
        <v/>
      </c>
    </row>
    <row r="3265">
      <c r="A3265" t="inlineStr">
        <is>
          <t>2025-04-24</t>
        </is>
      </c>
      <c r="B3265" t="inlineStr">
        <is>
          <t>KB금융</t>
        </is>
      </c>
      <c r="C3265" t="inlineStr">
        <is>
          <t>105560</t>
        </is>
      </c>
      <c r="D3265" t="inlineStr">
        <is>
          <t>연결</t>
        </is>
      </c>
      <c r="E3265" t="inlineStr">
        <is>
          <t>2025Q1</t>
        </is>
      </c>
      <c r="F3265" s="2" t="n">
        <v>2988287</v>
      </c>
      <c r="G3265" t="n">
        <v>8.369999999999999</v>
      </c>
      <c r="H3265" t="n">
        <v>-13.64</v>
      </c>
      <c r="I3265" s="2" t="n">
        <v>224611</v>
      </c>
      <c r="J3265" t="n">
        <v>395.7</v>
      </c>
      <c r="K3265" t="n">
        <v>-11.34</v>
      </c>
      <c r="L3265" s="2" t="n">
        <v>181703</v>
      </c>
      <c r="M3265" t="n">
        <v>-8.619999999999999</v>
      </c>
      <c r="N3265" t="inlineStr">
        <is>
          <t>20250424800426</t>
        </is>
      </c>
      <c r="O3265">
        <f>HYPERLINK("https://dart.fss.or.kr/dsaf001/main.do?rcpNo=20250424800426", "공시열람")</f>
        <v/>
      </c>
    </row>
    <row r="3266">
      <c r="A3266" t="inlineStr">
        <is>
          <t>2025-04-24</t>
        </is>
      </c>
      <c r="B3266" t="inlineStr">
        <is>
          <t>POSCO홀딩스</t>
        </is>
      </c>
      <c r="C3266" t="inlineStr">
        <is>
          <t>005490</t>
        </is>
      </c>
      <c r="D3266" t="inlineStr">
        <is>
          <t>연결</t>
        </is>
      </c>
      <c r="E3266" t="inlineStr">
        <is>
          <t>2025Q1</t>
        </is>
      </c>
      <c r="F3266" s="2" t="n">
        <v>17</v>
      </c>
      <c r="G3266" t="inlineStr"/>
      <c r="H3266" t="inlineStr"/>
      <c r="I3266" s="2" t="n">
        <v>1</v>
      </c>
      <c r="J3266" t="inlineStr"/>
      <c r="K3266" t="inlineStr"/>
      <c r="L3266" s="2" t="n">
        <v>0</v>
      </c>
      <c r="M3266" t="inlineStr"/>
      <c r="N3266" t="inlineStr">
        <is>
          <t>20250424800357</t>
        </is>
      </c>
      <c r="O3266">
        <f>HYPERLINK("https://dart.fss.or.kr/dsaf001/main.do?rcpNo=20250424800357", "공시열람")</f>
        <v/>
      </c>
    </row>
    <row r="3267">
      <c r="A3267" t="inlineStr">
        <is>
          <t>2025-04-24</t>
        </is>
      </c>
      <c r="B3267" t="inlineStr">
        <is>
          <t>HD한국조선해양</t>
        </is>
      </c>
      <c r="C3267" t="inlineStr">
        <is>
          <t>009540</t>
        </is>
      </c>
      <c r="D3267" t="inlineStr">
        <is>
          <t>별도</t>
        </is>
      </c>
      <c r="E3267" t="inlineStr">
        <is>
          <t>2025Q1</t>
        </is>
      </c>
      <c r="F3267" s="2" t="n">
        <v>1966400</v>
      </c>
      <c r="G3267" t="n">
        <v>6.7</v>
      </c>
      <c r="H3267" t="n">
        <v>15.3</v>
      </c>
      <c r="I3267" s="2" t="n">
        <v>365900</v>
      </c>
      <c r="J3267" t="n">
        <v>98.8</v>
      </c>
      <c r="K3267" t="n">
        <v>96.3</v>
      </c>
      <c r="L3267" s="2" t="n">
        <v>271400</v>
      </c>
      <c r="M3267" t="n">
        <v>46.1</v>
      </c>
      <c r="N3267" t="inlineStr">
        <is>
          <t>20250424800313</t>
        </is>
      </c>
      <c r="O3267">
        <f>HYPERLINK("https://dart.fss.or.kr/dsaf001/main.do?rcpNo=20250424800313", "공시열람")</f>
        <v/>
      </c>
    </row>
    <row r="3268">
      <c r="A3268" t="inlineStr">
        <is>
          <t>2025-04-24</t>
        </is>
      </c>
      <c r="B3268" t="inlineStr">
        <is>
          <t>멀티캠퍼스</t>
        </is>
      </c>
      <c r="C3268" t="inlineStr">
        <is>
          <t>067280</t>
        </is>
      </c>
      <c r="D3268" t="inlineStr">
        <is>
          <t>연결</t>
        </is>
      </c>
      <c r="E3268" t="inlineStr">
        <is>
          <t>2025Q1</t>
        </is>
      </c>
      <c r="F3268" s="2" t="n">
        <v>75918</v>
      </c>
      <c r="G3268" t="inlineStr"/>
      <c r="H3268" t="inlineStr"/>
      <c r="I3268" s="2" t="n">
        <v>4700</v>
      </c>
      <c r="J3268" t="inlineStr"/>
      <c r="K3268" t="inlineStr"/>
      <c r="L3268" s="2" t="n">
        <v>4388</v>
      </c>
      <c r="M3268" t="inlineStr"/>
      <c r="N3268" t="inlineStr">
        <is>
          <t>20250424900314</t>
        </is>
      </c>
      <c r="O3268">
        <f>HYPERLINK("https://dart.fss.or.kr/dsaf001/main.do?rcpNo=20250424900314", "공시열람")</f>
        <v/>
      </c>
    </row>
    <row r="3269">
      <c r="A3269" t="inlineStr">
        <is>
          <t>2025-04-24</t>
        </is>
      </c>
      <c r="B3269" t="inlineStr">
        <is>
          <t>IPARK현대산업개발</t>
        </is>
      </c>
      <c r="C3269" t="inlineStr">
        <is>
          <t>294870</t>
        </is>
      </c>
      <c r="D3269" t="inlineStr">
        <is>
          <t>연결</t>
        </is>
      </c>
      <c r="E3269" t="inlineStr">
        <is>
          <t>2025Q1</t>
        </is>
      </c>
      <c r="F3269" s="2" t="n">
        <v>905748</v>
      </c>
      <c r="G3269" t="n">
        <v>-19.5</v>
      </c>
      <c r="H3269" t="n">
        <v>-5.2</v>
      </c>
      <c r="I3269" s="2" t="n">
        <v>53999</v>
      </c>
      <c r="J3269" t="n">
        <v>29.3</v>
      </c>
      <c r="K3269" t="n">
        <v>29.8</v>
      </c>
      <c r="L3269" s="2" t="n">
        <v>54186</v>
      </c>
      <c r="M3269" t="n">
        <v>77.8</v>
      </c>
      <c r="N3269" t="inlineStr">
        <is>
          <t>20250424800074</t>
        </is>
      </c>
      <c r="O3269">
        <f>HYPERLINK("https://dart.fss.or.kr/dsaf001/main.do?rcpNo=20250424800074", "공시열람")</f>
        <v/>
      </c>
    </row>
    <row r="3270">
      <c r="A3270" t="inlineStr">
        <is>
          <t>2025-04-24</t>
        </is>
      </c>
      <c r="B3270" t="inlineStr">
        <is>
          <t>SK하이닉스</t>
        </is>
      </c>
      <c r="C3270" t="inlineStr">
        <is>
          <t>000660</t>
        </is>
      </c>
      <c r="D3270" t="inlineStr">
        <is>
          <t>연결</t>
        </is>
      </c>
      <c r="E3270" t="inlineStr">
        <is>
          <t>2025Q1</t>
        </is>
      </c>
      <c r="F3270" s="2" t="n">
        <v>17639141</v>
      </c>
      <c r="G3270" t="n">
        <v>-10.8</v>
      </c>
      <c r="H3270" t="n">
        <v>41.9</v>
      </c>
      <c r="I3270" s="2" t="n">
        <v>7440504</v>
      </c>
      <c r="J3270" t="n">
        <v>-7.9</v>
      </c>
      <c r="K3270" t="n">
        <v>157.8</v>
      </c>
      <c r="L3270" s="2" t="n">
        <v>8108195</v>
      </c>
      <c r="M3270" t="n">
        <v>323</v>
      </c>
      <c r="N3270" t="inlineStr">
        <is>
          <t>20250424800003</t>
        </is>
      </c>
      <c r="O3270">
        <f>HYPERLINK("https://dart.fss.or.kr/dsaf001/main.do?rcpNo=20250424800003", "공시열람")</f>
        <v/>
      </c>
    </row>
    <row r="3271">
      <c r="A3271" t="inlineStr">
        <is>
          <t>2025-04-24</t>
        </is>
      </c>
      <c r="B3271" t="inlineStr">
        <is>
          <t>제주은행</t>
        </is>
      </c>
      <c r="C3271" t="inlineStr">
        <is>
          <t>006220</t>
        </is>
      </c>
      <c r="D3271" t="inlineStr">
        <is>
          <t>연결</t>
        </is>
      </c>
      <c r="E3271" t="inlineStr">
        <is>
          <t>2025Q1</t>
        </is>
      </c>
      <c r="F3271" s="2" t="n">
        <v>91129</v>
      </c>
      <c r="G3271" t="inlineStr"/>
      <c r="H3271" t="n">
        <v>-4.75</v>
      </c>
      <c r="I3271" s="2" t="n">
        <v>1267</v>
      </c>
      <c r="J3271" t="inlineStr"/>
      <c r="K3271" t="n">
        <v>-76.05</v>
      </c>
      <c r="L3271" s="2" t="n">
        <v>2904</v>
      </c>
      <c r="M3271" t="n">
        <v>-33.23</v>
      </c>
      <c r="N3271" t="inlineStr">
        <is>
          <t>20250424800609</t>
        </is>
      </c>
      <c r="O3271">
        <f>HYPERLINK("https://dart.fss.or.kr/dsaf001/main.do?rcpNo=20250424800609", "공시열람")</f>
        <v/>
      </c>
    </row>
    <row r="3272">
      <c r="A3272" t="inlineStr">
        <is>
          <t>2025-04-24</t>
        </is>
      </c>
      <c r="B3272" t="inlineStr">
        <is>
          <t>한화솔루션</t>
        </is>
      </c>
      <c r="C3272" t="inlineStr">
        <is>
          <t>009830</t>
        </is>
      </c>
      <c r="D3272" t="inlineStr">
        <is>
          <t>연결</t>
        </is>
      </c>
      <c r="E3272" t="inlineStr">
        <is>
          <t>2025Q1</t>
        </is>
      </c>
      <c r="F3272" s="2" t="n">
        <v>3094476</v>
      </c>
      <c r="G3272" t="n">
        <v>-33.35</v>
      </c>
      <c r="H3272" t="n">
        <v>31.49</v>
      </c>
      <c r="I3272" s="2" t="n">
        <v>30314</v>
      </c>
      <c r="J3272" t="n">
        <v>-71.66</v>
      </c>
      <c r="K3272" t="inlineStr"/>
      <c r="L3272" s="2" t="n">
        <v>-30195</v>
      </c>
      <c r="M3272" t="n">
        <v>93.25</v>
      </c>
      <c r="N3272" t="inlineStr">
        <is>
          <t>20250424800308</t>
        </is>
      </c>
      <c r="O3272">
        <f>HYPERLINK("https://dart.fss.or.kr/dsaf001/main.do?rcpNo=20250424800308", "공시열람")</f>
        <v/>
      </c>
    </row>
    <row r="3273">
      <c r="A3273" t="inlineStr">
        <is>
          <t>2025-04-24</t>
        </is>
      </c>
      <c r="B3273" t="inlineStr">
        <is>
          <t>HD한국조선해양</t>
        </is>
      </c>
      <c r="C3273" t="inlineStr">
        <is>
          <t>009540</t>
        </is>
      </c>
      <c r="D3273" t="inlineStr">
        <is>
          <t>별도</t>
        </is>
      </c>
      <c r="E3273" t="inlineStr">
        <is>
          <t>2025Q1</t>
        </is>
      </c>
      <c r="F3273" s="2" t="n">
        <v>551800</v>
      </c>
      <c r="G3273" t="n">
        <v>184.6</v>
      </c>
      <c r="H3273" t="n">
        <v>430.1</v>
      </c>
      <c r="I3273" s="2" t="n">
        <v>416200</v>
      </c>
      <c r="J3273" t="n">
        <v>1360.4</v>
      </c>
      <c r="K3273" t="n">
        <v>41520</v>
      </c>
      <c r="L3273" s="2" t="n">
        <v>424300</v>
      </c>
      <c r="M3273" t="n">
        <v>2974.6</v>
      </c>
      <c r="N3273" t="inlineStr">
        <is>
          <t>20250424800321</t>
        </is>
      </c>
      <c r="O3273">
        <f>HYPERLINK("https://dart.fss.or.kr/dsaf001/main.do?rcpNo=20250424800321", "공시열람")</f>
        <v/>
      </c>
    </row>
    <row r="3274">
      <c r="A3274" t="inlineStr">
        <is>
          <t>2025-04-24</t>
        </is>
      </c>
      <c r="B3274" t="inlineStr">
        <is>
          <t>HD한국조선해양</t>
        </is>
      </c>
      <c r="C3274" t="inlineStr">
        <is>
          <t>009540</t>
        </is>
      </c>
      <c r="D3274" t="inlineStr">
        <is>
          <t>연결</t>
        </is>
      </c>
      <c r="E3274" t="inlineStr">
        <is>
          <t>2025Q1</t>
        </is>
      </c>
      <c r="F3274" s="2" t="n">
        <v>6771700</v>
      </c>
      <c r="G3274" t="n">
        <v>-5.4</v>
      </c>
      <c r="H3274" t="n">
        <v>22.8</v>
      </c>
      <c r="I3274" s="2" t="n">
        <v>859200</v>
      </c>
      <c r="J3274" t="n">
        <v>72.09999999999999</v>
      </c>
      <c r="K3274" t="n">
        <v>436.3</v>
      </c>
      <c r="L3274" s="2" t="n">
        <v>611600</v>
      </c>
      <c r="M3274" t="n">
        <v>216.4</v>
      </c>
      <c r="N3274" t="inlineStr">
        <is>
          <t>20250424800322</t>
        </is>
      </c>
      <c r="O3274">
        <f>HYPERLINK("https://dart.fss.or.kr/dsaf001/main.do?rcpNo=20250424800322", "공시열람")</f>
        <v/>
      </c>
    </row>
    <row r="3275">
      <c r="A3275" t="inlineStr">
        <is>
          <t>2025-04-24</t>
        </is>
      </c>
      <c r="B3275" t="inlineStr">
        <is>
          <t>현대제철</t>
        </is>
      </c>
      <c r="C3275" t="inlineStr">
        <is>
          <t>004020</t>
        </is>
      </c>
      <c r="D3275" t="inlineStr">
        <is>
          <t>별도</t>
        </is>
      </c>
      <c r="E3275" t="inlineStr">
        <is>
          <t>2025Q1</t>
        </is>
      </c>
      <c r="F3275" s="2" t="n">
        <v>4289900</v>
      </c>
      <c r="G3275" t="n">
        <v>-4.3</v>
      </c>
      <c r="H3275" t="n">
        <v>-11</v>
      </c>
      <c r="I3275" s="2" t="n">
        <v>-56100</v>
      </c>
      <c r="J3275" t="n">
        <v>63</v>
      </c>
      <c r="K3275" t="inlineStr"/>
      <c r="L3275" s="2" t="n">
        <v>-38000</v>
      </c>
      <c r="M3275" t="inlineStr"/>
      <c r="N3275" t="inlineStr">
        <is>
          <t>20250424800323</t>
        </is>
      </c>
      <c r="O3275">
        <f>HYPERLINK("https://dart.fss.or.kr/dsaf001/main.do?rcpNo=20250424800323", "공시열람")</f>
        <v/>
      </c>
    </row>
    <row r="3276">
      <c r="A3276" t="inlineStr">
        <is>
          <t>2025-04-24</t>
        </is>
      </c>
      <c r="B3276" t="inlineStr">
        <is>
          <t>현대제철</t>
        </is>
      </c>
      <c r="C3276" t="inlineStr">
        <is>
          <t>004020</t>
        </is>
      </c>
      <c r="D3276" t="inlineStr">
        <is>
          <t>연결</t>
        </is>
      </c>
      <c r="E3276" t="inlineStr">
        <is>
          <t>2025Q1</t>
        </is>
      </c>
      <c r="F3276" s="2" t="n">
        <v>5563500</v>
      </c>
      <c r="G3276" t="n">
        <v>-0.9</v>
      </c>
      <c r="H3276" t="n">
        <v>-6.5</v>
      </c>
      <c r="I3276" s="2" t="n">
        <v>-19000</v>
      </c>
      <c r="J3276" t="n">
        <v>58.5</v>
      </c>
      <c r="K3276" t="inlineStr"/>
      <c r="L3276" s="2" t="n">
        <v>-54400</v>
      </c>
      <c r="M3276" t="inlineStr"/>
      <c r="N3276" t="inlineStr">
        <is>
          <t>20250424800325</t>
        </is>
      </c>
      <c r="O3276">
        <f>HYPERLINK("https://dart.fss.or.kr/dsaf001/main.do?rcpNo=20250424800325", "공시열람")</f>
        <v/>
      </c>
    </row>
    <row r="3277">
      <c r="A3277" t="inlineStr">
        <is>
          <t>2025-04-24</t>
        </is>
      </c>
      <c r="B3277" t="inlineStr">
        <is>
          <t>현대자동차</t>
        </is>
      </c>
      <c r="C3277" t="inlineStr">
        <is>
          <t>005380</t>
        </is>
      </c>
      <c r="D3277" t="inlineStr">
        <is>
          <t>연결</t>
        </is>
      </c>
      <c r="E3277" t="inlineStr">
        <is>
          <t>2025Q1</t>
        </is>
      </c>
      <c r="F3277" s="2" t="n">
        <v>44407761</v>
      </c>
      <c r="G3277" t="n">
        <v>-4.8</v>
      </c>
      <c r="H3277" t="n">
        <v>9.199999999999999</v>
      </c>
      <c r="I3277" s="2" t="n">
        <v>3633609</v>
      </c>
      <c r="J3277" t="n">
        <v>28.8</v>
      </c>
      <c r="K3277" t="n">
        <v>2.1</v>
      </c>
      <c r="L3277" s="2" t="n">
        <v>3382174</v>
      </c>
      <c r="M3277" t="n">
        <v>0.2</v>
      </c>
      <c r="N3277" t="inlineStr">
        <is>
          <t>20250424800330</t>
        </is>
      </c>
      <c r="O3277">
        <f>HYPERLINK("https://dart.fss.or.kr/dsaf001/main.do?rcpNo=20250424800330", "공시열람")</f>
        <v/>
      </c>
    </row>
    <row r="3278">
      <c r="A3278" t="inlineStr">
        <is>
          <t>2025-04-24</t>
        </is>
      </c>
      <c r="B3278" t="inlineStr">
        <is>
          <t>LG전자</t>
        </is>
      </c>
      <c r="C3278" t="inlineStr">
        <is>
          <t>066570</t>
        </is>
      </c>
      <c r="D3278" t="inlineStr">
        <is>
          <t>연결</t>
        </is>
      </c>
      <c r="E3278" t="inlineStr">
        <is>
          <t>2025Q1</t>
        </is>
      </c>
      <c r="F3278" s="2" t="n">
        <v>22739800</v>
      </c>
      <c r="G3278" t="inlineStr"/>
      <c r="H3278" t="inlineStr"/>
      <c r="I3278" s="2" t="n">
        <v>1259100</v>
      </c>
      <c r="J3278" t="inlineStr"/>
      <c r="K3278" t="inlineStr"/>
      <c r="L3278" s="2" t="n">
        <v>875600</v>
      </c>
      <c r="M3278" t="inlineStr"/>
      <c r="N3278" t="inlineStr">
        <is>
          <t>20250424800339</t>
        </is>
      </c>
      <c r="O3278">
        <f>HYPERLINK("https://dart.fss.or.kr/dsaf001/main.do?rcpNo=20250424800339", "공시열람")</f>
        <v/>
      </c>
    </row>
    <row r="3279">
      <c r="A3279" t="inlineStr">
        <is>
          <t>2025-04-24</t>
        </is>
      </c>
      <c r="B3279" t="inlineStr">
        <is>
          <t>POSCO홀딩스</t>
        </is>
      </c>
      <c r="C3279" t="inlineStr">
        <is>
          <t>005490</t>
        </is>
      </c>
      <c r="D3279" t="inlineStr">
        <is>
          <t>별도</t>
        </is>
      </c>
      <c r="E3279" t="inlineStr">
        <is>
          <t>2025Q1</t>
        </is>
      </c>
      <c r="F3279" s="2" t="n">
        <v>9</v>
      </c>
      <c r="G3279" t="inlineStr"/>
      <c r="H3279" t="inlineStr"/>
      <c r="I3279" s="2" t="n">
        <v>0</v>
      </c>
      <c r="J3279" t="inlineStr"/>
      <c r="K3279" t="inlineStr"/>
      <c r="L3279" s="2" t="n">
        <v>0</v>
      </c>
      <c r="M3279" t="inlineStr"/>
      <c r="N3279" t="inlineStr">
        <is>
          <t>20250424800358</t>
        </is>
      </c>
      <c r="O3279">
        <f>HYPERLINK("https://dart.fss.or.kr/dsaf001/main.do?rcpNo=20250424800358", "공시열람")</f>
        <v/>
      </c>
    </row>
    <row r="3280">
      <c r="A3280" t="inlineStr">
        <is>
          <t>2025-04-24</t>
        </is>
      </c>
      <c r="B3280" t="inlineStr">
        <is>
          <t>HD현대중공업</t>
        </is>
      </c>
      <c r="C3280" t="inlineStr">
        <is>
          <t>329180</t>
        </is>
      </c>
      <c r="D3280" t="inlineStr">
        <is>
          <t>연결</t>
        </is>
      </c>
      <c r="E3280" t="inlineStr">
        <is>
          <t>2025Q1</t>
        </is>
      </c>
      <c r="F3280" s="2" t="n">
        <v>3822500</v>
      </c>
      <c r="G3280" t="n">
        <v>-4.6</v>
      </c>
      <c r="H3280" t="n">
        <v>27.9</v>
      </c>
      <c r="I3280" s="2" t="n">
        <v>433700</v>
      </c>
      <c r="J3280" t="n">
        <v>53.7</v>
      </c>
      <c r="K3280" t="n">
        <v>1936.2</v>
      </c>
      <c r="L3280" s="2" t="n">
        <v>284200</v>
      </c>
      <c r="M3280" t="n">
        <v>893.7</v>
      </c>
      <c r="N3280" t="inlineStr">
        <is>
          <t>20250424800304</t>
        </is>
      </c>
      <c r="O3280">
        <f>HYPERLINK("https://dart.fss.or.kr/dsaf001/main.do?rcpNo=20250424800304", "공시열람")</f>
        <v/>
      </c>
    </row>
    <row r="3281">
      <c r="A3281" t="inlineStr">
        <is>
          <t>2025-04-24</t>
        </is>
      </c>
      <c r="B3281" t="inlineStr">
        <is>
          <t>HD현대마린솔루션</t>
        </is>
      </c>
      <c r="C3281" t="inlineStr">
        <is>
          <t>443060</t>
        </is>
      </c>
      <c r="D3281" t="inlineStr">
        <is>
          <t>연결</t>
        </is>
      </c>
      <c r="E3281" t="inlineStr">
        <is>
          <t>2025Q1</t>
        </is>
      </c>
      <c r="F3281" s="2" t="n">
        <v>485600</v>
      </c>
      <c r="G3281" t="n">
        <v>4.8</v>
      </c>
      <c r="H3281" t="n">
        <v>26.8</v>
      </c>
      <c r="I3281" s="2" t="n">
        <v>83000</v>
      </c>
      <c r="J3281" t="n">
        <v>25.9</v>
      </c>
      <c r="K3281" t="n">
        <v>61.2</v>
      </c>
      <c r="L3281" s="2" t="n">
        <v>63300</v>
      </c>
      <c r="M3281" t="n">
        <v>42.9</v>
      </c>
      <c r="N3281" t="inlineStr">
        <is>
          <t>20250424800403</t>
        </is>
      </c>
      <c r="O3281">
        <f>HYPERLINK("https://dart.fss.or.kr/dsaf001/main.do?rcpNo=20250424800403", "공시열람")</f>
        <v/>
      </c>
    </row>
    <row r="3282">
      <c r="A3282" t="inlineStr">
        <is>
          <t>2025-04-24</t>
        </is>
      </c>
      <c r="B3282" t="inlineStr">
        <is>
          <t>OCI홀딩스</t>
        </is>
      </c>
      <c r="C3282" t="inlineStr">
        <is>
          <t>010060</t>
        </is>
      </c>
      <c r="D3282" t="inlineStr">
        <is>
          <t>연결</t>
        </is>
      </c>
      <c r="E3282" t="inlineStr">
        <is>
          <t>2025Q1</t>
        </is>
      </c>
      <c r="F3282" s="2" t="n">
        <v>946534</v>
      </c>
      <c r="G3282" t="n">
        <v>10.8</v>
      </c>
      <c r="H3282" t="n">
        <v>9.5</v>
      </c>
      <c r="I3282" s="2" t="n">
        <v>48711</v>
      </c>
      <c r="J3282" t="inlineStr"/>
      <c r="K3282" t="n">
        <v>-50.9</v>
      </c>
      <c r="L3282" s="2" t="n">
        <v>-14941</v>
      </c>
      <c r="M3282" t="inlineStr"/>
      <c r="N3282" t="inlineStr">
        <is>
          <t>20250424800416</t>
        </is>
      </c>
      <c r="O3282">
        <f>HYPERLINK("https://dart.fss.or.kr/dsaf001/main.do?rcpNo=20250424800416", "공시열람")</f>
        <v/>
      </c>
    </row>
    <row r="3283">
      <c r="A3283" t="inlineStr">
        <is>
          <t>2025-04-24</t>
        </is>
      </c>
      <c r="B3283" t="inlineStr">
        <is>
          <t>KG모빌리티</t>
        </is>
      </c>
      <c r="C3283" t="inlineStr">
        <is>
          <t>003620</t>
        </is>
      </c>
      <c r="D3283" t="inlineStr">
        <is>
          <t>별도</t>
        </is>
      </c>
      <c r="E3283" t="inlineStr">
        <is>
          <t>2025Q1</t>
        </is>
      </c>
      <c r="F3283" s="2" t="n">
        <v>907000</v>
      </c>
      <c r="G3283" t="n">
        <v>-6.8</v>
      </c>
      <c r="H3283" t="n">
        <v>-7.58</v>
      </c>
      <c r="I3283" s="2" t="n">
        <v>10600</v>
      </c>
      <c r="J3283" t="n">
        <v>-48.79</v>
      </c>
      <c r="K3283" t="n">
        <v>-38.73</v>
      </c>
      <c r="L3283" s="2" t="n">
        <v>8500</v>
      </c>
      <c r="M3283" t="n">
        <v>-84.84999999999999</v>
      </c>
      <c r="N3283" t="inlineStr">
        <is>
          <t>20250424800433</t>
        </is>
      </c>
      <c r="O3283">
        <f>HYPERLINK("https://dart.fss.or.kr/dsaf001/main.do?rcpNo=20250424800433", "공시열람")</f>
        <v/>
      </c>
    </row>
    <row r="3284">
      <c r="A3284" t="inlineStr">
        <is>
          <t>2025-04-24</t>
        </is>
      </c>
      <c r="B3284" t="inlineStr">
        <is>
          <t>KB금융</t>
        </is>
      </c>
      <c r="C3284" t="inlineStr">
        <is>
          <t>105560</t>
        </is>
      </c>
      <c r="D3284" t="inlineStr">
        <is>
          <t>연결</t>
        </is>
      </c>
      <c r="E3284" t="inlineStr">
        <is>
          <t>2025Q1</t>
        </is>
      </c>
      <c r="F3284" s="2" t="n">
        <v>19743963</v>
      </c>
      <c r="G3284" t="n">
        <v>-25.4</v>
      </c>
      <c r="H3284" t="n">
        <v>-15.43</v>
      </c>
      <c r="I3284" s="2" t="n">
        <v>2293023</v>
      </c>
      <c r="J3284" t="n">
        <v>122.29</v>
      </c>
      <c r="K3284" t="n">
        <v>-2.24</v>
      </c>
      <c r="L3284" s="2" t="n">
        <v>1699118</v>
      </c>
      <c r="M3284" t="n">
        <v>60.89</v>
      </c>
      <c r="N3284" t="inlineStr">
        <is>
          <t>20250424800422</t>
        </is>
      </c>
      <c r="O3284">
        <f>HYPERLINK("https://dart.fss.or.kr/dsaf001/main.do?rcpNo=20250424800422", "공시열람")</f>
        <v/>
      </c>
    </row>
    <row r="3285">
      <c r="A3285" t="inlineStr">
        <is>
          <t>2025-04-24</t>
        </is>
      </c>
      <c r="B3285" t="inlineStr">
        <is>
          <t>KB금융</t>
        </is>
      </c>
      <c r="C3285" t="inlineStr">
        <is>
          <t>105560</t>
        </is>
      </c>
      <c r="D3285" t="inlineStr">
        <is>
          <t>연결</t>
        </is>
      </c>
      <c r="E3285" t="inlineStr">
        <is>
          <t>2025Q1</t>
        </is>
      </c>
      <c r="F3285" s="2" t="n">
        <v>10811411</v>
      </c>
      <c r="G3285" t="n">
        <v>-37.87</v>
      </c>
      <c r="H3285" t="n">
        <v>-24.94</v>
      </c>
      <c r="I3285" s="2" t="n">
        <v>1388909</v>
      </c>
      <c r="J3285" t="n">
        <v>46.71</v>
      </c>
      <c r="K3285" t="n">
        <v>-3.57</v>
      </c>
      <c r="L3285" s="2" t="n">
        <v>1017775</v>
      </c>
      <c r="M3285" t="n">
        <v>169.79</v>
      </c>
      <c r="N3285" t="inlineStr">
        <is>
          <t>20250424800424</t>
        </is>
      </c>
      <c r="O3285">
        <f>HYPERLINK("https://dart.fss.or.kr/dsaf001/main.do?rcpNo=20250424800424", "공시열람")</f>
        <v/>
      </c>
    </row>
    <row r="3286">
      <c r="A3286" t="inlineStr">
        <is>
          <t>2025-04-24</t>
        </is>
      </c>
      <c r="B3286" t="inlineStr">
        <is>
          <t>삼성중공업</t>
        </is>
      </c>
      <c r="C3286" t="inlineStr">
        <is>
          <t>010140</t>
        </is>
      </c>
      <c r="D3286" t="inlineStr">
        <is>
          <t>연결</t>
        </is>
      </c>
      <c r="E3286" t="inlineStr">
        <is>
          <t>2025Q1</t>
        </is>
      </c>
      <c r="F3286" s="2" t="n">
        <v>2494300</v>
      </c>
      <c r="G3286" t="n">
        <v>-7.6</v>
      </c>
      <c r="H3286" t="n">
        <v>6.2</v>
      </c>
      <c r="I3286" s="2" t="n">
        <v>123100</v>
      </c>
      <c r="J3286" t="n">
        <v>-29.3</v>
      </c>
      <c r="K3286" t="n">
        <v>58</v>
      </c>
      <c r="L3286" s="2" t="n">
        <v>90100</v>
      </c>
      <c r="M3286" t="n">
        <v>1055.1</v>
      </c>
      <c r="N3286" t="inlineStr">
        <is>
          <t>20250424800469</t>
        </is>
      </c>
      <c r="O3286">
        <f>HYPERLINK("https://dart.fss.or.kr/dsaf001/main.do?rcpNo=20250424800469", "공시열람")</f>
        <v/>
      </c>
    </row>
    <row r="3287">
      <c r="A3287" t="inlineStr">
        <is>
          <t>2025-04-24</t>
        </is>
      </c>
      <c r="B3287" t="inlineStr">
        <is>
          <t>현대차증권</t>
        </is>
      </c>
      <c r="C3287" t="inlineStr">
        <is>
          <t>001500</t>
        </is>
      </c>
      <c r="D3287" t="inlineStr">
        <is>
          <t>연결</t>
        </is>
      </c>
      <c r="E3287" t="inlineStr">
        <is>
          <t>2025Q1</t>
        </is>
      </c>
      <c r="F3287" s="2" t="n">
        <v>425447</v>
      </c>
      <c r="G3287" t="n">
        <v>-32.9</v>
      </c>
      <c r="H3287" t="n">
        <v>-10.2</v>
      </c>
      <c r="I3287" s="2" t="n">
        <v>27100</v>
      </c>
      <c r="J3287" t="n">
        <v>258.9</v>
      </c>
      <c r="K3287" t="n">
        <v>106.2</v>
      </c>
      <c r="L3287" s="2" t="n">
        <v>19286</v>
      </c>
      <c r="M3287" t="n">
        <v>89.3</v>
      </c>
      <c r="N3287" t="inlineStr">
        <is>
          <t>20250424800472</t>
        </is>
      </c>
      <c r="O3287">
        <f>HYPERLINK("https://dart.fss.or.kr/dsaf001/main.do?rcpNo=20250424800472", "공시열람")</f>
        <v/>
      </c>
    </row>
    <row r="3288">
      <c r="A3288" t="inlineStr">
        <is>
          <t>2025-04-24</t>
        </is>
      </c>
      <c r="B3288" t="inlineStr">
        <is>
          <t>DN오토모티브</t>
        </is>
      </c>
      <c r="C3288" t="inlineStr">
        <is>
          <t>007340</t>
        </is>
      </c>
      <c r="D3288" t="inlineStr">
        <is>
          <t>연결</t>
        </is>
      </c>
      <c r="E3288" t="inlineStr">
        <is>
          <t>2025Q1</t>
        </is>
      </c>
      <c r="F3288" s="2" t="n">
        <v>878713</v>
      </c>
      <c r="G3288" t="n">
        <v>-4.5</v>
      </c>
      <c r="H3288" t="n">
        <v>12.5</v>
      </c>
      <c r="I3288" s="2" t="n">
        <v>137676</v>
      </c>
      <c r="J3288" t="n">
        <v>14</v>
      </c>
      <c r="K3288" t="n">
        <v>11.3</v>
      </c>
      <c r="L3288" s="2" t="n">
        <v>86544</v>
      </c>
      <c r="M3288" t="n">
        <v>12.6</v>
      </c>
      <c r="N3288" t="inlineStr">
        <is>
          <t>20250424800479</t>
        </is>
      </c>
      <c r="O3288">
        <f>HYPERLINK("https://dart.fss.or.kr/dsaf001/main.do?rcpNo=20250424800479", "공시열람")</f>
        <v/>
      </c>
    </row>
    <row r="3289">
      <c r="A3289" t="inlineStr">
        <is>
          <t>2025-04-24</t>
        </is>
      </c>
      <c r="B3289" t="inlineStr">
        <is>
          <t>JB금융지주</t>
        </is>
      </c>
      <c r="C3289" t="inlineStr">
        <is>
          <t>175330</t>
        </is>
      </c>
      <c r="D3289" t="inlineStr">
        <is>
          <t>연결</t>
        </is>
      </c>
      <c r="E3289" t="inlineStr">
        <is>
          <t>2025Q1</t>
        </is>
      </c>
      <c r="F3289" s="2" t="n">
        <v>1122928</v>
      </c>
      <c r="G3289" t="n">
        <v>-3.2</v>
      </c>
      <c r="H3289" t="n">
        <v>-1.5</v>
      </c>
      <c r="I3289" s="2" t="n">
        <v>217472</v>
      </c>
      <c r="J3289" t="n">
        <v>37.4</v>
      </c>
      <c r="K3289" t="n">
        <v>-4.6</v>
      </c>
      <c r="L3289" s="2" t="n">
        <v>166894</v>
      </c>
      <c r="M3289" t="n">
        <v>-5.2</v>
      </c>
      <c r="N3289" t="inlineStr">
        <is>
          <t>20250424800488</t>
        </is>
      </c>
      <c r="O3289">
        <f>HYPERLINK("https://dart.fss.or.kr/dsaf001/main.do?rcpNo=20250424800488", "공시열람")</f>
        <v/>
      </c>
    </row>
    <row r="3290">
      <c r="A3290" t="inlineStr">
        <is>
          <t>2025-04-24</t>
        </is>
      </c>
      <c r="B3290" t="inlineStr">
        <is>
          <t>JB금융지주</t>
        </is>
      </c>
      <c r="C3290" t="inlineStr">
        <is>
          <t>175330</t>
        </is>
      </c>
      <c r="D3290" t="inlineStr">
        <is>
          <t>연결</t>
        </is>
      </c>
      <c r="E3290" t="inlineStr">
        <is>
          <t>2025Q1</t>
        </is>
      </c>
      <c r="F3290" s="2" t="n">
        <v>392735</v>
      </c>
      <c r="G3290" t="n">
        <v>-2.7</v>
      </c>
      <c r="H3290" t="n">
        <v>-0.4</v>
      </c>
      <c r="I3290" s="2" t="n">
        <v>66746</v>
      </c>
      <c r="J3290" t="n">
        <v>15</v>
      </c>
      <c r="K3290" t="n">
        <v>-9.4</v>
      </c>
      <c r="L3290" s="2" t="n">
        <v>51485</v>
      </c>
      <c r="M3290" t="n">
        <v>-8.6</v>
      </c>
      <c r="N3290" t="inlineStr">
        <is>
          <t>20250424800516</t>
        </is>
      </c>
      <c r="O3290">
        <f>HYPERLINK("https://dart.fss.or.kr/dsaf001/main.do?rcpNo=20250424800516", "공시열람")</f>
        <v/>
      </c>
    </row>
    <row r="3291">
      <c r="A3291" t="inlineStr">
        <is>
          <t>2025-04-24</t>
        </is>
      </c>
      <c r="B3291" t="inlineStr">
        <is>
          <t>JB금융지주</t>
        </is>
      </c>
      <c r="C3291" t="inlineStr">
        <is>
          <t>175330</t>
        </is>
      </c>
      <c r="D3291" t="inlineStr">
        <is>
          <t>연결</t>
        </is>
      </c>
      <c r="E3291" t="inlineStr">
        <is>
          <t>2025Q1</t>
        </is>
      </c>
      <c r="F3291" s="2" t="n">
        <v>435043</v>
      </c>
      <c r="G3291" t="n">
        <v>-3.3</v>
      </c>
      <c r="H3291" t="n">
        <v>-4.7</v>
      </c>
      <c r="I3291" s="2" t="n">
        <v>86770</v>
      </c>
      <c r="J3291" t="n">
        <v>76.2</v>
      </c>
      <c r="K3291" t="n">
        <v>-8.9</v>
      </c>
      <c r="L3291" s="2" t="n">
        <v>66958</v>
      </c>
      <c r="M3291" t="n">
        <v>-8.699999999999999</v>
      </c>
      <c r="N3291" t="inlineStr">
        <is>
          <t>20250424800529</t>
        </is>
      </c>
      <c r="O3291">
        <f>HYPERLINK("https://dart.fss.or.kr/dsaf001/main.do?rcpNo=20250424800529", "공시열람")</f>
        <v/>
      </c>
    </row>
    <row r="3292">
      <c r="A3292" t="inlineStr">
        <is>
          <t>2025-04-24</t>
        </is>
      </c>
      <c r="B3292" t="inlineStr">
        <is>
          <t>JB금융지주</t>
        </is>
      </c>
      <c r="C3292" t="inlineStr">
        <is>
          <t>175330</t>
        </is>
      </c>
      <c r="D3292" t="inlineStr">
        <is>
          <t>연결</t>
        </is>
      </c>
      <c r="E3292" t="inlineStr">
        <is>
          <t>2025Q1</t>
        </is>
      </c>
      <c r="F3292" s="2" t="n">
        <v>281996</v>
      </c>
      <c r="G3292" t="n">
        <v>0.1</v>
      </c>
      <c r="H3292" t="n">
        <v>4.4</v>
      </c>
      <c r="I3292" s="2" t="n">
        <v>72970</v>
      </c>
      <c r="J3292" t="n">
        <v>38.9</v>
      </c>
      <c r="K3292" t="n">
        <v>-1</v>
      </c>
      <c r="L3292" s="2" t="n">
        <v>58502</v>
      </c>
      <c r="M3292" t="n">
        <v>3.5</v>
      </c>
      <c r="N3292" t="inlineStr">
        <is>
          <t>20250424800542</t>
        </is>
      </c>
      <c r="O3292">
        <f>HYPERLINK("https://dart.fss.or.kr/dsaf001/main.do?rcpNo=20250424800542", "공시열람")</f>
        <v/>
      </c>
    </row>
    <row r="3293">
      <c r="A3293" t="inlineStr">
        <is>
          <t>2025-04-24</t>
        </is>
      </c>
      <c r="B3293" t="inlineStr">
        <is>
          <t>HD현대중공업</t>
        </is>
      </c>
      <c r="C3293" t="inlineStr">
        <is>
          <t>329180</t>
        </is>
      </c>
      <c r="D3293" t="inlineStr">
        <is>
          <t>별도</t>
        </is>
      </c>
      <c r="E3293" t="inlineStr">
        <is>
          <t>2025Q1</t>
        </is>
      </c>
      <c r="F3293" s="2" t="n">
        <v>3819800</v>
      </c>
      <c r="G3293" t="n">
        <v>-4.6</v>
      </c>
      <c r="H3293" t="n">
        <v>27.9</v>
      </c>
      <c r="I3293" s="2" t="n">
        <v>435400</v>
      </c>
      <c r="J3293" t="n">
        <v>54.3</v>
      </c>
      <c r="K3293" t="n">
        <v>1793</v>
      </c>
      <c r="L3293" s="2" t="n">
        <v>285100</v>
      </c>
      <c r="M3293" t="n">
        <v>847.2</v>
      </c>
      <c r="N3293" t="inlineStr">
        <is>
          <t>20250424800306</t>
        </is>
      </c>
      <c r="O3293">
        <f>HYPERLINK("https://dart.fss.or.kr/dsaf001/main.do?rcpNo=20250424800306", "공시열람")</f>
        <v/>
      </c>
    </row>
    <row r="3294">
      <c r="A3294" t="inlineStr">
        <is>
          <t>2025-04-24</t>
        </is>
      </c>
      <c r="B3294" t="inlineStr">
        <is>
          <t>NH투자증권</t>
        </is>
      </c>
      <c r="C3294" t="inlineStr">
        <is>
          <t>005940</t>
        </is>
      </c>
      <c r="D3294" t="inlineStr">
        <is>
          <t>연결</t>
        </is>
      </c>
      <c r="E3294" t="inlineStr">
        <is>
          <t>2025Q1</t>
        </is>
      </c>
      <c r="F3294" s="2" t="n">
        <v>3356634</v>
      </c>
      <c r="G3294" t="inlineStr"/>
      <c r="H3294" t="inlineStr"/>
      <c r="I3294" s="2" t="n">
        <v>289044</v>
      </c>
      <c r="J3294" t="inlineStr"/>
      <c r="K3294" t="inlineStr"/>
      <c r="L3294" s="2" t="n">
        <v>208172</v>
      </c>
      <c r="M3294" t="inlineStr"/>
      <c r="N3294" t="inlineStr">
        <is>
          <t>20250424800607</t>
        </is>
      </c>
      <c r="O3294">
        <f>HYPERLINK("https://dart.fss.or.kr/dsaf001/main.do?rcpNo=20250424800607", "공시열람")</f>
        <v/>
      </c>
    </row>
    <row r="3295">
      <c r="A3295" t="inlineStr">
        <is>
          <t>2025-04-24</t>
        </is>
      </c>
      <c r="B3295" t="inlineStr">
        <is>
          <t>LG디스플레이</t>
        </is>
      </c>
      <c r="C3295" t="inlineStr">
        <is>
          <t>034220</t>
        </is>
      </c>
      <c r="D3295" t="inlineStr">
        <is>
          <t>연결</t>
        </is>
      </c>
      <c r="E3295" t="inlineStr">
        <is>
          <t>2025Q1</t>
        </is>
      </c>
      <c r="F3295" s="2" t="n">
        <v>6065298</v>
      </c>
      <c r="G3295" t="n">
        <v>-23</v>
      </c>
      <c r="H3295" t="n">
        <v>15</v>
      </c>
      <c r="I3295" s="2" t="n">
        <v>33464</v>
      </c>
      <c r="J3295" t="n">
        <v>-60</v>
      </c>
      <c r="K3295" t="inlineStr"/>
      <c r="L3295" s="2" t="n">
        <v>-237032</v>
      </c>
      <c r="M3295" t="n">
        <v>69</v>
      </c>
      <c r="N3295" t="inlineStr">
        <is>
          <t>20250424800303</t>
        </is>
      </c>
      <c r="O3295">
        <f>HYPERLINK("https://dart.fss.or.kr/dsaf001/main.do?rcpNo=20250424800303", "공시열람")</f>
        <v/>
      </c>
    </row>
    <row r="3296">
      <c r="A3296" t="inlineStr">
        <is>
          <t>2025-04-24</t>
        </is>
      </c>
      <c r="B3296" t="inlineStr">
        <is>
          <t>HD현대에너지솔루션</t>
        </is>
      </c>
      <c r="C3296" t="inlineStr">
        <is>
          <t>322000</t>
        </is>
      </c>
      <c r="D3296" t="inlineStr">
        <is>
          <t>연결</t>
        </is>
      </c>
      <c r="E3296" t="inlineStr">
        <is>
          <t>2025Q1</t>
        </is>
      </c>
      <c r="F3296" s="2" t="n">
        <v>85252</v>
      </c>
      <c r="G3296" t="n">
        <v>-23.5</v>
      </c>
      <c r="H3296" t="n">
        <v>-12.6</v>
      </c>
      <c r="I3296" s="2" t="n">
        <v>-3034</v>
      </c>
      <c r="J3296" t="inlineStr"/>
      <c r="K3296" t="n">
        <v>78.7</v>
      </c>
      <c r="L3296" s="2" t="n">
        <v>-1084</v>
      </c>
      <c r="M3296" t="n">
        <v>94.40000000000001</v>
      </c>
      <c r="N3296" t="inlineStr">
        <is>
          <t>20250424800301</t>
        </is>
      </c>
      <c r="O3296">
        <f>HYPERLINK("https://dart.fss.or.kr/dsaf001/main.do?rcpNo=20250424800301", "공시열람")</f>
        <v/>
      </c>
    </row>
    <row r="3297">
      <c r="A3297" t="inlineStr">
        <is>
          <t>2025-04-24</t>
        </is>
      </c>
      <c r="B3297" t="inlineStr">
        <is>
          <t>포스코퓨처엠</t>
        </is>
      </c>
      <c r="C3297" t="inlineStr">
        <is>
          <t>003670</t>
        </is>
      </c>
      <c r="D3297" t="inlineStr">
        <is>
          <t>연결</t>
        </is>
      </c>
      <c r="E3297" t="inlineStr">
        <is>
          <t>2025Q1</t>
        </is>
      </c>
      <c r="F3297" s="2" t="n">
        <v>845394</v>
      </c>
      <c r="G3297" t="n">
        <v>16.9</v>
      </c>
      <c r="H3297" t="n">
        <v>-25.7</v>
      </c>
      <c r="I3297" s="2" t="n">
        <v>17150</v>
      </c>
      <c r="J3297" t="inlineStr"/>
      <c r="K3297" t="n">
        <v>-54.7</v>
      </c>
      <c r="L3297" s="2" t="n">
        <v>48930</v>
      </c>
      <c r="M3297" t="n">
        <v>-14.2</v>
      </c>
      <c r="N3297" t="inlineStr">
        <is>
          <t>20250424800287</t>
        </is>
      </c>
      <c r="O3297">
        <f>HYPERLINK("https://dart.fss.or.kr/dsaf001/main.do?rcpNo=20250424800287", "공시열람")</f>
        <v/>
      </c>
    </row>
    <row r="3298">
      <c r="A3298" t="inlineStr">
        <is>
          <t>2025-04-24</t>
        </is>
      </c>
      <c r="B3298" t="inlineStr">
        <is>
          <t>포스코퓨처엠</t>
        </is>
      </c>
      <c r="C3298" t="inlineStr">
        <is>
          <t>003670</t>
        </is>
      </c>
      <c r="D3298" t="inlineStr">
        <is>
          <t>별도</t>
        </is>
      </c>
      <c r="E3298" t="inlineStr">
        <is>
          <t>2025Q1</t>
        </is>
      </c>
      <c r="F3298" s="2" t="n">
        <v>809151</v>
      </c>
      <c r="G3298" t="n">
        <v>15</v>
      </c>
      <c r="H3298" t="n">
        <v>-27.1</v>
      </c>
      <c r="I3298" s="2" t="n">
        <v>17434</v>
      </c>
      <c r="J3298" t="inlineStr"/>
      <c r="K3298" t="n">
        <v>-60.3</v>
      </c>
      <c r="L3298" s="2" t="n">
        <v>43032</v>
      </c>
      <c r="M3298" t="n">
        <v>-34</v>
      </c>
      <c r="N3298" t="inlineStr">
        <is>
          <t>20250424800285</t>
        </is>
      </c>
      <c r="O3298">
        <f>HYPERLINK("https://dart.fss.or.kr/dsaf001/main.do?rcpNo=20250424800285", "공시열람")</f>
        <v/>
      </c>
    </row>
    <row r="3299">
      <c r="A3299" t="inlineStr">
        <is>
          <t>2025-04-24</t>
        </is>
      </c>
      <c r="B3299" t="inlineStr">
        <is>
          <t>포스코인터내셔널</t>
        </is>
      </c>
      <c r="C3299" t="inlineStr">
        <is>
          <t>047050</t>
        </is>
      </c>
      <c r="D3299" t="inlineStr">
        <is>
          <t>연결</t>
        </is>
      </c>
      <c r="E3299" t="inlineStr">
        <is>
          <t>2025Q1</t>
        </is>
      </c>
      <c r="F3299" s="2" t="n">
        <v>8153700</v>
      </c>
      <c r="G3299" t="inlineStr"/>
      <c r="H3299" t="inlineStr"/>
      <c r="I3299" s="2" t="n">
        <v>270200</v>
      </c>
      <c r="J3299" t="inlineStr"/>
      <c r="K3299" t="inlineStr"/>
      <c r="L3299" s="2" t="n">
        <v>203800</v>
      </c>
      <c r="M3299" t="inlineStr"/>
      <c r="N3299" t="inlineStr">
        <is>
          <t>20250424800284</t>
        </is>
      </c>
      <c r="O3299">
        <f>HYPERLINK("https://dart.fss.or.kr/dsaf001/main.do?rcpNo=20250424800284", "공시열람")</f>
        <v/>
      </c>
    </row>
    <row r="3300">
      <c r="A3300" t="inlineStr">
        <is>
          <t>2025-04-24</t>
        </is>
      </c>
      <c r="B3300" t="inlineStr">
        <is>
          <t>삼성E&amp;A</t>
        </is>
      </c>
      <c r="C3300" t="inlineStr">
        <is>
          <t>028050</t>
        </is>
      </c>
      <c r="D3300" t="inlineStr">
        <is>
          <t>연결</t>
        </is>
      </c>
      <c r="E3300" t="inlineStr">
        <is>
          <t>2025Q1</t>
        </is>
      </c>
      <c r="F3300" s="2" t="n">
        <v>2097955</v>
      </c>
      <c r="G3300" t="n">
        <v>-18.6</v>
      </c>
      <c r="H3300" t="n">
        <v>-12</v>
      </c>
      <c r="I3300" s="2" t="n">
        <v>157304</v>
      </c>
      <c r="J3300" t="n">
        <v>-46.8</v>
      </c>
      <c r="K3300" t="n">
        <v>-24.9</v>
      </c>
      <c r="L3300" s="2" t="n">
        <v>157212</v>
      </c>
      <c r="M3300" t="n">
        <v>-4.2</v>
      </c>
      <c r="N3300" t="inlineStr">
        <is>
          <t>20250424800283</t>
        </is>
      </c>
      <c r="O3300">
        <f>HYPERLINK("https://dart.fss.or.kr/dsaf001/main.do?rcpNo=20250424800283", "공시열람")</f>
        <v/>
      </c>
    </row>
    <row r="3301">
      <c r="A3301" t="inlineStr">
        <is>
          <t>2025-04-24</t>
        </is>
      </c>
      <c r="B3301" t="inlineStr">
        <is>
          <t>칩스앤미디어</t>
        </is>
      </c>
      <c r="C3301" t="inlineStr">
        <is>
          <t>094360</t>
        </is>
      </c>
      <c r="D3301" t="inlineStr">
        <is>
          <t>연결</t>
        </is>
      </c>
      <c r="E3301" t="inlineStr">
        <is>
          <t>2025Q1</t>
        </is>
      </c>
      <c r="F3301" s="2" t="n">
        <v>5370</v>
      </c>
      <c r="G3301" t="inlineStr"/>
      <c r="H3301" t="inlineStr"/>
      <c r="I3301" s="2" t="n">
        <v>203</v>
      </c>
      <c r="J3301" t="inlineStr"/>
      <c r="K3301" t="inlineStr"/>
      <c r="L3301" s="2" t="n">
        <v>-686</v>
      </c>
      <c r="M3301" t="inlineStr"/>
      <c r="N3301" t="inlineStr">
        <is>
          <t>20250424900211</t>
        </is>
      </c>
      <c r="O3301">
        <f>HYPERLINK("https://dart.fss.or.kr/dsaf001/main.do?rcpNo=20250424900211", "공시열람")</f>
        <v/>
      </c>
    </row>
    <row r="3302">
      <c r="A3302" t="inlineStr">
        <is>
          <t>2025-04-24</t>
        </is>
      </c>
      <c r="B3302" t="inlineStr">
        <is>
          <t>포스코엠텍</t>
        </is>
      </c>
      <c r="C3302" t="inlineStr">
        <is>
          <t>009520</t>
        </is>
      </c>
      <c r="D3302" t="inlineStr">
        <is>
          <t>별도</t>
        </is>
      </c>
      <c r="E3302" t="inlineStr">
        <is>
          <t>2025Q1</t>
        </is>
      </c>
      <c r="F3302" s="2" t="n">
        <v>86308</v>
      </c>
      <c r="G3302" t="inlineStr"/>
      <c r="H3302" t="inlineStr"/>
      <c r="I3302" s="2" t="n">
        <v>-796</v>
      </c>
      <c r="J3302" t="inlineStr"/>
      <c r="K3302" t="inlineStr"/>
      <c r="L3302" s="2" t="n">
        <v>-765</v>
      </c>
      <c r="M3302" t="inlineStr"/>
      <c r="N3302" t="inlineStr">
        <is>
          <t>20250424900293</t>
        </is>
      </c>
      <c r="O3302">
        <f>HYPERLINK("https://dart.fss.or.kr/dsaf001/main.do?rcpNo=20250424900293", "공시열람")</f>
        <v/>
      </c>
    </row>
    <row r="3303">
      <c r="A3303" t="inlineStr">
        <is>
          <t>2025-04-24</t>
        </is>
      </c>
      <c r="B3303" t="inlineStr">
        <is>
          <t>삼성에스디에스</t>
        </is>
      </c>
      <c r="C3303" t="inlineStr">
        <is>
          <t>018260</t>
        </is>
      </c>
      <c r="D3303" t="inlineStr">
        <is>
          <t>연결</t>
        </is>
      </c>
      <c r="E3303" t="inlineStr">
        <is>
          <t>2025Q1</t>
        </is>
      </c>
      <c r="F3303" s="2" t="n">
        <v>3489764</v>
      </c>
      <c r="G3303" t="inlineStr"/>
      <c r="H3303" t="inlineStr"/>
      <c r="I3303" s="2" t="n">
        <v>268545</v>
      </c>
      <c r="J3303" t="inlineStr"/>
      <c r="K3303" t="inlineStr"/>
      <c r="L3303" s="2" t="n">
        <v>217669</v>
      </c>
      <c r="M3303" t="inlineStr"/>
      <c r="N3303" t="inlineStr">
        <is>
          <t>20250424800250</t>
        </is>
      </c>
      <c r="O3303">
        <f>HYPERLINK("https://dart.fss.or.kr/dsaf001/main.do?rcpNo=20250424800250", "공시열람")</f>
        <v/>
      </c>
    </row>
    <row r="3304">
      <c r="A3304" t="inlineStr">
        <is>
          <t>2025-04-24</t>
        </is>
      </c>
      <c r="B3304" t="inlineStr">
        <is>
          <t>포스코DX</t>
        </is>
      </c>
      <c r="C3304" t="inlineStr">
        <is>
          <t>022100</t>
        </is>
      </c>
      <c r="D3304" t="inlineStr">
        <is>
          <t>연결</t>
        </is>
      </c>
      <c r="E3304" t="inlineStr">
        <is>
          <t>2025Q1</t>
        </is>
      </c>
      <c r="F3304" s="2" t="n">
        <v>296780</v>
      </c>
      <c r="G3304" t="n">
        <v>-17.9</v>
      </c>
      <c r="H3304" t="n">
        <v>-32.6</v>
      </c>
      <c r="I3304" s="2" t="n">
        <v>22864</v>
      </c>
      <c r="J3304" t="n">
        <v>-1.3</v>
      </c>
      <c r="K3304" t="n">
        <v>-35</v>
      </c>
      <c r="L3304" s="2" t="n">
        <v>21667</v>
      </c>
      <c r="M3304" t="n">
        <v>-15.8</v>
      </c>
      <c r="N3304" t="inlineStr">
        <is>
          <t>20250424800203</t>
        </is>
      </c>
      <c r="O3304">
        <f>HYPERLINK("https://dart.fss.or.kr/dsaf001/main.do?rcpNo=20250424800203", "공시열람")</f>
        <v/>
      </c>
    </row>
    <row r="3305">
      <c r="A3305" t="inlineStr">
        <is>
          <t>2025-04-24</t>
        </is>
      </c>
      <c r="B3305" t="inlineStr">
        <is>
          <t>샘씨엔에스</t>
        </is>
      </c>
      <c r="C3305" t="inlineStr">
        <is>
          <t>252990</t>
        </is>
      </c>
      <c r="D3305" t="inlineStr">
        <is>
          <t>별도</t>
        </is>
      </c>
      <c r="E3305" t="inlineStr">
        <is>
          <t>2025Q1</t>
        </is>
      </c>
      <c r="F3305" s="2" t="n">
        <v>15755</v>
      </c>
      <c r="G3305" t="inlineStr"/>
      <c r="H3305" t="inlineStr"/>
      <c r="I3305" s="2" t="n">
        <v>1430</v>
      </c>
      <c r="J3305" t="inlineStr"/>
      <c r="K3305" t="inlineStr"/>
      <c r="L3305" s="2" t="n">
        <v>1183</v>
      </c>
      <c r="M3305" t="inlineStr"/>
      <c r="N3305" t="inlineStr">
        <is>
          <t>20250424900192</t>
        </is>
      </c>
      <c r="O3305">
        <f>HYPERLINK("https://dart.fss.or.kr/dsaf001/main.do?rcpNo=20250424900192", "공시열람")</f>
        <v/>
      </c>
    </row>
    <row r="3306">
      <c r="A3306" t="inlineStr">
        <is>
          <t>2025-04-24</t>
        </is>
      </c>
      <c r="B3306" t="inlineStr">
        <is>
          <t>포스코스틸리온</t>
        </is>
      </c>
      <c r="C3306" t="inlineStr">
        <is>
          <t>058430</t>
        </is>
      </c>
      <c r="D3306" t="inlineStr">
        <is>
          <t>연결</t>
        </is>
      </c>
      <c r="E3306" t="inlineStr">
        <is>
          <t>2025Q1</t>
        </is>
      </c>
      <c r="F3306" s="2" t="n">
        <v>277200</v>
      </c>
      <c r="G3306" t="n">
        <v>-3</v>
      </c>
      <c r="H3306" t="n">
        <v>-11.2</v>
      </c>
      <c r="I3306" s="2" t="n">
        <v>11900</v>
      </c>
      <c r="J3306" t="n">
        <v>-13.1</v>
      </c>
      <c r="K3306" t="n">
        <v>-4.8</v>
      </c>
      <c r="L3306" s="2" t="n">
        <v>10100</v>
      </c>
      <c r="M3306" t="n">
        <v>16.1</v>
      </c>
      <c r="N3306" t="inlineStr">
        <is>
          <t>20250424800172</t>
        </is>
      </c>
      <c r="O3306">
        <f>HYPERLINK("https://dart.fss.or.kr/dsaf001/main.do?rcpNo=20250424800172", "공시열람")</f>
        <v/>
      </c>
    </row>
    <row r="3307">
      <c r="A3307" t="inlineStr">
        <is>
          <t>2025-04-24</t>
        </is>
      </c>
      <c r="B3307" t="inlineStr">
        <is>
          <t>KG스틸</t>
        </is>
      </c>
      <c r="C3307" t="inlineStr">
        <is>
          <t>016380</t>
        </is>
      </c>
      <c r="D3307" t="inlineStr">
        <is>
          <t>연결</t>
        </is>
      </c>
      <c r="E3307" t="inlineStr">
        <is>
          <t>2025Q1</t>
        </is>
      </c>
      <c r="F3307" s="2" t="n">
        <v>812600</v>
      </c>
      <c r="G3307" t="n">
        <v>2.98</v>
      </c>
      <c r="H3307" t="n">
        <v>-0.73</v>
      </c>
      <c r="I3307" s="2" t="n">
        <v>65200</v>
      </c>
      <c r="J3307" t="n">
        <v>77.5</v>
      </c>
      <c r="K3307" t="n">
        <v>25.02</v>
      </c>
      <c r="L3307" s="2" t="n">
        <v>46500</v>
      </c>
      <c r="M3307" t="n">
        <v>1306.83</v>
      </c>
      <c r="N3307" t="inlineStr">
        <is>
          <t>20250424800163</t>
        </is>
      </c>
      <c r="O3307">
        <f>HYPERLINK("https://dart.fss.or.kr/dsaf001/main.do?rcpNo=20250424800163", "공시열람")</f>
        <v/>
      </c>
    </row>
    <row r="3308">
      <c r="A3308" t="inlineStr">
        <is>
          <t>2025-04-24</t>
        </is>
      </c>
      <c r="B3308" t="inlineStr">
        <is>
          <t>포스코스틸리온</t>
        </is>
      </c>
      <c r="C3308" t="inlineStr">
        <is>
          <t>058430</t>
        </is>
      </c>
      <c r="D3308" t="inlineStr">
        <is>
          <t>별도</t>
        </is>
      </c>
      <c r="E3308" t="inlineStr">
        <is>
          <t>2025Q1</t>
        </is>
      </c>
      <c r="F3308" s="2" t="n">
        <v>268800</v>
      </c>
      <c r="G3308" t="n">
        <v>-2.6</v>
      </c>
      <c r="H3308" t="n">
        <v>-12.2</v>
      </c>
      <c r="I3308" s="2" t="n">
        <v>9300</v>
      </c>
      <c r="J3308" t="n">
        <v>10.7</v>
      </c>
      <c r="K3308" t="n">
        <v>-9.699999999999999</v>
      </c>
      <c r="L3308" s="2" t="n">
        <v>7800</v>
      </c>
      <c r="M3308" t="n">
        <v>-7.1</v>
      </c>
      <c r="N3308" t="inlineStr">
        <is>
          <t>20250424800165</t>
        </is>
      </c>
      <c r="O3308">
        <f>HYPERLINK("https://dart.fss.or.kr/dsaf001/main.do?rcpNo=20250424800165", "공시열람")</f>
        <v/>
      </c>
    </row>
    <row r="3309">
      <c r="A3309" t="inlineStr">
        <is>
          <t>2025-04-24</t>
        </is>
      </c>
      <c r="B3309" t="inlineStr">
        <is>
          <t>KG스틸</t>
        </is>
      </c>
      <c r="C3309" t="inlineStr">
        <is>
          <t>016380</t>
        </is>
      </c>
      <c r="D3309" t="inlineStr">
        <is>
          <t>별도</t>
        </is>
      </c>
      <c r="E3309" t="inlineStr">
        <is>
          <t>2025Q1</t>
        </is>
      </c>
      <c r="F3309" s="2" t="n">
        <v>753900</v>
      </c>
      <c r="G3309" t="n">
        <v>0.91</v>
      </c>
      <c r="H3309" t="n">
        <v>-11.21</v>
      </c>
      <c r="I3309" s="2" t="n">
        <v>61600</v>
      </c>
      <c r="J3309" t="n">
        <v>26.35</v>
      </c>
      <c r="K3309" t="n">
        <v>-13.04</v>
      </c>
      <c r="L3309" s="2" t="n">
        <v>45100</v>
      </c>
      <c r="M3309" t="n">
        <v>-17.68</v>
      </c>
      <c r="N3309" t="inlineStr">
        <is>
          <t>20250424800162</t>
        </is>
      </c>
      <c r="O3309">
        <f>HYPERLINK("https://dart.fss.or.kr/dsaf001/main.do?rcpNo=20250424800162", "공시열람")</f>
        <v/>
      </c>
    </row>
    <row r="3310">
      <c r="A3310" t="inlineStr">
        <is>
          <t>2025-04-24</t>
        </is>
      </c>
      <c r="B3310" t="inlineStr">
        <is>
          <t>HD현대마린엔진</t>
        </is>
      </c>
      <c r="C3310" t="inlineStr">
        <is>
          <t>071970</t>
        </is>
      </c>
      <c r="D3310" t="inlineStr">
        <is>
          <t>연결</t>
        </is>
      </c>
      <c r="E3310" t="inlineStr">
        <is>
          <t>2025Q1</t>
        </is>
      </c>
      <c r="F3310" s="2" t="n">
        <v>83019</v>
      </c>
      <c r="G3310" t="n">
        <v>-6.3</v>
      </c>
      <c r="H3310" t="n">
        <v>35.3</v>
      </c>
      <c r="I3310" s="2" t="n">
        <v>10272</v>
      </c>
      <c r="J3310" t="n">
        <v>12.4</v>
      </c>
      <c r="K3310" t="n">
        <v>64.40000000000001</v>
      </c>
      <c r="L3310" s="2" t="n">
        <v>13863</v>
      </c>
      <c r="M3310" t="n">
        <v>106.7</v>
      </c>
      <c r="N3310" t="inlineStr">
        <is>
          <t>20250424800289</t>
        </is>
      </c>
      <c r="O3310">
        <f>HYPERLINK("https://dart.fss.or.kr/dsaf001/main.do?rcpNo=20250424800289", "공시열람")</f>
        <v/>
      </c>
    </row>
    <row r="3311">
      <c r="A3311" t="inlineStr">
        <is>
          <t>2025-04-23</t>
        </is>
      </c>
      <c r="B3311" t="inlineStr">
        <is>
          <t>에이치시티</t>
        </is>
      </c>
      <c r="C3311" t="inlineStr">
        <is>
          <t>072990</t>
        </is>
      </c>
      <c r="D3311" t="inlineStr">
        <is>
          <t>연결</t>
        </is>
      </c>
      <c r="E3311" t="inlineStr">
        <is>
          <t>2025Q1</t>
        </is>
      </c>
      <c r="F3311" s="2" t="n">
        <v>25671</v>
      </c>
      <c r="G3311" t="inlineStr"/>
      <c r="H3311" t="inlineStr"/>
      <c r="I3311" s="2" t="n">
        <v>1438</v>
      </c>
      <c r="J3311" t="inlineStr"/>
      <c r="K3311" t="inlineStr"/>
      <c r="L3311" s="2" t="n">
        <v>715</v>
      </c>
      <c r="M3311" t="inlineStr"/>
      <c r="N3311" t="inlineStr">
        <is>
          <t>20250423900689</t>
        </is>
      </c>
      <c r="O3311">
        <f>HYPERLINK("https://dart.fss.or.kr/dsaf001/main.do?rcpNo=20250423900689", "공시열람")</f>
        <v/>
      </c>
    </row>
    <row r="3312">
      <c r="A3312" t="inlineStr">
        <is>
          <t>2025-04-23</t>
        </is>
      </c>
      <c r="B3312" t="inlineStr">
        <is>
          <t>노을</t>
        </is>
      </c>
      <c r="C3312" t="inlineStr">
        <is>
          <t>376930</t>
        </is>
      </c>
      <c r="D3312" t="inlineStr">
        <is>
          <t>연결</t>
        </is>
      </c>
      <c r="E3312" t="inlineStr">
        <is>
          <t>2025Q1</t>
        </is>
      </c>
      <c r="F3312" s="2" t="n">
        <v>1393</v>
      </c>
      <c r="G3312" t="inlineStr"/>
      <c r="H3312" t="inlineStr"/>
      <c r="I3312" s="2" t="n">
        <v>-4445</v>
      </c>
      <c r="J3312" t="inlineStr"/>
      <c r="K3312" t="inlineStr"/>
      <c r="L3312" s="2" t="n">
        <v>-4324</v>
      </c>
      <c r="M3312" t="inlineStr"/>
      <c r="N3312" t="inlineStr">
        <is>
          <t>20250423900492</t>
        </is>
      </c>
      <c r="O3312">
        <f>HYPERLINK("https://dart.fss.or.kr/dsaf001/main.do?rcpNo=20250423900492", "공시열람")</f>
        <v/>
      </c>
    </row>
    <row r="3313">
      <c r="A3313" t="inlineStr">
        <is>
          <t>2025-04-23</t>
        </is>
      </c>
      <c r="B3313" t="inlineStr">
        <is>
          <t>LG이노텍</t>
        </is>
      </c>
      <c r="C3313" t="inlineStr">
        <is>
          <t>011070</t>
        </is>
      </c>
      <c r="D3313" t="inlineStr">
        <is>
          <t>연결</t>
        </is>
      </c>
      <c r="E3313" t="inlineStr">
        <is>
          <t>2025Q1</t>
        </is>
      </c>
      <c r="F3313" s="2" t="n">
        <v>4982840</v>
      </c>
      <c r="G3313" t="n">
        <v>-24.8</v>
      </c>
      <c r="H3313" t="n">
        <v>15</v>
      </c>
      <c r="I3313" s="2" t="n">
        <v>125116</v>
      </c>
      <c r="J3313" t="n">
        <v>-49.5</v>
      </c>
      <c r="K3313" t="n">
        <v>-28.9</v>
      </c>
      <c r="L3313" s="2" t="n">
        <v>85613</v>
      </c>
      <c r="M3313" t="n">
        <v>-38.2</v>
      </c>
      <c r="N3313" t="inlineStr">
        <is>
          <t>20250423800331</t>
        </is>
      </c>
      <c r="O3313">
        <f>HYPERLINK("https://dart.fss.or.kr/dsaf001/main.do?rcpNo=20250423800331", "공시열람")</f>
        <v/>
      </c>
    </row>
    <row r="3314">
      <c r="A3314" t="inlineStr">
        <is>
          <t>2025-04-23</t>
        </is>
      </c>
      <c r="B3314" t="inlineStr">
        <is>
          <t>에스앤에스텍</t>
        </is>
      </c>
      <c r="C3314" t="inlineStr">
        <is>
          <t>101490</t>
        </is>
      </c>
      <c r="D3314" t="inlineStr">
        <is>
          <t>연결</t>
        </is>
      </c>
      <c r="E3314" t="inlineStr">
        <is>
          <t>2025Q1</t>
        </is>
      </c>
      <c r="F3314" s="2" t="n">
        <v>57925</v>
      </c>
      <c r="G3314" t="inlineStr"/>
      <c r="H3314" t="inlineStr"/>
      <c r="I3314" s="2" t="n">
        <v>11939</v>
      </c>
      <c r="J3314" t="inlineStr"/>
      <c r="K3314" t="inlineStr"/>
      <c r="L3314" s="2" t="n">
        <v>11971</v>
      </c>
      <c r="M3314" t="inlineStr"/>
      <c r="N3314" t="inlineStr">
        <is>
          <t>20250423900095</t>
        </is>
      </c>
      <c r="O3314">
        <f>HYPERLINK("https://dart.fss.or.kr/dsaf001/main.do?rcpNo=20250423900095", "공시열람")</f>
        <v/>
      </c>
    </row>
    <row r="3315">
      <c r="A3315" t="inlineStr">
        <is>
          <t>2025-04-23</t>
        </is>
      </c>
      <c r="B3315" t="inlineStr">
        <is>
          <t>유니드</t>
        </is>
      </c>
      <c r="C3315" t="inlineStr">
        <is>
          <t>014830</t>
        </is>
      </c>
      <c r="D3315" t="inlineStr">
        <is>
          <t>연결</t>
        </is>
      </c>
      <c r="E3315" t="inlineStr">
        <is>
          <t>2025Q1</t>
        </is>
      </c>
      <c r="F3315" s="2" t="n">
        <v>322506</v>
      </c>
      <c r="G3315" t="inlineStr"/>
      <c r="H3315" t="inlineStr"/>
      <c r="I3315" s="2" t="n">
        <v>28659</v>
      </c>
      <c r="J3315" t="inlineStr"/>
      <c r="K3315" t="inlineStr"/>
      <c r="L3315" s="2" t="n">
        <v>22301</v>
      </c>
      <c r="M3315" t="inlineStr"/>
      <c r="N3315" t="inlineStr">
        <is>
          <t>20250423800162</t>
        </is>
      </c>
      <c r="O3315">
        <f>HYPERLINK("https://dart.fss.or.kr/dsaf001/main.do?rcpNo=20250423800162", "공시열람")</f>
        <v/>
      </c>
    </row>
    <row r="3316">
      <c r="A3316" t="inlineStr">
        <is>
          <t>2025-04-23</t>
        </is>
      </c>
      <c r="B3316" t="inlineStr">
        <is>
          <t>하이로닉</t>
        </is>
      </c>
      <c r="C3316" t="inlineStr">
        <is>
          <t>149980</t>
        </is>
      </c>
      <c r="D3316" t="inlineStr">
        <is>
          <t>연결</t>
        </is>
      </c>
      <c r="E3316" t="inlineStr">
        <is>
          <t>2025Q1</t>
        </is>
      </c>
      <c r="F3316" s="2" t="n">
        <v>7493</v>
      </c>
      <c r="G3316" t="inlineStr"/>
      <c r="H3316" t="inlineStr"/>
      <c r="I3316" s="2" t="n">
        <v>1198</v>
      </c>
      <c r="J3316" t="inlineStr"/>
      <c r="K3316" t="inlineStr"/>
      <c r="L3316" s="2" t="n">
        <v>1096</v>
      </c>
      <c r="M3316" t="inlineStr"/>
      <c r="N3316" t="inlineStr">
        <is>
          <t>20250423900174</t>
        </is>
      </c>
      <c r="O3316">
        <f>HYPERLINK("https://dart.fss.or.kr/dsaf001/main.do?rcpNo=20250423900174", "공시열람")</f>
        <v/>
      </c>
    </row>
    <row r="3317">
      <c r="A3317" t="inlineStr">
        <is>
          <t>2025-04-23</t>
        </is>
      </c>
      <c r="B3317" t="inlineStr">
        <is>
          <t>에어부산</t>
        </is>
      </c>
      <c r="C3317" t="inlineStr">
        <is>
          <t>298690</t>
        </is>
      </c>
      <c r="D3317" t="inlineStr">
        <is>
          <t>별도</t>
        </is>
      </c>
      <c r="E3317" t="inlineStr">
        <is>
          <t>2025Q1</t>
        </is>
      </c>
      <c r="F3317" s="2" t="n">
        <v>249576</v>
      </c>
      <c r="G3317" t="n">
        <v>0.3</v>
      </c>
      <c r="H3317" t="n">
        <v>-8.300000000000001</v>
      </c>
      <c r="I3317" s="2" t="n">
        <v>40154</v>
      </c>
      <c r="J3317" t="n">
        <v>103.1</v>
      </c>
      <c r="K3317" t="n">
        <v>-43.4</v>
      </c>
      <c r="L3317" s="2" t="n">
        <v>32187</v>
      </c>
      <c r="M3317" t="n">
        <v>41.6</v>
      </c>
      <c r="N3317" t="inlineStr">
        <is>
          <t>20250423800374</t>
        </is>
      </c>
      <c r="O3317">
        <f>HYPERLINK("https://dart.fss.or.kr/dsaf001/main.do?rcpNo=20250423800374", "공시열람")</f>
        <v/>
      </c>
    </row>
    <row r="3318">
      <c r="A3318" t="inlineStr">
        <is>
          <t>2025-04-23</t>
        </is>
      </c>
      <c r="B3318" t="inlineStr">
        <is>
          <t>OCI</t>
        </is>
      </c>
      <c r="C3318" t="inlineStr">
        <is>
          <t>456040</t>
        </is>
      </c>
      <c r="D3318" t="inlineStr">
        <is>
          <t>연결</t>
        </is>
      </c>
      <c r="E3318" t="inlineStr">
        <is>
          <t>2025Q1</t>
        </is>
      </c>
      <c r="F3318" s="2" t="n">
        <v>538788</v>
      </c>
      <c r="G3318" t="n">
        <v>3.7</v>
      </c>
      <c r="H3318" t="n">
        <v>-0.3</v>
      </c>
      <c r="I3318" s="2" t="n">
        <v>10245</v>
      </c>
      <c r="J3318" t="n">
        <v>-49.7</v>
      </c>
      <c r="K3318" t="n">
        <v>-73.59999999999999</v>
      </c>
      <c r="L3318" s="2" t="n">
        <v>-17350</v>
      </c>
      <c r="M3318" t="inlineStr"/>
      <c r="N3318" t="inlineStr">
        <is>
          <t>20250423800268</t>
        </is>
      </c>
      <c r="O3318">
        <f>HYPERLINK("https://dart.fss.or.kr/dsaf001/main.do?rcpNo=20250423800268", "공시열람")</f>
        <v/>
      </c>
    </row>
    <row r="3319">
      <c r="A3319" t="inlineStr">
        <is>
          <t>2025-04-23</t>
        </is>
      </c>
      <c r="B3319" t="inlineStr">
        <is>
          <t>삼성바이오로직스</t>
        </is>
      </c>
      <c r="C3319" t="inlineStr">
        <is>
          <t>207940</t>
        </is>
      </c>
      <c r="D3319" t="inlineStr">
        <is>
          <t>연결</t>
        </is>
      </c>
      <c r="E3319" t="inlineStr">
        <is>
          <t>2025Q1</t>
        </is>
      </c>
      <c r="F3319" s="2" t="n">
        <v>1298273</v>
      </c>
      <c r="G3319" t="n">
        <v>3.33</v>
      </c>
      <c r="H3319" t="n">
        <v>37.11</v>
      </c>
      <c r="I3319" s="2" t="n">
        <v>486689</v>
      </c>
      <c r="J3319" t="n">
        <v>49.45</v>
      </c>
      <c r="K3319" t="n">
        <v>119.92</v>
      </c>
      <c r="L3319" s="2" t="n">
        <v>375554</v>
      </c>
      <c r="M3319" t="n">
        <v>109.38</v>
      </c>
      <c r="N3319" t="inlineStr">
        <is>
          <t>20250423800326</t>
        </is>
      </c>
      <c r="O3319">
        <f>HYPERLINK("https://dart.fss.or.kr/dsaf001/main.do?rcpNo=20250423800326", "공시열람")</f>
        <v/>
      </c>
    </row>
    <row r="3320">
      <c r="A3320" t="inlineStr">
        <is>
          <t>2025-04-22</t>
        </is>
      </c>
      <c r="B3320" t="inlineStr">
        <is>
          <t>부광약품</t>
        </is>
      </c>
      <c r="C3320" t="inlineStr">
        <is>
          <t>003000</t>
        </is>
      </c>
      <c r="D3320" t="inlineStr">
        <is>
          <t>연결</t>
        </is>
      </c>
      <c r="E3320" t="inlineStr">
        <is>
          <t>2025Q1</t>
        </is>
      </c>
      <c r="F3320" s="2" t="n">
        <v>47806</v>
      </c>
      <c r="G3320" t="inlineStr"/>
      <c r="H3320" t="inlineStr"/>
      <c r="I3320" s="2" t="n">
        <v>3014</v>
      </c>
      <c r="J3320" t="inlineStr"/>
      <c r="K3320" t="inlineStr"/>
      <c r="L3320" s="2" t="n">
        <v>-111</v>
      </c>
      <c r="M3320" t="inlineStr"/>
      <c r="N3320" t="inlineStr">
        <is>
          <t>20250422800162</t>
        </is>
      </c>
      <c r="O3320">
        <f>HYPERLINK("https://dart.fss.or.kr/dsaf001/main.do?rcpNo=20250422800162", "공시열람")</f>
        <v/>
      </c>
    </row>
    <row r="3321">
      <c r="A3321" t="inlineStr">
        <is>
          <t>2025-04-22</t>
        </is>
      </c>
      <c r="B3321" t="inlineStr">
        <is>
          <t>SGC에너지</t>
        </is>
      </c>
      <c r="C3321" t="inlineStr">
        <is>
          <t>005090</t>
        </is>
      </c>
      <c r="D3321" t="inlineStr">
        <is>
          <t>연결</t>
        </is>
      </c>
      <c r="E3321" t="inlineStr">
        <is>
          <t>2025Q1</t>
        </is>
      </c>
      <c r="F3321" s="2" t="n">
        <v>618500</v>
      </c>
      <c r="G3321" t="inlineStr"/>
      <c r="H3321" t="inlineStr"/>
      <c r="I3321" s="2" t="n">
        <v>17600</v>
      </c>
      <c r="J3321" t="inlineStr"/>
      <c r="K3321" t="inlineStr"/>
      <c r="L3321" s="2" t="n">
        <v>-2300</v>
      </c>
      <c r="M3321" t="inlineStr"/>
      <c r="N3321" t="inlineStr">
        <is>
          <t>20250422800285</t>
        </is>
      </c>
      <c r="O3321">
        <f>HYPERLINK("https://dart.fss.or.kr/dsaf001/main.do?rcpNo=20250422800285", "공시열람")</f>
        <v/>
      </c>
    </row>
    <row r="3322">
      <c r="A3322" t="inlineStr">
        <is>
          <t>2025-04-22</t>
        </is>
      </c>
      <c r="B3322" t="inlineStr">
        <is>
          <t>HD현대일렉트릭</t>
        </is>
      </c>
      <c r="C3322" t="inlineStr">
        <is>
          <t>267260</t>
        </is>
      </c>
      <c r="D3322" t="inlineStr">
        <is>
          <t>연결</t>
        </is>
      </c>
      <c r="E3322" t="inlineStr">
        <is>
          <t>2025Q1</t>
        </is>
      </c>
      <c r="F3322" s="2" t="n">
        <v>1014700</v>
      </c>
      <c r="G3322" t="n">
        <v>24.4</v>
      </c>
      <c r="H3322" t="n">
        <v>26.7</v>
      </c>
      <c r="I3322" s="2" t="n">
        <v>218200</v>
      </c>
      <c r="J3322" t="n">
        <v>31.2</v>
      </c>
      <c r="K3322" t="n">
        <v>69.40000000000001</v>
      </c>
      <c r="L3322" s="2" t="n">
        <v>153400</v>
      </c>
      <c r="M3322" t="n">
        <v>64.2</v>
      </c>
      <c r="N3322" t="inlineStr">
        <is>
          <t>20250422800173</t>
        </is>
      </c>
      <c r="O3322">
        <f>HYPERLINK("https://dart.fss.or.kr/dsaf001/main.do?rcpNo=20250422800173", "공시열람")</f>
        <v/>
      </c>
    </row>
    <row r="3323">
      <c r="A3323" t="inlineStr">
        <is>
          <t>2025-04-22</t>
        </is>
      </c>
      <c r="B3323" t="inlineStr">
        <is>
          <t>SGC E&amp;C</t>
        </is>
      </c>
      <c r="C3323" t="inlineStr">
        <is>
          <t>016250</t>
        </is>
      </c>
      <c r="D3323" t="inlineStr">
        <is>
          <t>연결</t>
        </is>
      </c>
      <c r="E3323" t="inlineStr">
        <is>
          <t>2025Q1</t>
        </is>
      </c>
      <c r="F3323" s="2" t="n">
        <v>329958</v>
      </c>
      <c r="G3323" t="inlineStr"/>
      <c r="H3323" t="inlineStr"/>
      <c r="I3323" s="2" t="n">
        <v>11572</v>
      </c>
      <c r="J3323" t="inlineStr"/>
      <c r="K3323" t="inlineStr"/>
      <c r="L3323" s="2" t="inlineStr"/>
      <c r="M3323" t="inlineStr"/>
      <c r="N3323" t="inlineStr">
        <is>
          <t>20250422900514</t>
        </is>
      </c>
      <c r="O3323">
        <f>HYPERLINK("https://dart.fss.or.kr/dsaf001/main.do?rcpNo=20250422900514", "공시열람")</f>
        <v/>
      </c>
    </row>
    <row r="3324">
      <c r="A3324" t="inlineStr">
        <is>
          <t>2025-04-21</t>
        </is>
      </c>
      <c r="B3324" t="inlineStr">
        <is>
          <t>엘에스일렉트릭</t>
        </is>
      </c>
      <c r="C3324" t="inlineStr">
        <is>
          <t>010120</t>
        </is>
      </c>
      <c r="D3324" t="inlineStr">
        <is>
          <t>연결</t>
        </is>
      </c>
      <c r="E3324" t="inlineStr">
        <is>
          <t>2025Q1</t>
        </is>
      </c>
      <c r="F3324" s="2" t="n">
        <v>1032084</v>
      </c>
      <c r="G3324" t="n">
        <v>-24.09</v>
      </c>
      <c r="H3324" t="n">
        <v>-0.63</v>
      </c>
      <c r="I3324" s="2" t="n">
        <v>87310</v>
      </c>
      <c r="J3324" t="n">
        <v>-27.18</v>
      </c>
      <c r="K3324" t="n">
        <v>-6.86</v>
      </c>
      <c r="L3324" s="2" t="n">
        <v>67351</v>
      </c>
      <c r="M3324" t="n">
        <v>-15.51</v>
      </c>
      <c r="N3324" t="inlineStr">
        <is>
          <t>20250421800140</t>
        </is>
      </c>
      <c r="O3324">
        <f>HYPERLINK("https://dart.fss.or.kr/dsaf001/main.do?rcpNo=20250421800140", "공시열람")</f>
        <v/>
      </c>
    </row>
    <row r="3325">
      <c r="A3325" t="inlineStr">
        <is>
          <t>2025-04-21</t>
        </is>
      </c>
      <c r="B3325" t="inlineStr">
        <is>
          <t>한화엔진</t>
        </is>
      </c>
      <c r="C3325" t="inlineStr">
        <is>
          <t>082740</t>
        </is>
      </c>
      <c r="D3325" t="inlineStr">
        <is>
          <t>별도</t>
        </is>
      </c>
      <c r="E3325" t="inlineStr">
        <is>
          <t>2025Q1</t>
        </is>
      </c>
      <c r="F3325" s="2" t="n">
        <v>318182</v>
      </c>
      <c r="G3325" t="n">
        <v>-2.5</v>
      </c>
      <c r="H3325" t="n">
        <v>8.5</v>
      </c>
      <c r="I3325" s="2" t="n">
        <v>22312</v>
      </c>
      <c r="J3325" t="n">
        <v>22.6</v>
      </c>
      <c r="K3325" t="n">
        <v>14.9</v>
      </c>
      <c r="L3325" s="2" t="n">
        <v>19409</v>
      </c>
      <c r="M3325" t="n">
        <v>30.5</v>
      </c>
      <c r="N3325" t="inlineStr">
        <is>
          <t>20250421800546</t>
        </is>
      </c>
      <c r="O3325">
        <f>HYPERLINK("https://dart.fss.or.kr/dsaf001/main.do?rcpNo=20250421800546", "공시열람")</f>
        <v/>
      </c>
    </row>
    <row r="3326">
      <c r="A3326" t="inlineStr">
        <is>
          <t>2025-04-18</t>
        </is>
      </c>
      <c r="B3326" t="inlineStr">
        <is>
          <t>지역난방공사</t>
        </is>
      </c>
      <c r="C3326" t="inlineStr">
        <is>
          <t>071320</t>
        </is>
      </c>
      <c r="D3326" t="inlineStr">
        <is>
          <t>별도</t>
        </is>
      </c>
      <c r="E3326" t="inlineStr">
        <is>
          <t>2025Q1</t>
        </is>
      </c>
      <c r="F3326" s="2" t="inlineStr"/>
      <c r="G3326" t="inlineStr"/>
      <c r="H3326" t="inlineStr"/>
      <c r="I3326" s="2" t="inlineStr"/>
      <c r="J3326" t="inlineStr"/>
      <c r="K3326" t="inlineStr"/>
      <c r="L3326" s="2" t="inlineStr"/>
      <c r="M3326" t="inlineStr"/>
      <c r="N3326" t="inlineStr">
        <is>
          <t>20250418800571</t>
        </is>
      </c>
      <c r="O3326">
        <f>HYPERLINK("https://dart.fss.or.kr/dsaf001/main.do?rcpNo=20250418800571", "공시열람")</f>
        <v/>
      </c>
    </row>
    <row r="3327">
      <c r="A3327" t="inlineStr">
        <is>
          <t>2025-04-18</t>
        </is>
      </c>
      <c r="B3327" t="inlineStr">
        <is>
          <t>엠로</t>
        </is>
      </c>
      <c r="C3327" t="inlineStr">
        <is>
          <t>058970</t>
        </is>
      </c>
      <c r="D3327" t="inlineStr">
        <is>
          <t>연결</t>
        </is>
      </c>
      <c r="E3327" t="inlineStr">
        <is>
          <t>2025Q1</t>
        </is>
      </c>
      <c r="F3327" s="2" t="n">
        <v>20627</v>
      </c>
      <c r="G3327" t="inlineStr"/>
      <c r="H3327" t="inlineStr"/>
      <c r="I3327" s="2" t="n">
        <v>963</v>
      </c>
      <c r="J3327" t="inlineStr"/>
      <c r="K3327" t="inlineStr"/>
      <c r="L3327" s="2" t="n">
        <v>1037</v>
      </c>
      <c r="M3327" t="inlineStr"/>
      <c r="N3327" t="inlineStr">
        <is>
          <t>20250418900761</t>
        </is>
      </c>
      <c r="O3327">
        <f>HYPERLINK("https://dart.fss.or.kr/dsaf001/main.do?rcpNo=20250418900761", "공시열람")</f>
        <v/>
      </c>
    </row>
    <row r="3328">
      <c r="A3328" t="inlineStr">
        <is>
          <t>2025-04-18</t>
        </is>
      </c>
      <c r="B3328" t="inlineStr">
        <is>
          <t>국도화학</t>
        </is>
      </c>
      <c r="C3328" t="inlineStr">
        <is>
          <t>007690</t>
        </is>
      </c>
      <c r="D3328" t="inlineStr">
        <is>
          <t>연결</t>
        </is>
      </c>
      <c r="E3328" t="inlineStr">
        <is>
          <t>2025Q1</t>
        </is>
      </c>
      <c r="F3328" s="2" t="n">
        <v>319114</v>
      </c>
      <c r="G3328" t="n">
        <v>-2.3</v>
      </c>
      <c r="H3328" t="n">
        <v>7.8</v>
      </c>
      <c r="I3328" s="2" t="n">
        <v>12902</v>
      </c>
      <c r="J3328" t="n">
        <v>97.5</v>
      </c>
      <c r="K3328" t="n">
        <v>642.9</v>
      </c>
      <c r="L3328" s="2" t="n">
        <v>5752</v>
      </c>
      <c r="M3328" t="inlineStr"/>
      <c r="N3328" t="inlineStr">
        <is>
          <t>20250418800658</t>
        </is>
      </c>
      <c r="O3328">
        <f>HYPERLINK("https://dart.fss.or.kr/dsaf001/main.do?rcpNo=20250418800658", "공시열람")</f>
        <v/>
      </c>
    </row>
    <row r="3329">
      <c r="A3329" t="inlineStr">
        <is>
          <t>2025-04-18</t>
        </is>
      </c>
      <c r="B3329" t="inlineStr">
        <is>
          <t>DS단석</t>
        </is>
      </c>
      <c r="C3329" t="inlineStr">
        <is>
          <t>017860</t>
        </is>
      </c>
      <c r="D3329" t="inlineStr">
        <is>
          <t>별도</t>
        </is>
      </c>
      <c r="E3329" t="inlineStr">
        <is>
          <t>2025Q1</t>
        </is>
      </c>
      <c r="F3329" s="2" t="n">
        <v>242434</v>
      </c>
      <c r="G3329" t="n">
        <v>11.3</v>
      </c>
      <c r="H3329" t="n">
        <v>10.93</v>
      </c>
      <c r="I3329" s="2" t="n">
        <v>9070</v>
      </c>
      <c r="J3329" t="inlineStr"/>
      <c r="K3329" t="n">
        <v>20.57</v>
      </c>
      <c r="L3329" s="2" t="n">
        <v>6397</v>
      </c>
      <c r="M3329" t="n">
        <v>194.53</v>
      </c>
      <c r="N3329" t="inlineStr">
        <is>
          <t>20250418800538</t>
        </is>
      </c>
      <c r="O3329">
        <f>HYPERLINK("https://dart.fss.or.kr/dsaf001/main.do?rcpNo=20250418800538", "공시열람")</f>
        <v/>
      </c>
    </row>
    <row r="3330">
      <c r="A3330" t="inlineStr">
        <is>
          <t>2025-04-17</t>
        </is>
      </c>
      <c r="B3330" t="inlineStr">
        <is>
          <t>한솔아이원스</t>
        </is>
      </c>
      <c r="C3330" t="inlineStr">
        <is>
          <t>114810</t>
        </is>
      </c>
      <c r="D3330" t="inlineStr">
        <is>
          <t>연결</t>
        </is>
      </c>
      <c r="E3330" t="inlineStr">
        <is>
          <t>2025Q1</t>
        </is>
      </c>
      <c r="F3330" s="2" t="n">
        <v>48851</v>
      </c>
      <c r="G3330" t="inlineStr"/>
      <c r="H3330" t="inlineStr"/>
      <c r="I3330" s="2" t="n">
        <v>11906</v>
      </c>
      <c r="J3330" t="inlineStr"/>
      <c r="K3330" t="inlineStr"/>
      <c r="L3330" s="2" t="n">
        <v>10635</v>
      </c>
      <c r="M3330" t="inlineStr"/>
      <c r="N3330" t="inlineStr">
        <is>
          <t>20250417900528</t>
        </is>
      </c>
      <c r="O3330">
        <f>HYPERLINK("https://dart.fss.or.kr/dsaf001/main.do?rcpNo=20250417900528", "공시열람")</f>
        <v/>
      </c>
    </row>
    <row r="3331">
      <c r="A3331" t="inlineStr">
        <is>
          <t>2025-04-17</t>
        </is>
      </c>
      <c r="B3331" t="inlineStr">
        <is>
          <t>코나아이</t>
        </is>
      </c>
      <c r="C3331" t="inlineStr">
        <is>
          <t>052400</t>
        </is>
      </c>
      <c r="D3331" t="inlineStr">
        <is>
          <t>연결</t>
        </is>
      </c>
      <c r="E3331" t="inlineStr">
        <is>
          <t>2025Q1</t>
        </is>
      </c>
      <c r="F3331" s="2" t="n">
        <v>58290</v>
      </c>
      <c r="G3331" t="inlineStr"/>
      <c r="H3331" t="inlineStr"/>
      <c r="I3331" s="2" t="n">
        <v>12567</v>
      </c>
      <c r="J3331" t="inlineStr"/>
      <c r="K3331" t="inlineStr"/>
      <c r="L3331" s="2" t="inlineStr"/>
      <c r="M3331" t="inlineStr"/>
      <c r="N3331" t="inlineStr">
        <is>
          <t>20250417900332</t>
        </is>
      </c>
      <c r="O3331">
        <f>HYPERLINK("https://dart.fss.or.kr/dsaf001/main.do?rcpNo=20250417900332", "공시열람")</f>
        <v/>
      </c>
    </row>
    <row r="3332">
      <c r="A3332" t="inlineStr">
        <is>
          <t>2025-04-16</t>
        </is>
      </c>
      <c r="B3332" t="inlineStr">
        <is>
          <t>HD한국조선해양</t>
        </is>
      </c>
      <c r="C3332" t="inlineStr">
        <is>
          <t>009540</t>
        </is>
      </c>
      <c r="D3332" t="inlineStr">
        <is>
          <t>별도</t>
        </is>
      </c>
      <c r="E3332" t="inlineStr">
        <is>
          <t>2025Q1</t>
        </is>
      </c>
      <c r="F3332" s="2" t="inlineStr"/>
      <c r="G3332" t="inlineStr"/>
      <c r="H3332" t="inlineStr"/>
      <c r="I3332" s="2" t="inlineStr"/>
      <c r="J3332" t="inlineStr"/>
      <c r="K3332" t="inlineStr"/>
      <c r="L3332" s="2" t="inlineStr"/>
      <c r="M3332" t="inlineStr"/>
      <c r="N3332" t="inlineStr">
        <is>
          <t>20250416800452</t>
        </is>
      </c>
      <c r="O3332">
        <f>HYPERLINK("https://dart.fss.or.kr/dsaf001/main.do?rcpNo=20250416800452", "공시열람")</f>
        <v/>
      </c>
    </row>
    <row r="3333">
      <c r="A3333" t="inlineStr">
        <is>
          <t>2025-04-16</t>
        </is>
      </c>
      <c r="B3333" t="inlineStr">
        <is>
          <t>서울바이오시스</t>
        </is>
      </c>
      <c r="C3333" t="inlineStr">
        <is>
          <t>092190</t>
        </is>
      </c>
      <c r="D3333" t="inlineStr">
        <is>
          <t>연결</t>
        </is>
      </c>
      <c r="E3333" t="inlineStr">
        <is>
          <t>2025Q1</t>
        </is>
      </c>
      <c r="F3333" s="2" t="n">
        <v>167807</v>
      </c>
      <c r="G3333" t="inlineStr"/>
      <c r="H3333" t="inlineStr"/>
      <c r="I3333" s="2" t="inlineStr"/>
      <c r="J3333" t="inlineStr"/>
      <c r="K3333" t="inlineStr"/>
      <c r="L3333" s="2" t="inlineStr"/>
      <c r="M3333" t="inlineStr"/>
      <c r="N3333" t="inlineStr">
        <is>
          <t>20250416900374</t>
        </is>
      </c>
      <c r="O3333">
        <f>HYPERLINK("https://dart.fss.or.kr/dsaf001/main.do?rcpNo=20250416900374", "공시열람")</f>
        <v/>
      </c>
    </row>
    <row r="3334">
      <c r="A3334" t="inlineStr">
        <is>
          <t>2025-04-16</t>
        </is>
      </c>
      <c r="B3334" t="inlineStr">
        <is>
          <t>서울반도체</t>
        </is>
      </c>
      <c r="C3334" t="inlineStr">
        <is>
          <t>046890</t>
        </is>
      </c>
      <c r="D3334" t="inlineStr">
        <is>
          <t>연결</t>
        </is>
      </c>
      <c r="E3334" t="inlineStr">
        <is>
          <t>2025Q1</t>
        </is>
      </c>
      <c r="F3334" s="2" t="n">
        <v>239241</v>
      </c>
      <c r="G3334" t="inlineStr"/>
      <c r="H3334" t="inlineStr"/>
      <c r="I3334" s="2" t="inlineStr"/>
      <c r="J3334" t="inlineStr"/>
      <c r="K3334" t="inlineStr"/>
      <c r="L3334" s="2" t="inlineStr"/>
      <c r="M3334" t="inlineStr"/>
      <c r="N3334" t="inlineStr">
        <is>
          <t>20250416900442</t>
        </is>
      </c>
      <c r="O3334">
        <f>HYPERLINK("https://dart.fss.or.kr/dsaf001/main.do?rcpNo=20250416900442", "공시열람")</f>
        <v/>
      </c>
    </row>
    <row r="3335">
      <c r="A3335" t="inlineStr">
        <is>
          <t>2025-04-16</t>
        </is>
      </c>
      <c r="B3335" t="inlineStr">
        <is>
          <t>HD현대중공업</t>
        </is>
      </c>
      <c r="C3335" t="inlineStr">
        <is>
          <t>329180</t>
        </is>
      </c>
      <c r="D3335" t="inlineStr">
        <is>
          <t>별도</t>
        </is>
      </c>
      <c r="E3335" t="inlineStr">
        <is>
          <t>2025Q1</t>
        </is>
      </c>
      <c r="F3335" s="2" t="inlineStr"/>
      <c r="G3335" t="inlineStr"/>
      <c r="H3335" t="inlineStr"/>
      <c r="I3335" s="2" t="inlineStr"/>
      <c r="J3335" t="inlineStr"/>
      <c r="K3335" t="inlineStr"/>
      <c r="L3335" s="2" t="inlineStr"/>
      <c r="M3335" t="inlineStr"/>
      <c r="N3335" t="inlineStr">
        <is>
          <t>20250416800435</t>
        </is>
      </c>
      <c r="O3335">
        <f>HYPERLINK("https://dart.fss.or.kr/dsaf001/main.do?rcpNo=20250416800435", "공시열람")</f>
        <v/>
      </c>
    </row>
    <row r="3336">
      <c r="A3336" t="inlineStr">
        <is>
          <t>2025-04-15</t>
        </is>
      </c>
      <c r="B3336" t="inlineStr">
        <is>
          <t>오리온</t>
        </is>
      </c>
      <c r="C3336" t="inlineStr">
        <is>
          <t>271560</t>
        </is>
      </c>
      <c r="D3336" t="inlineStr">
        <is>
          <t>연결</t>
        </is>
      </c>
      <c r="E3336" t="inlineStr">
        <is>
          <t>2025Q1</t>
        </is>
      </c>
      <c r="F3336" s="2" t="inlineStr"/>
      <c r="G3336" t="inlineStr"/>
      <c r="H3336" t="inlineStr"/>
      <c r="I3336" s="2" t="inlineStr"/>
      <c r="J3336" t="inlineStr"/>
      <c r="K3336" t="inlineStr"/>
      <c r="L3336" s="2" t="inlineStr"/>
      <c r="M3336" t="inlineStr"/>
      <c r="N3336" t="inlineStr">
        <is>
          <t>20250415800191</t>
        </is>
      </c>
      <c r="O3336">
        <f>HYPERLINK("https://dart.fss.or.kr/dsaf001/main.do?rcpNo=20250415800191", "공시열람")</f>
        <v/>
      </c>
    </row>
    <row r="3337">
      <c r="A3337" t="inlineStr">
        <is>
          <t>2025-04-15</t>
        </is>
      </c>
      <c r="B3337" t="inlineStr">
        <is>
          <t>한국가스공사</t>
        </is>
      </c>
      <c r="C3337" t="inlineStr">
        <is>
          <t>036460</t>
        </is>
      </c>
      <c r="D3337" t="inlineStr">
        <is>
          <t>별도</t>
        </is>
      </c>
      <c r="E3337" t="inlineStr">
        <is>
          <t>2025Q1</t>
        </is>
      </c>
      <c r="F3337" s="2" t="inlineStr"/>
      <c r="G3337" t="inlineStr"/>
      <c r="H3337" t="inlineStr"/>
      <c r="I3337" s="2" t="inlineStr"/>
      <c r="J3337" t="inlineStr"/>
      <c r="K3337" t="inlineStr"/>
      <c r="L3337" s="2" t="inlineStr"/>
      <c r="M3337" t="inlineStr"/>
      <c r="N3337" t="inlineStr">
        <is>
          <t>20250415800556</t>
        </is>
      </c>
      <c r="O3337">
        <f>HYPERLINK("https://dart.fss.or.kr/dsaf001/main.do?rcpNo=20250415800556", "공시열람")</f>
        <v/>
      </c>
    </row>
    <row r="3338">
      <c r="A3338" t="inlineStr">
        <is>
          <t>2025-04-15</t>
        </is>
      </c>
      <c r="B3338" t="inlineStr">
        <is>
          <t>테크윙</t>
        </is>
      </c>
      <c r="C3338" t="inlineStr">
        <is>
          <t>089030</t>
        </is>
      </c>
      <c r="D3338" t="inlineStr">
        <is>
          <t>연결</t>
        </is>
      </c>
      <c r="E3338" t="inlineStr">
        <is>
          <t>2025Q1</t>
        </is>
      </c>
      <c r="F3338" s="2" t="n">
        <v>34587</v>
      </c>
      <c r="G3338" t="inlineStr"/>
      <c r="H3338" t="inlineStr"/>
      <c r="I3338" s="2" t="n">
        <v>1783</v>
      </c>
      <c r="J3338" t="inlineStr"/>
      <c r="K3338" t="inlineStr"/>
      <c r="L3338" s="2" t="inlineStr"/>
      <c r="M3338" t="inlineStr"/>
      <c r="N3338" t="inlineStr">
        <is>
          <t>20250415900499</t>
        </is>
      </c>
      <c r="O3338">
        <f>HYPERLINK("https://dart.fss.or.kr/dsaf001/main.do?rcpNo=20250415900499", "공시열람")</f>
        <v/>
      </c>
    </row>
    <row r="3339">
      <c r="A3339" t="inlineStr">
        <is>
          <t>2025-04-14</t>
        </is>
      </c>
      <c r="B3339" t="inlineStr">
        <is>
          <t>메카로</t>
        </is>
      </c>
      <c r="C3339" t="inlineStr">
        <is>
          <t>241770</t>
        </is>
      </c>
      <c r="D3339" t="inlineStr">
        <is>
          <t>연결</t>
        </is>
      </c>
      <c r="E3339" t="inlineStr">
        <is>
          <t>2025Q1</t>
        </is>
      </c>
      <c r="F3339" s="2" t="n">
        <v>21507</v>
      </c>
      <c r="G3339" t="inlineStr"/>
      <c r="H3339" t="inlineStr"/>
      <c r="I3339" s="2" t="inlineStr"/>
      <c r="J3339" t="inlineStr"/>
      <c r="K3339" t="inlineStr"/>
      <c r="L3339" s="2" t="inlineStr"/>
      <c r="M3339" t="inlineStr"/>
      <c r="N3339" t="inlineStr">
        <is>
          <t>20250414900137</t>
        </is>
      </c>
      <c r="O3339">
        <f>HYPERLINK("https://dart.fss.or.kr/dsaf001/main.do?rcpNo=20250414900137", "공시열람")</f>
        <v/>
      </c>
    </row>
    <row r="3340">
      <c r="A3340" t="inlineStr">
        <is>
          <t>2025-04-14</t>
        </is>
      </c>
      <c r="B3340" t="inlineStr">
        <is>
          <t>한진</t>
        </is>
      </c>
      <c r="C3340" t="inlineStr">
        <is>
          <t>002320</t>
        </is>
      </c>
      <c r="D3340" t="inlineStr">
        <is>
          <t>연결</t>
        </is>
      </c>
      <c r="E3340" t="inlineStr">
        <is>
          <t>2025Q1</t>
        </is>
      </c>
      <c r="F3340" s="2" t="n">
        <v>728000</v>
      </c>
      <c r="G3340" t="n">
        <v>-10.4</v>
      </c>
      <c r="H3340" t="n">
        <v>2.2</v>
      </c>
      <c r="I3340" s="2" t="n">
        <v>26200</v>
      </c>
      <c r="J3340" t="inlineStr"/>
      <c r="K3340" t="n">
        <v>12</v>
      </c>
      <c r="L3340" s="2" t="inlineStr"/>
      <c r="M3340" t="inlineStr"/>
      <c r="N3340" t="inlineStr">
        <is>
          <t>20250414800593</t>
        </is>
      </c>
      <c r="O3340">
        <f>HYPERLINK("https://dart.fss.or.kr/dsaf001/main.do?rcpNo=20250414800593", "공시열람")</f>
        <v/>
      </c>
    </row>
    <row r="3341">
      <c r="A3341" t="inlineStr">
        <is>
          <t>2025-04-11</t>
        </is>
      </c>
      <c r="B3341" t="inlineStr">
        <is>
          <t>광주신세계</t>
        </is>
      </c>
      <c r="C3341" t="inlineStr">
        <is>
          <t>037710</t>
        </is>
      </c>
      <c r="D3341" t="inlineStr">
        <is>
          <t>별도</t>
        </is>
      </c>
      <c r="E3341" t="inlineStr">
        <is>
          <t>2025Q1</t>
        </is>
      </c>
      <c r="F3341" s="2" t="n">
        <v>16041</v>
      </c>
      <c r="G3341" t="n">
        <v>21.8</v>
      </c>
      <c r="H3341" t="n">
        <v>-0.2</v>
      </c>
      <c r="I3341" s="2" t="inlineStr"/>
      <c r="J3341" t="inlineStr"/>
      <c r="K3341" t="inlineStr"/>
      <c r="L3341" s="2" t="inlineStr"/>
      <c r="M3341" t="inlineStr"/>
      <c r="N3341" t="inlineStr">
        <is>
          <t>20250411800576</t>
        </is>
      </c>
      <c r="O3341">
        <f>HYPERLINK("https://dart.fss.or.kr/dsaf001/main.do?rcpNo=20250411800576", "공시열람")</f>
        <v/>
      </c>
    </row>
    <row r="3342">
      <c r="A3342" t="inlineStr">
        <is>
          <t>2025-04-11</t>
        </is>
      </c>
      <c r="B3342" t="inlineStr">
        <is>
          <t>신세계</t>
        </is>
      </c>
      <c r="C3342" t="inlineStr">
        <is>
          <t>004170</t>
        </is>
      </c>
      <c r="D3342" t="inlineStr">
        <is>
          <t>별도</t>
        </is>
      </c>
      <c r="E3342" t="inlineStr">
        <is>
          <t>2025Q1</t>
        </is>
      </c>
      <c r="F3342" s="2" t="n">
        <v>165408</v>
      </c>
      <c r="G3342" t="n">
        <v>14.78</v>
      </c>
      <c r="H3342" t="n">
        <v>-6.7</v>
      </c>
      <c r="I3342" s="2" t="inlineStr"/>
      <c r="J3342" t="inlineStr"/>
      <c r="K3342" t="inlineStr"/>
      <c r="L3342" s="2" t="inlineStr"/>
      <c r="M3342" t="inlineStr"/>
      <c r="N3342" t="inlineStr">
        <is>
          <t>20250411800500</t>
        </is>
      </c>
      <c r="O3342">
        <f>HYPERLINK("https://dart.fss.or.kr/dsaf001/main.do?rcpNo=20250411800500", "공시열람")</f>
        <v/>
      </c>
    </row>
    <row r="3343">
      <c r="A3343" t="inlineStr">
        <is>
          <t>2025-04-11</t>
        </is>
      </c>
      <c r="B3343" t="inlineStr">
        <is>
          <t>대한항공</t>
        </is>
      </c>
      <c r="C3343" t="inlineStr">
        <is>
          <t>003490</t>
        </is>
      </c>
      <c r="D3343" t="inlineStr">
        <is>
          <t>별도</t>
        </is>
      </c>
      <c r="E3343" t="inlineStr">
        <is>
          <t>2025Q1</t>
        </is>
      </c>
      <c r="F3343" s="2" t="n">
        <v>3955900</v>
      </c>
      <c r="G3343" t="n">
        <v>-1.8</v>
      </c>
      <c r="H3343" t="n">
        <v>3.5</v>
      </c>
      <c r="I3343" s="2" t="n">
        <v>350900</v>
      </c>
      <c r="J3343" t="n">
        <v>-19.4</v>
      </c>
      <c r="K3343" t="n">
        <v>-19.5</v>
      </c>
      <c r="L3343" s="2" t="n">
        <v>193200</v>
      </c>
      <c r="M3343" t="n">
        <v>-44</v>
      </c>
      <c r="N3343" t="inlineStr">
        <is>
          <t>20250411800495</t>
        </is>
      </c>
      <c r="O3343">
        <f>HYPERLINK("https://dart.fss.or.kr/dsaf001/main.do?rcpNo=20250411800495", "공시열람")</f>
        <v/>
      </c>
    </row>
    <row r="3344">
      <c r="A3344" t="inlineStr">
        <is>
          <t>2025-04-08</t>
        </is>
      </c>
      <c r="B3344" t="inlineStr">
        <is>
          <t>오이솔루션</t>
        </is>
      </c>
      <c r="C3344" t="inlineStr">
        <is>
          <t>138080</t>
        </is>
      </c>
      <c r="D3344" t="inlineStr">
        <is>
          <t>별도</t>
        </is>
      </c>
      <c r="E3344" t="inlineStr">
        <is>
          <t>2025Q1</t>
        </is>
      </c>
      <c r="F3344" s="2" t="n">
        <v>14069</v>
      </c>
      <c r="G3344" t="inlineStr"/>
      <c r="H3344" t="inlineStr"/>
      <c r="I3344" s="2" t="inlineStr"/>
      <c r="J3344" t="inlineStr"/>
      <c r="K3344" t="inlineStr"/>
      <c r="L3344" s="2" t="inlineStr"/>
      <c r="M3344" t="inlineStr"/>
      <c r="N3344" t="inlineStr">
        <is>
          <t>20250408900431</t>
        </is>
      </c>
      <c r="O3344">
        <f>HYPERLINK("https://dart.fss.or.kr/dsaf001/main.do?rcpNo=20250408900431", "공시열람")</f>
        <v/>
      </c>
    </row>
    <row r="3345">
      <c r="A3345" t="inlineStr">
        <is>
          <t>2025-04-08</t>
        </is>
      </c>
      <c r="B3345" t="inlineStr">
        <is>
          <t>삼성전자</t>
        </is>
      </c>
      <c r="C3345" t="inlineStr">
        <is>
          <t>005930</t>
        </is>
      </c>
      <c r="D3345" t="inlineStr">
        <is>
          <t>연결</t>
        </is>
      </c>
      <c r="E3345" t="inlineStr">
        <is>
          <t>2025Q1</t>
        </is>
      </c>
      <c r="F3345" s="2" t="n">
        <v>79</v>
      </c>
      <c r="G3345" t="n">
        <v>4.24</v>
      </c>
      <c r="H3345" t="n">
        <v>9.84</v>
      </c>
      <c r="I3345" s="2" t="n">
        <v>7</v>
      </c>
      <c r="J3345" t="n">
        <v>1.69</v>
      </c>
      <c r="K3345" t="n">
        <v>-0.15</v>
      </c>
      <c r="L3345" s="2" t="inlineStr"/>
      <c r="M3345" t="inlineStr"/>
      <c r="N3345" t="inlineStr">
        <is>
          <t>20250408800003</t>
        </is>
      </c>
      <c r="O3345">
        <f>HYPERLINK("https://dart.fss.or.kr/dsaf001/main.do?rcpNo=20250408800003", "공시열람")</f>
        <v/>
      </c>
    </row>
    <row r="3346">
      <c r="A3346" t="inlineStr">
        <is>
          <t>2025-04-08</t>
        </is>
      </c>
      <c r="B3346" t="inlineStr">
        <is>
          <t>이마트</t>
        </is>
      </c>
      <c r="C3346" t="inlineStr">
        <is>
          <t>139480</t>
        </is>
      </c>
      <c r="D3346" t="inlineStr">
        <is>
          <t>별도</t>
        </is>
      </c>
      <c r="E3346" t="inlineStr">
        <is>
          <t>2025Q1</t>
        </is>
      </c>
      <c r="F3346" s="2" t="n">
        <v>1339800</v>
      </c>
      <c r="G3346" t="n">
        <v>11.1</v>
      </c>
      <c r="H3346" t="n">
        <v>11.9</v>
      </c>
      <c r="I3346" s="2" t="inlineStr"/>
      <c r="J3346" t="inlineStr"/>
      <c r="K3346" t="inlineStr"/>
      <c r="L3346" s="2" t="inlineStr"/>
      <c r="M3346" t="inlineStr"/>
      <c r="N3346" t="inlineStr">
        <is>
          <t>20250408800488</t>
        </is>
      </c>
      <c r="O3346">
        <f>HYPERLINK("https://dart.fss.or.kr/dsaf001/main.do?rcpNo=20250408800488", "공시열람")</f>
        <v/>
      </c>
    </row>
    <row r="3347">
      <c r="A3347" t="inlineStr">
        <is>
          <t>2025-04-07</t>
        </is>
      </c>
      <c r="B3347" t="inlineStr">
        <is>
          <t>LG전자</t>
        </is>
      </c>
      <c r="C3347" t="inlineStr">
        <is>
          <t>066570</t>
        </is>
      </c>
      <c r="D3347" t="inlineStr">
        <is>
          <t>연결</t>
        </is>
      </c>
      <c r="E3347" t="inlineStr">
        <is>
          <t>2025Q1</t>
        </is>
      </c>
      <c r="F3347" s="2" t="n">
        <v>22744700</v>
      </c>
      <c r="G3347" t="inlineStr"/>
      <c r="H3347" t="inlineStr"/>
      <c r="I3347" s="2" t="n">
        <v>1259000</v>
      </c>
      <c r="J3347" t="inlineStr"/>
      <c r="K3347" t="inlineStr"/>
      <c r="L3347" s="2" t="inlineStr"/>
      <c r="M3347" t="inlineStr"/>
      <c r="N3347" t="inlineStr">
        <is>
          <t>20250407800355</t>
        </is>
      </c>
      <c r="O3347">
        <f>HYPERLINK("https://dart.fss.or.kr/dsaf001/main.do?rcpNo=20250407800355", "공시열람")</f>
        <v/>
      </c>
    </row>
    <row r="3348">
      <c r="A3348" t="inlineStr">
        <is>
          <t>2025-04-07</t>
        </is>
      </c>
      <c r="B3348" t="inlineStr">
        <is>
          <t>LG에너지솔루션</t>
        </is>
      </c>
      <c r="C3348" t="inlineStr">
        <is>
          <t>373220</t>
        </is>
      </c>
      <c r="D3348" t="inlineStr">
        <is>
          <t>연결</t>
        </is>
      </c>
      <c r="E3348" t="inlineStr">
        <is>
          <t>2025Q1</t>
        </is>
      </c>
      <c r="F3348" s="2" t="n">
        <v>6265000</v>
      </c>
      <c r="G3348" t="n">
        <v>-2.9</v>
      </c>
      <c r="H3348" t="n">
        <v>2.2</v>
      </c>
      <c r="I3348" s="2" t="n">
        <v>374700</v>
      </c>
      <c r="J3348" t="inlineStr"/>
      <c r="K3348" t="n">
        <v>138.2</v>
      </c>
      <c r="L3348" s="2" t="inlineStr"/>
      <c r="M3348" t="inlineStr"/>
      <c r="N3348" t="inlineStr">
        <is>
          <t>20250407800316</t>
        </is>
      </c>
      <c r="O3348">
        <f>HYPERLINK("https://dart.fss.or.kr/dsaf001/main.do?rcpNo=20250407800316", "공시열람")</f>
        <v/>
      </c>
    </row>
    <row r="3349">
      <c r="A3349" t="inlineStr">
        <is>
          <t>2025-04-03</t>
        </is>
      </c>
      <c r="B3349" t="inlineStr">
        <is>
          <t>GKL</t>
        </is>
      </c>
      <c r="C3349" t="inlineStr">
        <is>
          <t>114090</t>
        </is>
      </c>
      <c r="D3349" t="inlineStr">
        <is>
          <t>별도</t>
        </is>
      </c>
      <c r="E3349" t="inlineStr">
        <is>
          <t>2025Q1</t>
        </is>
      </c>
      <c r="F3349" s="2" t="inlineStr"/>
      <c r="G3349" t="inlineStr"/>
      <c r="H3349" t="inlineStr"/>
      <c r="I3349" s="2" t="inlineStr"/>
      <c r="J3349" t="inlineStr"/>
      <c r="K3349" t="inlineStr"/>
      <c r="L3349" s="2" t="inlineStr"/>
      <c r="M3349" t="inlineStr"/>
      <c r="N3349" t="inlineStr">
        <is>
          <t>20250403800193</t>
        </is>
      </c>
      <c r="O3349">
        <f>HYPERLINK("https://dart.fss.or.kr/dsaf001/main.do?rcpNo=20250403800193", "공시열람")</f>
        <v/>
      </c>
    </row>
    <row r="3350">
      <c r="A3350" t="inlineStr">
        <is>
          <t>2025-04-02</t>
        </is>
      </c>
      <c r="B3350" t="inlineStr">
        <is>
          <t>노을</t>
        </is>
      </c>
      <c r="C3350" t="inlineStr">
        <is>
          <t>376930</t>
        </is>
      </c>
      <c r="D3350" t="inlineStr">
        <is>
          <t>연결</t>
        </is>
      </c>
      <c r="E3350" t="inlineStr">
        <is>
          <t>2025Q1</t>
        </is>
      </c>
      <c r="F3350" s="2" t="n">
        <v>1393</v>
      </c>
      <c r="G3350" t="inlineStr"/>
      <c r="H3350" t="inlineStr"/>
      <c r="I3350" s="2" t="inlineStr"/>
      <c r="J3350" t="inlineStr"/>
      <c r="K3350" t="inlineStr"/>
      <c r="L3350" s="2" t="inlineStr"/>
      <c r="M3350" t="inlineStr"/>
      <c r="N3350" t="inlineStr">
        <is>
          <t>20250402900275</t>
        </is>
      </c>
      <c r="O3350">
        <f>HYPERLINK("https://dart.fss.or.kr/dsaf001/main.do?rcpNo=20250402900275", "공시열람")</f>
        <v/>
      </c>
    </row>
    <row r="3351">
      <c r="A3351" t="inlineStr">
        <is>
          <t>2025-04-02</t>
        </is>
      </c>
      <c r="B3351" t="inlineStr">
        <is>
          <t>파라다이스</t>
        </is>
      </c>
      <c r="C3351" t="inlineStr">
        <is>
          <t>034230</t>
        </is>
      </c>
      <c r="D3351" t="inlineStr">
        <is>
          <t>연결</t>
        </is>
      </c>
      <c r="E3351" t="inlineStr">
        <is>
          <t>2025Q1</t>
        </is>
      </c>
      <c r="F3351" s="2" t="inlineStr"/>
      <c r="G3351" t="inlineStr"/>
      <c r="H3351" t="inlineStr"/>
      <c r="I3351" s="2" t="inlineStr"/>
      <c r="J3351" t="inlineStr"/>
      <c r="K3351" t="inlineStr"/>
      <c r="L3351" s="2" t="inlineStr"/>
      <c r="M3351" t="inlineStr"/>
      <c r="N3351" t="inlineStr">
        <is>
          <t>20250402800744</t>
        </is>
      </c>
      <c r="O3351">
        <f>HYPERLINK("https://dart.fss.or.kr/dsaf001/main.do?rcpNo=20250402800744", "공시열람")</f>
        <v/>
      </c>
    </row>
    <row r="3352">
      <c r="A3352" t="inlineStr">
        <is>
          <t>2025-04-01</t>
        </is>
      </c>
      <c r="B3352" t="inlineStr">
        <is>
          <t>KG모빌리티</t>
        </is>
      </c>
      <c r="C3352" t="inlineStr">
        <is>
          <t>003620</t>
        </is>
      </c>
      <c r="D3352" t="inlineStr">
        <is>
          <t>별도</t>
        </is>
      </c>
      <c r="E3352" t="inlineStr">
        <is>
          <t>2025Q1</t>
        </is>
      </c>
      <c r="F3352" s="2" t="inlineStr"/>
      <c r="G3352" t="inlineStr"/>
      <c r="H3352" t="inlineStr"/>
      <c r="I3352" s="2" t="inlineStr"/>
      <c r="J3352" t="inlineStr"/>
      <c r="K3352" t="inlineStr"/>
      <c r="L3352" s="2" t="inlineStr"/>
      <c r="M3352" t="inlineStr"/>
      <c r="N3352" t="inlineStr">
        <is>
          <t>20250401800500</t>
        </is>
      </c>
      <c r="O3352">
        <f>HYPERLINK("https://dart.fss.or.kr/dsaf001/main.do?rcpNo=20250401800500", "공시열람")</f>
        <v/>
      </c>
    </row>
    <row r="3353">
      <c r="A3353" t="inlineStr">
        <is>
          <t>2025-04-01</t>
        </is>
      </c>
      <c r="B3353" t="inlineStr">
        <is>
          <t>현대자동차</t>
        </is>
      </c>
      <c r="C3353" t="inlineStr">
        <is>
          <t>005380</t>
        </is>
      </c>
      <c r="D3353" t="inlineStr">
        <is>
          <t>별도</t>
        </is>
      </c>
      <c r="E3353" t="inlineStr">
        <is>
          <t>2025Q1</t>
        </is>
      </c>
      <c r="F3353" s="2" t="inlineStr"/>
      <c r="G3353" t="inlineStr"/>
      <c r="H3353" t="inlineStr"/>
      <c r="I3353" s="2" t="inlineStr"/>
      <c r="J3353" t="inlineStr"/>
      <c r="K3353" t="inlineStr"/>
      <c r="L3353" s="2" t="inlineStr"/>
      <c r="M3353" t="inlineStr"/>
      <c r="N3353" t="inlineStr">
        <is>
          <t>20250401800590</t>
        </is>
      </c>
      <c r="O3353">
        <f>HYPERLINK("https://dart.fss.or.kr/dsaf001/main.do?rcpNo=20250401800590", "공시열람")</f>
        <v/>
      </c>
    </row>
    <row r="3354">
      <c r="A3354" t="inlineStr">
        <is>
          <t>2025-04-01</t>
        </is>
      </c>
      <c r="B3354" t="inlineStr">
        <is>
          <t>기아</t>
        </is>
      </c>
      <c r="C3354" t="inlineStr">
        <is>
          <t>000270</t>
        </is>
      </c>
      <c r="D3354" t="inlineStr">
        <is>
          <t>별도</t>
        </is>
      </c>
      <c r="E3354" t="inlineStr">
        <is>
          <t>2025Q1</t>
        </is>
      </c>
      <c r="F3354" s="2" t="inlineStr"/>
      <c r="G3354" t="inlineStr"/>
      <c r="H3354" t="inlineStr"/>
      <c r="I3354" s="2" t="inlineStr"/>
      <c r="J3354" t="inlineStr"/>
      <c r="K3354" t="inlineStr"/>
      <c r="L3354" s="2" t="inlineStr"/>
      <c r="M3354" t="inlineStr"/>
      <c r="N3354" t="inlineStr">
        <is>
          <t>20250401800420</t>
        </is>
      </c>
      <c r="O3354">
        <f>HYPERLINK("https://dart.fss.or.kr/dsaf001/main.do?rcpNo=20250401800420", "공시열람")</f>
        <v/>
      </c>
    </row>
    <row r="3355">
      <c r="A3355" t="inlineStr">
        <is>
          <t>2025-04-01</t>
        </is>
      </c>
      <c r="B3355" t="inlineStr">
        <is>
          <t>롯데관광개발</t>
        </is>
      </c>
      <c r="C3355" t="inlineStr">
        <is>
          <t>032350</t>
        </is>
      </c>
      <c r="D3355" t="inlineStr">
        <is>
          <t>연결</t>
        </is>
      </c>
      <c r="E3355" t="inlineStr">
        <is>
          <t>2025Q1</t>
        </is>
      </c>
      <c r="F3355" s="2" t="inlineStr"/>
      <c r="G3355" t="inlineStr"/>
      <c r="H3355" t="inlineStr"/>
      <c r="I3355" s="2" t="inlineStr"/>
      <c r="J3355" t="inlineStr"/>
      <c r="K3355" t="inlineStr"/>
      <c r="L3355" s="2" t="inlineStr"/>
      <c r="M3355" t="inlineStr"/>
      <c r="N3355" t="inlineStr">
        <is>
          <t>20250401800606</t>
        </is>
      </c>
      <c r="O3355">
        <f>HYPERLINK("https://dart.fss.or.kr/dsaf001/main.do?rcpNo=20250401800606", "공시열람")</f>
        <v/>
      </c>
    </row>
    <row r="3356">
      <c r="A3356" t="inlineStr">
        <is>
          <t>2025-03-21</t>
        </is>
      </c>
      <c r="B3356" t="inlineStr">
        <is>
          <t>콜마홀딩스</t>
        </is>
      </c>
      <c r="C3356" t="inlineStr">
        <is>
          <t>024720</t>
        </is>
      </c>
      <c r="D3356" t="inlineStr">
        <is>
          <t>연결</t>
        </is>
      </c>
      <c r="E3356" t="inlineStr">
        <is>
          <t>2024Q4</t>
        </is>
      </c>
      <c r="F3356" s="2" t="inlineStr"/>
      <c r="G3356" t="inlineStr"/>
      <c r="H3356" t="inlineStr"/>
      <c r="I3356" s="2" t="inlineStr"/>
      <c r="J3356" t="inlineStr"/>
      <c r="K3356" t="inlineStr"/>
      <c r="L3356" s="2" t="inlineStr"/>
      <c r="M3356" t="inlineStr"/>
      <c r="N3356" t="inlineStr">
        <is>
          <t>20250321802257</t>
        </is>
      </c>
      <c r="O3356">
        <f>HYPERLINK("https://dart.fss.or.kr/dsaf001/main.do?rcpNo=20250321802257", "공시열람")</f>
        <v/>
      </c>
    </row>
    <row r="3357">
      <c r="A3357" t="inlineStr">
        <is>
          <t>2025-03-19</t>
        </is>
      </c>
      <c r="B3357" t="inlineStr">
        <is>
          <t>HD한국조선해양</t>
        </is>
      </c>
      <c r="C3357" t="inlineStr">
        <is>
          <t>009540</t>
        </is>
      </c>
      <c r="D3357" t="inlineStr">
        <is>
          <t>별도</t>
        </is>
      </c>
      <c r="E3357" t="inlineStr">
        <is>
          <t>2024Q4</t>
        </is>
      </c>
      <c r="F3357" s="2" t="n">
        <v>641973</v>
      </c>
      <c r="G3357" t="n">
        <v>6.31</v>
      </c>
      <c r="H3357" t="n">
        <v>26.45</v>
      </c>
      <c r="I3357" s="2" t="inlineStr"/>
      <c r="J3357" t="inlineStr"/>
      <c r="K3357" t="inlineStr"/>
      <c r="L3357" s="2" t="inlineStr"/>
      <c r="M3357" t="inlineStr"/>
      <c r="N3357" t="inlineStr">
        <is>
          <t>20250319800840</t>
        </is>
      </c>
      <c r="O3357">
        <f>HYPERLINK("https://dart.fss.or.kr/dsaf001/main.do?rcpNo=20250319800840", "공시열람")</f>
        <v/>
      </c>
    </row>
    <row r="3358">
      <c r="A3358" t="inlineStr">
        <is>
          <t>2025-03-19</t>
        </is>
      </c>
      <c r="B3358" t="inlineStr">
        <is>
          <t>HD현대중공업</t>
        </is>
      </c>
      <c r="C3358" t="inlineStr">
        <is>
          <t>329180</t>
        </is>
      </c>
      <c r="D3358" t="inlineStr">
        <is>
          <t>별도</t>
        </is>
      </c>
      <c r="E3358" t="inlineStr">
        <is>
          <t>2024Q4</t>
        </is>
      </c>
      <c r="F3358" s="2" t="n">
        <v>1127712</v>
      </c>
      <c r="G3358" t="n">
        <v>-6.59</v>
      </c>
      <c r="H3358" t="n">
        <v>22.53</v>
      </c>
      <c r="I3358" s="2" t="inlineStr"/>
      <c r="J3358" t="inlineStr"/>
      <c r="K3358" t="inlineStr"/>
      <c r="L3358" s="2" t="inlineStr"/>
      <c r="M3358" t="inlineStr"/>
      <c r="N3358" t="inlineStr">
        <is>
          <t>20250319800731</t>
        </is>
      </c>
      <c r="O3358">
        <f>HYPERLINK("https://dart.fss.or.kr/dsaf001/main.do?rcpNo=20250319800731", "공시열람")</f>
        <v/>
      </c>
    </row>
    <row r="3359">
      <c r="A3359" t="inlineStr">
        <is>
          <t>2025-03-19</t>
        </is>
      </c>
      <c r="B3359" t="inlineStr">
        <is>
          <t>지역난방공사</t>
        </is>
      </c>
      <c r="C3359" t="inlineStr">
        <is>
          <t>071320</t>
        </is>
      </c>
      <c r="D3359" t="inlineStr">
        <is>
          <t>별도</t>
        </is>
      </c>
      <c r="E3359" t="inlineStr">
        <is>
          <t>2024Q4</t>
        </is>
      </c>
      <c r="F3359" s="2" t="inlineStr"/>
      <c r="G3359" t="inlineStr"/>
      <c r="H3359" t="inlineStr"/>
      <c r="I3359" s="2" t="inlineStr"/>
      <c r="J3359" t="inlineStr"/>
      <c r="K3359" t="inlineStr"/>
      <c r="L3359" s="2" t="inlineStr"/>
      <c r="M3359" t="inlineStr"/>
      <c r="N3359" t="inlineStr">
        <is>
          <t>20250319800231</t>
        </is>
      </c>
      <c r="O3359">
        <f>HYPERLINK("https://dart.fss.or.kr/dsaf001/main.do?rcpNo=20250319800231", "공시열람")</f>
        <v/>
      </c>
    </row>
    <row r="3360">
      <c r="A3360" t="inlineStr">
        <is>
          <t>2025-03-18</t>
        </is>
      </c>
      <c r="B3360" t="inlineStr">
        <is>
          <t>오리온</t>
        </is>
      </c>
      <c r="C3360" t="inlineStr">
        <is>
          <t>271560</t>
        </is>
      </c>
      <c r="D3360" t="inlineStr">
        <is>
          <t>연결</t>
        </is>
      </c>
      <c r="E3360" t="inlineStr">
        <is>
          <t>2024Q4</t>
        </is>
      </c>
      <c r="F3360" s="2" t="inlineStr"/>
      <c r="G3360" t="inlineStr"/>
      <c r="H3360" t="inlineStr"/>
      <c r="I3360" s="2" t="inlineStr"/>
      <c r="J3360" t="inlineStr"/>
      <c r="K3360" t="inlineStr"/>
      <c r="L3360" s="2" t="inlineStr"/>
      <c r="M3360" t="inlineStr"/>
      <c r="N3360" t="inlineStr">
        <is>
          <t>20250318800128</t>
        </is>
      </c>
      <c r="O3360">
        <f>HYPERLINK("https://dart.fss.or.kr/dsaf001/main.do?rcpNo=20250318800128", "공시열람")</f>
        <v/>
      </c>
    </row>
    <row r="3361">
      <c r="A3361" t="inlineStr">
        <is>
          <t>2025-03-14</t>
        </is>
      </c>
      <c r="B3361" t="inlineStr">
        <is>
          <t>한국가스공사</t>
        </is>
      </c>
      <c r="C3361" t="inlineStr">
        <is>
          <t>036460</t>
        </is>
      </c>
      <c r="D3361" t="inlineStr">
        <is>
          <t>별도</t>
        </is>
      </c>
      <c r="E3361" t="inlineStr">
        <is>
          <t>2024Q4</t>
        </is>
      </c>
      <c r="F3361" s="2" t="inlineStr"/>
      <c r="G3361" t="inlineStr"/>
      <c r="H3361" t="inlineStr"/>
      <c r="I3361" s="2" t="inlineStr"/>
      <c r="J3361" t="inlineStr"/>
      <c r="K3361" t="inlineStr"/>
      <c r="L3361" s="2" t="inlineStr"/>
      <c r="M3361" t="inlineStr"/>
      <c r="N3361" t="inlineStr">
        <is>
          <t>20250314800369</t>
        </is>
      </c>
      <c r="O3361">
        <f>HYPERLINK("https://dart.fss.or.kr/dsaf001/main.do?rcpNo=20250314800369", "공시열람")</f>
        <v/>
      </c>
    </row>
    <row r="3362">
      <c r="A3362" t="inlineStr">
        <is>
          <t>2025-03-13</t>
        </is>
      </c>
      <c r="B3362" t="inlineStr">
        <is>
          <t>콘텐트리중앙</t>
        </is>
      </c>
      <c r="C3362" t="inlineStr">
        <is>
          <t>036420</t>
        </is>
      </c>
      <c r="D3362" t="inlineStr">
        <is>
          <t>연결</t>
        </is>
      </c>
      <c r="E3362" t="inlineStr">
        <is>
          <t>2024Q4</t>
        </is>
      </c>
      <c r="F3362" s="2" t="n">
        <v>203514</v>
      </c>
      <c r="G3362" t="inlineStr"/>
      <c r="H3362" t="inlineStr"/>
      <c r="I3362" s="2" t="n">
        <v>-18527</v>
      </c>
      <c r="J3362" t="inlineStr"/>
      <c r="K3362" t="inlineStr"/>
      <c r="L3362" s="2" t="n">
        <v>-2489</v>
      </c>
      <c r="M3362" t="inlineStr"/>
      <c r="N3362" t="inlineStr">
        <is>
          <t>20250313801990</t>
        </is>
      </c>
      <c r="O3362">
        <f>HYPERLINK("https://dart.fss.or.kr/dsaf001/main.do?rcpNo=20250313801990", "공시열람")</f>
        <v/>
      </c>
    </row>
    <row r="3363">
      <c r="A3363" t="inlineStr">
        <is>
          <t>2025-03-13</t>
        </is>
      </c>
      <c r="B3363" t="inlineStr">
        <is>
          <t>고려아연</t>
        </is>
      </c>
      <c r="C3363" t="inlineStr">
        <is>
          <t>010130</t>
        </is>
      </c>
      <c r="D3363" t="inlineStr">
        <is>
          <t>별도</t>
        </is>
      </c>
      <c r="E3363" t="inlineStr">
        <is>
          <t>2024Q4</t>
        </is>
      </c>
      <c r="F3363" s="2" t="n">
        <v>2258355</v>
      </c>
      <c r="G3363" t="n">
        <v>11.3</v>
      </c>
      <c r="H3363" t="n">
        <v>18.5</v>
      </c>
      <c r="I3363" s="2" t="n">
        <v>186652</v>
      </c>
      <c r="J3363" t="n">
        <v>4.2</v>
      </c>
      <c r="K3363" t="n">
        <v>-15.6</v>
      </c>
      <c r="L3363" s="2" t="n">
        <v>-104092</v>
      </c>
      <c r="M3363" t="inlineStr"/>
      <c r="N3363" t="inlineStr">
        <is>
          <t>20250313801062</t>
        </is>
      </c>
      <c r="O3363">
        <f>HYPERLINK("https://dart.fss.or.kr/dsaf001/main.do?rcpNo=20250313801062", "공시열람")</f>
        <v/>
      </c>
    </row>
    <row r="3364">
      <c r="A3364" t="inlineStr">
        <is>
          <t>2025-03-13</t>
        </is>
      </c>
      <c r="B3364" t="inlineStr">
        <is>
          <t>고려아연</t>
        </is>
      </c>
      <c r="C3364" t="inlineStr">
        <is>
          <t>010130</t>
        </is>
      </c>
      <c r="D3364" t="inlineStr">
        <is>
          <t>연결</t>
        </is>
      </c>
      <c r="E3364" t="inlineStr">
        <is>
          <t>2024Q4</t>
        </is>
      </c>
      <c r="F3364" s="2" t="inlineStr"/>
      <c r="G3364" t="inlineStr"/>
      <c r="H3364" t="inlineStr"/>
      <c r="I3364" s="2" t="inlineStr"/>
      <c r="J3364" t="inlineStr"/>
      <c r="K3364" t="inlineStr"/>
      <c r="L3364" s="2" t="inlineStr"/>
      <c r="M3364" t="inlineStr"/>
      <c r="N3364" t="inlineStr">
        <is>
          <t>20250313801125</t>
        </is>
      </c>
      <c r="O3364">
        <f>HYPERLINK("https://dart.fss.or.kr/dsaf001/main.do?rcpNo=20250313801125", "공시열람")</f>
        <v/>
      </c>
    </row>
    <row r="3365">
      <c r="A3365" t="inlineStr">
        <is>
          <t>2025-03-13</t>
        </is>
      </c>
      <c r="B3365" t="inlineStr">
        <is>
          <t>위메이드</t>
        </is>
      </c>
      <c r="C3365" t="inlineStr">
        <is>
          <t>112040</t>
        </is>
      </c>
      <c r="D3365" t="inlineStr">
        <is>
          <t>연결</t>
        </is>
      </c>
      <c r="E3365" t="inlineStr">
        <is>
          <t>2024Q4</t>
        </is>
      </c>
      <c r="F3365" s="2" t="n">
        <v>164821</v>
      </c>
      <c r="G3365" t="inlineStr"/>
      <c r="H3365" t="inlineStr"/>
      <c r="I3365" s="2" t="n">
        <v>17038</v>
      </c>
      <c r="J3365" t="inlineStr"/>
      <c r="K3365" t="inlineStr"/>
      <c r="L3365" s="2" t="n">
        <v>201194</v>
      </c>
      <c r="M3365" t="inlineStr"/>
      <c r="N3365" t="inlineStr">
        <is>
          <t>20250313901526</t>
        </is>
      </c>
      <c r="O3365">
        <f>HYPERLINK("https://dart.fss.or.kr/dsaf001/main.do?rcpNo=20250313901526", "공시열람")</f>
        <v/>
      </c>
    </row>
    <row r="3366">
      <c r="A3366" t="inlineStr">
        <is>
          <t>2025-03-12</t>
        </is>
      </c>
      <c r="B3366" t="inlineStr">
        <is>
          <t>이마트</t>
        </is>
      </c>
      <c r="C3366" t="inlineStr">
        <is>
          <t>139480</t>
        </is>
      </c>
      <c r="D3366" t="inlineStr">
        <is>
          <t>별도</t>
        </is>
      </c>
      <c r="E3366" t="inlineStr">
        <is>
          <t>2024Q4</t>
        </is>
      </c>
      <c r="F3366" s="2" t="n">
        <v>1206200</v>
      </c>
      <c r="G3366" t="n">
        <v>-29.6</v>
      </c>
      <c r="H3366" t="n">
        <v>-7.8</v>
      </c>
      <c r="I3366" s="2" t="inlineStr"/>
      <c r="J3366" t="inlineStr"/>
      <c r="K3366" t="inlineStr"/>
      <c r="L3366" s="2" t="inlineStr"/>
      <c r="M3366" t="inlineStr"/>
      <c r="N3366" t="inlineStr">
        <is>
          <t>20250312800297</t>
        </is>
      </c>
      <c r="O3366">
        <f>HYPERLINK("https://dart.fss.or.kr/dsaf001/main.do?rcpNo=20250312800297", "공시열람")</f>
        <v/>
      </c>
    </row>
    <row r="3367">
      <c r="A3367" t="inlineStr">
        <is>
          <t>2025-03-12</t>
        </is>
      </c>
      <c r="B3367" t="inlineStr">
        <is>
          <t>신세계</t>
        </is>
      </c>
      <c r="C3367" t="inlineStr">
        <is>
          <t>004170</t>
        </is>
      </c>
      <c r="D3367" t="inlineStr">
        <is>
          <t>별도</t>
        </is>
      </c>
      <c r="E3367" t="inlineStr">
        <is>
          <t>2024Q4</t>
        </is>
      </c>
      <c r="F3367" s="2" t="n">
        <v>144108</v>
      </c>
      <c r="G3367" t="n">
        <v>-21.53</v>
      </c>
      <c r="H3367" t="n">
        <v>-11.66</v>
      </c>
      <c r="I3367" s="2" t="inlineStr"/>
      <c r="J3367" t="inlineStr"/>
      <c r="K3367" t="inlineStr"/>
      <c r="L3367" s="2" t="inlineStr"/>
      <c r="M3367" t="inlineStr"/>
      <c r="N3367" t="inlineStr">
        <is>
          <t>20250312801106</t>
        </is>
      </c>
      <c r="O3367">
        <f>HYPERLINK("https://dart.fss.or.kr/dsaf001/main.do?rcpNo=20250312801106", "공시열람")</f>
        <v/>
      </c>
    </row>
    <row r="3368">
      <c r="A3368" t="inlineStr">
        <is>
          <t>2025-03-12</t>
        </is>
      </c>
      <c r="B3368" t="inlineStr">
        <is>
          <t>광주신세계</t>
        </is>
      </c>
      <c r="C3368" t="inlineStr">
        <is>
          <t>037710</t>
        </is>
      </c>
      <c r="D3368" t="inlineStr">
        <is>
          <t>별도</t>
        </is>
      </c>
      <c r="E3368" t="inlineStr">
        <is>
          <t>2024Q4</t>
        </is>
      </c>
      <c r="F3368" s="2" t="n">
        <v>13169</v>
      </c>
      <c r="G3368" t="n">
        <v>-19</v>
      </c>
      <c r="H3368" t="n">
        <v>-8.199999999999999</v>
      </c>
      <c r="I3368" s="2" t="inlineStr"/>
      <c r="J3368" t="inlineStr"/>
      <c r="K3368" t="inlineStr"/>
      <c r="L3368" s="2" t="inlineStr"/>
      <c r="M3368" t="inlineStr"/>
      <c r="N3368" t="inlineStr">
        <is>
          <t>20250312801200</t>
        </is>
      </c>
      <c r="O3368">
        <f>HYPERLINK("https://dart.fss.or.kr/dsaf001/main.do?rcpNo=20250312801200", "공시열람")</f>
        <v/>
      </c>
    </row>
    <row r="3369">
      <c r="A3369" t="inlineStr">
        <is>
          <t>2025-03-11</t>
        </is>
      </c>
      <c r="B3369" t="inlineStr">
        <is>
          <t>카카오</t>
        </is>
      </c>
      <c r="C3369" t="inlineStr">
        <is>
          <t>035720</t>
        </is>
      </c>
      <c r="D3369" t="inlineStr">
        <is>
          <t>연결</t>
        </is>
      </c>
      <c r="E3369" t="inlineStr">
        <is>
          <t>2024Q4</t>
        </is>
      </c>
      <c r="F3369" s="2" t="n">
        <v>1957046</v>
      </c>
      <c r="G3369" t="n">
        <v>1.9</v>
      </c>
      <c r="H3369" t="n">
        <v>-2.1</v>
      </c>
      <c r="I3369" s="2" t="n">
        <v>75428</v>
      </c>
      <c r="J3369" t="n">
        <v>-42.2</v>
      </c>
      <c r="K3369" t="n">
        <v>-53.1</v>
      </c>
      <c r="L3369" s="2" t="n">
        <v>-485922</v>
      </c>
      <c r="M3369" t="n">
        <v>74.59999999999999</v>
      </c>
      <c r="N3369" t="inlineStr">
        <is>
          <t>20250311801643</t>
        </is>
      </c>
      <c r="O3369">
        <f>HYPERLINK("https://dart.fss.or.kr/dsaf001/main.do?rcpNo=20250311801643", "공시열람")</f>
        <v/>
      </c>
    </row>
    <row r="3370">
      <c r="A3370" t="inlineStr">
        <is>
          <t>2025-03-11</t>
        </is>
      </c>
      <c r="B3370" t="inlineStr">
        <is>
          <t>GS</t>
        </is>
      </c>
      <c r="C3370" t="inlineStr">
        <is>
          <t>078930</t>
        </is>
      </c>
      <c r="D3370" t="inlineStr">
        <is>
          <t>연결</t>
        </is>
      </c>
      <c r="E3370" t="inlineStr">
        <is>
          <t>2024Q4</t>
        </is>
      </c>
      <c r="F3370" s="2" t="n">
        <v>6407355</v>
      </c>
      <c r="G3370" t="n">
        <v>0.15</v>
      </c>
      <c r="H3370" t="n">
        <v>-2.32</v>
      </c>
      <c r="I3370" s="2" t="n">
        <v>618059</v>
      </c>
      <c r="J3370" t="n">
        <v>-1.54</v>
      </c>
      <c r="K3370" t="n">
        <v>-11.61</v>
      </c>
      <c r="L3370" s="2" t="n">
        <v>73392</v>
      </c>
      <c r="M3370" t="n">
        <v>-39.6</v>
      </c>
      <c r="N3370" t="inlineStr">
        <is>
          <t>20250311800903</t>
        </is>
      </c>
      <c r="O3370">
        <f>HYPERLINK("https://dart.fss.or.kr/dsaf001/main.do?rcpNo=20250311800903", "공시열람")</f>
        <v/>
      </c>
    </row>
    <row r="3371">
      <c r="A3371" t="inlineStr">
        <is>
          <t>2025-03-11</t>
        </is>
      </c>
      <c r="B3371" t="inlineStr">
        <is>
          <t>카카오</t>
        </is>
      </c>
      <c r="C3371" t="inlineStr">
        <is>
          <t>035720</t>
        </is>
      </c>
      <c r="D3371" t="inlineStr">
        <is>
          <t>별도</t>
        </is>
      </c>
      <c r="E3371" t="inlineStr">
        <is>
          <t>2024Q4</t>
        </is>
      </c>
      <c r="F3371" s="2" t="n">
        <v>691557</v>
      </c>
      <c r="G3371" t="n">
        <v>11.8</v>
      </c>
      <c r="H3371" t="n">
        <v>4.7</v>
      </c>
      <c r="I3371" s="2" t="n">
        <v>122586</v>
      </c>
      <c r="J3371" t="n">
        <v>20.6</v>
      </c>
      <c r="K3371" t="n">
        <v>-30.1</v>
      </c>
      <c r="L3371" s="2" t="n">
        <v>-168270</v>
      </c>
      <c r="M3371" t="n">
        <v>14</v>
      </c>
      <c r="N3371" t="inlineStr">
        <is>
          <t>20250311801681</t>
        </is>
      </c>
      <c r="O3371">
        <f>HYPERLINK("https://dart.fss.or.kr/dsaf001/main.do?rcpNo=20250311801681", "공시열람")</f>
        <v/>
      </c>
    </row>
    <row r="3372">
      <c r="A3372" t="inlineStr">
        <is>
          <t>2025-03-11</t>
        </is>
      </c>
      <c r="B3372" t="inlineStr">
        <is>
          <t>케이엔더블유</t>
        </is>
      </c>
      <c r="C3372" t="inlineStr">
        <is>
          <t>105330</t>
        </is>
      </c>
      <c r="D3372" t="inlineStr">
        <is>
          <t>연결</t>
        </is>
      </c>
      <c r="E3372" t="inlineStr">
        <is>
          <t>2024Q4</t>
        </is>
      </c>
      <c r="F3372" s="2" t="n">
        <v>20127</v>
      </c>
      <c r="G3372" t="inlineStr"/>
      <c r="H3372" t="inlineStr"/>
      <c r="I3372" s="2" t="n">
        <v>-2400</v>
      </c>
      <c r="J3372" t="inlineStr"/>
      <c r="K3372" t="inlineStr"/>
      <c r="L3372" s="2" t="n">
        <v>3137</v>
      </c>
      <c r="M3372" t="inlineStr"/>
      <c r="N3372" t="inlineStr">
        <is>
          <t>20250311901457</t>
        </is>
      </c>
      <c r="O3372">
        <f>HYPERLINK("https://dart.fss.or.kr/dsaf001/main.do?rcpNo=20250311901457", "공시열람")</f>
        <v/>
      </c>
    </row>
    <row r="3373">
      <c r="A3373" t="inlineStr">
        <is>
          <t>2025-03-10</t>
        </is>
      </c>
      <c r="B3373" t="inlineStr">
        <is>
          <t>SM C&amp;C</t>
        </is>
      </c>
      <c r="C3373" t="inlineStr">
        <is>
          <t>048550</t>
        </is>
      </c>
      <c r="D3373" t="inlineStr">
        <is>
          <t>연결</t>
        </is>
      </c>
      <c r="E3373" t="inlineStr">
        <is>
          <t>2024Q4</t>
        </is>
      </c>
      <c r="F3373" s="2" t="n">
        <v>33380</v>
      </c>
      <c r="G3373" t="inlineStr"/>
      <c r="H3373" t="inlineStr"/>
      <c r="I3373" s="2" t="n">
        <v>2112</v>
      </c>
      <c r="J3373" t="inlineStr"/>
      <c r="K3373" t="inlineStr"/>
      <c r="L3373" s="2" t="n">
        <v>-15800</v>
      </c>
      <c r="M3373" t="inlineStr"/>
      <c r="N3373" t="inlineStr">
        <is>
          <t>20250310900550</t>
        </is>
      </c>
      <c r="O3373">
        <f>HYPERLINK("https://dart.fss.or.kr/dsaf001/main.do?rcpNo=20250310900550", "공시열람")</f>
        <v/>
      </c>
    </row>
    <row r="3374">
      <c r="A3374" t="inlineStr">
        <is>
          <t>2025-03-10</t>
        </is>
      </c>
      <c r="B3374" t="inlineStr">
        <is>
          <t>한진</t>
        </is>
      </c>
      <c r="C3374" t="inlineStr">
        <is>
          <t>002320</t>
        </is>
      </c>
      <c r="D3374" t="inlineStr">
        <is>
          <t>연결</t>
        </is>
      </c>
      <c r="E3374" t="inlineStr">
        <is>
          <t>2024Q4</t>
        </is>
      </c>
      <c r="F3374" s="2" t="n">
        <v>812600</v>
      </c>
      <c r="G3374" t="n">
        <v>7.4</v>
      </c>
      <c r="H3374" t="n">
        <v>8.5</v>
      </c>
      <c r="I3374" s="2" t="n">
        <v>-100</v>
      </c>
      <c r="J3374" t="inlineStr"/>
      <c r="K3374" t="inlineStr"/>
      <c r="L3374" s="2" t="n">
        <v>-18500</v>
      </c>
      <c r="M3374" t="inlineStr"/>
      <c r="N3374" t="inlineStr">
        <is>
          <t>20250310801241</t>
        </is>
      </c>
      <c r="O3374">
        <f>HYPERLINK("https://dart.fss.or.kr/dsaf001/main.do?rcpNo=20250310801241", "공시열람")</f>
        <v/>
      </c>
    </row>
    <row r="3375">
      <c r="A3375" t="inlineStr">
        <is>
          <t>2025-03-07</t>
        </is>
      </c>
      <c r="B3375" t="inlineStr">
        <is>
          <t>BNK금융지주</t>
        </is>
      </c>
      <c r="C3375" t="inlineStr">
        <is>
          <t>138930</t>
        </is>
      </c>
      <c r="D3375" t="inlineStr">
        <is>
          <t>연결</t>
        </is>
      </c>
      <c r="E3375" t="inlineStr">
        <is>
          <t>2024Q4</t>
        </is>
      </c>
      <c r="F3375" s="2" t="n">
        <v>2611847</v>
      </c>
      <c r="G3375" t="n">
        <v>14.31</v>
      </c>
      <c r="H3375" t="n">
        <v>7.63</v>
      </c>
      <c r="I3375" s="2" t="n">
        <v>28599</v>
      </c>
      <c r="J3375" t="n">
        <v>-88.16</v>
      </c>
      <c r="K3375" t="inlineStr"/>
      <c r="L3375" s="2" t="n">
        <v>28698</v>
      </c>
      <c r="M3375" t="inlineStr"/>
      <c r="N3375" t="inlineStr">
        <is>
          <t>20250307801425</t>
        </is>
      </c>
      <c r="O3375">
        <f>HYPERLINK("https://dart.fss.or.kr/dsaf001/main.do?rcpNo=20250307801425", "공시열람")</f>
        <v/>
      </c>
    </row>
    <row r="3376">
      <c r="A3376" t="inlineStr">
        <is>
          <t>2025-03-07</t>
        </is>
      </c>
      <c r="B3376" t="inlineStr">
        <is>
          <t>블랙야크아이앤씨</t>
        </is>
      </c>
      <c r="C3376" t="inlineStr">
        <is>
          <t>478560</t>
        </is>
      </c>
      <c r="D3376" t="inlineStr">
        <is>
          <t>별도</t>
        </is>
      </c>
      <c r="E3376" t="inlineStr">
        <is>
          <t>2024Q4</t>
        </is>
      </c>
      <c r="F3376" s="2" t="n">
        <v>37686</v>
      </c>
      <c r="G3376" t="inlineStr"/>
      <c r="H3376" t="inlineStr"/>
      <c r="I3376" s="2" t="n">
        <v>8299</v>
      </c>
      <c r="J3376" t="inlineStr"/>
      <c r="K3376" t="inlineStr"/>
      <c r="L3376" s="2" t="n">
        <v>6822</v>
      </c>
      <c r="M3376" t="inlineStr"/>
      <c r="N3376" t="inlineStr">
        <is>
          <t>20250307901184</t>
        </is>
      </c>
      <c r="O3376">
        <f>HYPERLINK("https://dart.fss.or.kr/dsaf001/main.do?rcpNo=20250307901184", "공시열람")</f>
        <v/>
      </c>
    </row>
    <row r="3377">
      <c r="A3377" t="inlineStr">
        <is>
          <t>2025-03-07</t>
        </is>
      </c>
      <c r="B3377" t="inlineStr">
        <is>
          <t>SK이터닉스</t>
        </is>
      </c>
      <c r="C3377" t="inlineStr">
        <is>
          <t>475150</t>
        </is>
      </c>
      <c r="D3377" t="inlineStr">
        <is>
          <t>연결</t>
        </is>
      </c>
      <c r="E3377" t="inlineStr">
        <is>
          <t>2024Q4</t>
        </is>
      </c>
      <c r="F3377" s="2" t="n">
        <v>153000</v>
      </c>
      <c r="G3377" t="n">
        <v>-4.5</v>
      </c>
      <c r="H3377" t="inlineStr"/>
      <c r="I3377" s="2" t="n">
        <v>25100</v>
      </c>
      <c r="J3377" t="n">
        <v>74.3</v>
      </c>
      <c r="K3377" t="inlineStr"/>
      <c r="L3377" s="2" t="n">
        <v>19800</v>
      </c>
      <c r="M3377" t="inlineStr"/>
      <c r="N3377" t="inlineStr">
        <is>
          <t>20250307800772</t>
        </is>
      </c>
      <c r="O3377">
        <f>HYPERLINK("https://dart.fss.or.kr/dsaf001/main.do?rcpNo=20250307800772", "공시열람")</f>
        <v/>
      </c>
    </row>
    <row r="3378">
      <c r="A3378" t="inlineStr">
        <is>
          <t>2025-03-07</t>
        </is>
      </c>
      <c r="B3378" t="inlineStr">
        <is>
          <t>에이엘티</t>
        </is>
      </c>
      <c r="C3378" t="inlineStr">
        <is>
          <t>172670</t>
        </is>
      </c>
      <c r="D3378" t="inlineStr">
        <is>
          <t>연결</t>
        </is>
      </c>
      <c r="E3378" t="inlineStr">
        <is>
          <t>2024Q4</t>
        </is>
      </c>
      <c r="F3378" s="2" t="n">
        <v>9921</v>
      </c>
      <c r="G3378" t="inlineStr"/>
      <c r="H3378" t="inlineStr"/>
      <c r="I3378" s="2" t="n">
        <v>-2813</v>
      </c>
      <c r="J3378" t="inlineStr"/>
      <c r="K3378" t="inlineStr"/>
      <c r="L3378" s="2" t="n">
        <v>-2000</v>
      </c>
      <c r="M3378" t="inlineStr"/>
      <c r="N3378" t="inlineStr">
        <is>
          <t>20250307900698</t>
        </is>
      </c>
      <c r="O3378">
        <f>HYPERLINK("https://dart.fss.or.kr/dsaf001/main.do?rcpNo=20250307900698", "공시열람")</f>
        <v/>
      </c>
    </row>
    <row r="3379">
      <c r="A3379" t="inlineStr">
        <is>
          <t>2025-03-06</t>
        </is>
      </c>
      <c r="B3379" t="inlineStr">
        <is>
          <t>롯데에너지머티리얼즈</t>
        </is>
      </c>
      <c r="C3379" t="inlineStr">
        <is>
          <t>020150</t>
        </is>
      </c>
      <c r="D3379" t="inlineStr">
        <is>
          <t>연결</t>
        </is>
      </c>
      <c r="E3379" t="inlineStr">
        <is>
          <t>2024Q4</t>
        </is>
      </c>
      <c r="F3379" s="2" t="n">
        <v>186400</v>
      </c>
      <c r="G3379" t="n">
        <v>-11.8</v>
      </c>
      <c r="H3379" t="n">
        <v>-18.8</v>
      </c>
      <c r="I3379" s="2" t="n">
        <v>-40100</v>
      </c>
      <c r="J3379" t="n">
        <v>-26.2</v>
      </c>
      <c r="K3379" t="inlineStr"/>
      <c r="L3379" s="2" t="n">
        <v>14800</v>
      </c>
      <c r="M3379" t="inlineStr"/>
      <c r="N3379" t="inlineStr">
        <is>
          <t>20250306801177</t>
        </is>
      </c>
      <c r="O3379">
        <f>HYPERLINK("https://dart.fss.or.kr/dsaf001/main.do?rcpNo=20250306801177", "공시열람")</f>
        <v/>
      </c>
    </row>
    <row r="3380">
      <c r="A3380" t="inlineStr">
        <is>
          <t>2025-03-06</t>
        </is>
      </c>
      <c r="B3380" t="inlineStr">
        <is>
          <t>롯데케미칼</t>
        </is>
      </c>
      <c r="C3380" t="inlineStr">
        <is>
          <t>011170</t>
        </is>
      </c>
      <c r="D3380" t="inlineStr">
        <is>
          <t>연결</t>
        </is>
      </c>
      <c r="E3380" t="inlineStr">
        <is>
          <t>2024Q4</t>
        </is>
      </c>
      <c r="F3380" s="2" t="n">
        <v>4896062</v>
      </c>
      <c r="G3380" t="n">
        <v>-5.8</v>
      </c>
      <c r="H3380" t="n">
        <v>-0.2</v>
      </c>
      <c r="I3380" s="2" t="n">
        <v>-234054</v>
      </c>
      <c r="J3380" t="n">
        <v>43.4</v>
      </c>
      <c r="K3380" t="n">
        <v>25.9</v>
      </c>
      <c r="L3380" s="2" t="n">
        <v>-1144201</v>
      </c>
      <c r="M3380" t="n">
        <v>-642.9</v>
      </c>
      <c r="N3380" t="inlineStr">
        <is>
          <t>20250306800398</t>
        </is>
      </c>
      <c r="O3380">
        <f>HYPERLINK("https://dart.fss.or.kr/dsaf001/main.do?rcpNo=20250306800398", "공시열람")</f>
        <v/>
      </c>
    </row>
    <row r="3381">
      <c r="A3381" t="inlineStr">
        <is>
          <t>2025-03-06</t>
        </is>
      </c>
      <c r="B3381" t="inlineStr">
        <is>
          <t>그리티</t>
        </is>
      </c>
      <c r="C3381" t="inlineStr">
        <is>
          <t>204020</t>
        </is>
      </c>
      <c r="D3381" t="inlineStr">
        <is>
          <t>연결</t>
        </is>
      </c>
      <c r="E3381" t="inlineStr">
        <is>
          <t>2024Q4</t>
        </is>
      </c>
      <c r="F3381" s="2" t="n">
        <v>194740</v>
      </c>
      <c r="G3381" t="inlineStr"/>
      <c r="H3381" t="inlineStr"/>
      <c r="I3381" s="2" t="n">
        <v>12310</v>
      </c>
      <c r="J3381" t="inlineStr"/>
      <c r="K3381" t="inlineStr"/>
      <c r="L3381" s="2" t="n">
        <v>9689</v>
      </c>
      <c r="M3381" t="inlineStr"/>
      <c r="N3381" t="inlineStr">
        <is>
          <t>20250306900151</t>
        </is>
      </c>
      <c r="O3381">
        <f>HYPERLINK("https://dart.fss.or.kr/dsaf001/main.do?rcpNo=20250306900151", "공시열람")</f>
        <v/>
      </c>
    </row>
    <row r="3382">
      <c r="A3382" t="inlineStr">
        <is>
          <t>2025-03-05</t>
        </is>
      </c>
      <c r="B3382" t="inlineStr">
        <is>
          <t>헥토파이낸셜</t>
        </is>
      </c>
      <c r="C3382" t="inlineStr">
        <is>
          <t>234340</t>
        </is>
      </c>
      <c r="D3382" t="inlineStr">
        <is>
          <t>연결</t>
        </is>
      </c>
      <c r="E3382" t="inlineStr">
        <is>
          <t>2024Q4</t>
        </is>
      </c>
      <c r="F3382" s="2" t="n">
        <v>44735</v>
      </c>
      <c r="G3382" t="inlineStr"/>
      <c r="H3382" t="inlineStr"/>
      <c r="I3382" s="2" t="n">
        <v>1542</v>
      </c>
      <c r="J3382" t="inlineStr"/>
      <c r="K3382" t="inlineStr"/>
      <c r="L3382" s="2" t="inlineStr"/>
      <c r="M3382" t="inlineStr"/>
      <c r="N3382" t="inlineStr">
        <is>
          <t>20250305900093</t>
        </is>
      </c>
      <c r="O3382">
        <f>HYPERLINK("https://dart.fss.or.kr/dsaf001/main.do?rcpNo=20250305900093", "공시열람")</f>
        <v/>
      </c>
    </row>
    <row r="3383">
      <c r="A3383" t="inlineStr">
        <is>
          <t>2025-03-05</t>
        </is>
      </c>
      <c r="B3383" t="inlineStr">
        <is>
          <t>성광벤드</t>
        </is>
      </c>
      <c r="C3383" t="inlineStr">
        <is>
          <t>014620</t>
        </is>
      </c>
      <c r="D3383" t="inlineStr">
        <is>
          <t>연결</t>
        </is>
      </c>
      <c r="E3383" t="inlineStr">
        <is>
          <t>2024Q4</t>
        </is>
      </c>
      <c r="F3383" s="2" t="n">
        <v>58231</v>
      </c>
      <c r="G3383" t="inlineStr"/>
      <c r="H3383" t="inlineStr"/>
      <c r="I3383" s="2" t="n">
        <v>3921</v>
      </c>
      <c r="J3383" t="inlineStr"/>
      <c r="K3383" t="inlineStr"/>
      <c r="L3383" s="2" t="n">
        <v>7489</v>
      </c>
      <c r="M3383" t="inlineStr"/>
      <c r="N3383" t="inlineStr">
        <is>
          <t>20250305900059</t>
        </is>
      </c>
      <c r="O3383">
        <f>HYPERLINK("https://dart.fss.or.kr/dsaf001/main.do?rcpNo=20250305900059", "공시열람")</f>
        <v/>
      </c>
    </row>
    <row r="3384">
      <c r="A3384" t="inlineStr">
        <is>
          <t>2025-03-05</t>
        </is>
      </c>
      <c r="B3384" t="inlineStr">
        <is>
          <t>파라다이스</t>
        </is>
      </c>
      <c r="C3384" t="inlineStr">
        <is>
          <t>034230</t>
        </is>
      </c>
      <c r="D3384" t="inlineStr">
        <is>
          <t>연결</t>
        </is>
      </c>
      <c r="E3384" t="inlineStr">
        <is>
          <t>2024Q4</t>
        </is>
      </c>
      <c r="F3384" s="2" t="inlineStr"/>
      <c r="G3384" t="inlineStr"/>
      <c r="H3384" t="inlineStr"/>
      <c r="I3384" s="2" t="inlineStr"/>
      <c r="J3384" t="inlineStr"/>
      <c r="K3384" t="inlineStr"/>
      <c r="L3384" s="2" t="inlineStr"/>
      <c r="M3384" t="inlineStr"/>
      <c r="N3384" t="inlineStr">
        <is>
          <t>20250305801098</t>
        </is>
      </c>
      <c r="O3384">
        <f>HYPERLINK("https://dart.fss.or.kr/dsaf001/main.do?rcpNo=20250305801098", "공시열람")</f>
        <v/>
      </c>
    </row>
    <row r="3385">
      <c r="A3385" t="inlineStr">
        <is>
          <t>2025-03-05</t>
        </is>
      </c>
      <c r="B3385" t="inlineStr">
        <is>
          <t>GS리테일</t>
        </is>
      </c>
      <c r="C3385" t="inlineStr">
        <is>
          <t>007070</t>
        </is>
      </c>
      <c r="D3385" t="inlineStr">
        <is>
          <t>연결</t>
        </is>
      </c>
      <c r="E3385" t="inlineStr">
        <is>
          <t>2024Q4</t>
        </is>
      </c>
      <c r="F3385" s="2" t="n">
        <v>2934031</v>
      </c>
      <c r="G3385" t="inlineStr"/>
      <c r="H3385" t="inlineStr"/>
      <c r="I3385" s="2" t="n">
        <v>27709</v>
      </c>
      <c r="J3385" t="inlineStr"/>
      <c r="K3385" t="inlineStr"/>
      <c r="L3385" s="2" t="n">
        <v>-29778</v>
      </c>
      <c r="M3385" t="inlineStr"/>
      <c r="N3385" t="inlineStr">
        <is>
          <t>20250305800996</t>
        </is>
      </c>
      <c r="O3385">
        <f>HYPERLINK("https://dart.fss.or.kr/dsaf001/main.do?rcpNo=20250305800996", "공시열람")</f>
        <v/>
      </c>
    </row>
    <row r="3386">
      <c r="A3386" t="inlineStr">
        <is>
          <t>2025-03-05</t>
        </is>
      </c>
      <c r="B3386" t="inlineStr">
        <is>
          <t>AP시스템</t>
        </is>
      </c>
      <c r="C3386" t="inlineStr">
        <is>
          <t>265520</t>
        </is>
      </c>
      <c r="D3386" t="inlineStr">
        <is>
          <t>연결</t>
        </is>
      </c>
      <c r="E3386" t="inlineStr">
        <is>
          <t>2024Q4</t>
        </is>
      </c>
      <c r="F3386" s="2" t="n">
        <v>163764</v>
      </c>
      <c r="G3386" t="inlineStr"/>
      <c r="H3386" t="inlineStr"/>
      <c r="I3386" s="2" t="n">
        <v>12981</v>
      </c>
      <c r="J3386" t="inlineStr"/>
      <c r="K3386" t="inlineStr"/>
      <c r="L3386" s="2" t="n">
        <v>19276</v>
      </c>
      <c r="M3386" t="inlineStr"/>
      <c r="N3386" t="inlineStr">
        <is>
          <t>20250305900649</t>
        </is>
      </c>
      <c r="O3386">
        <f>HYPERLINK("https://dart.fss.or.kr/dsaf001/main.do?rcpNo=20250305900649", "공시열람")</f>
        <v/>
      </c>
    </row>
    <row r="3387">
      <c r="A3387" t="inlineStr">
        <is>
          <t>2025-03-05</t>
        </is>
      </c>
      <c r="B3387" t="inlineStr">
        <is>
          <t>GKL</t>
        </is>
      </c>
      <c r="C3387" t="inlineStr">
        <is>
          <t>114090</t>
        </is>
      </c>
      <c r="D3387" t="inlineStr">
        <is>
          <t>별도</t>
        </is>
      </c>
      <c r="E3387" t="inlineStr">
        <is>
          <t>2024Q4</t>
        </is>
      </c>
      <c r="F3387" s="2" t="inlineStr"/>
      <c r="G3387" t="inlineStr"/>
      <c r="H3387" t="inlineStr"/>
      <c r="I3387" s="2" t="inlineStr"/>
      <c r="J3387" t="inlineStr"/>
      <c r="K3387" t="inlineStr"/>
      <c r="L3387" s="2" t="inlineStr"/>
      <c r="M3387" t="inlineStr"/>
      <c r="N3387" t="inlineStr">
        <is>
          <t>20250305800395</t>
        </is>
      </c>
      <c r="O3387">
        <f>HYPERLINK("https://dart.fss.or.kr/dsaf001/main.do?rcpNo=20250305800395", "공시열람")</f>
        <v/>
      </c>
    </row>
    <row r="3388">
      <c r="A3388" t="inlineStr">
        <is>
          <t>2025-03-05</t>
        </is>
      </c>
      <c r="B3388" t="inlineStr">
        <is>
          <t>유니드</t>
        </is>
      </c>
      <c r="C3388" t="inlineStr">
        <is>
          <t>014830</t>
        </is>
      </c>
      <c r="D3388" t="inlineStr">
        <is>
          <t>연결</t>
        </is>
      </c>
      <c r="E3388" t="inlineStr">
        <is>
          <t>2024Q4</t>
        </is>
      </c>
      <c r="F3388" s="2" t="n">
        <v>275508</v>
      </c>
      <c r="G3388" t="inlineStr"/>
      <c r="H3388" t="inlineStr"/>
      <c r="I3388" s="2" t="n">
        <v>12452</v>
      </c>
      <c r="J3388" t="inlineStr"/>
      <c r="K3388" t="inlineStr"/>
      <c r="L3388" s="2" t="n">
        <v>7594</v>
      </c>
      <c r="M3388" t="inlineStr"/>
      <c r="N3388" t="inlineStr">
        <is>
          <t>20250305800315</t>
        </is>
      </c>
      <c r="O3388">
        <f>HYPERLINK("https://dart.fss.or.kr/dsaf001/main.do?rcpNo=20250305800315", "공시열람")</f>
        <v/>
      </c>
    </row>
    <row r="3389">
      <c r="A3389" t="inlineStr">
        <is>
          <t>2025-03-05</t>
        </is>
      </c>
      <c r="B3389" t="inlineStr">
        <is>
          <t>헥토파이낸셜</t>
        </is>
      </c>
      <c r="C3389" t="inlineStr">
        <is>
          <t>234340</t>
        </is>
      </c>
      <c r="D3389" t="inlineStr">
        <is>
          <t>별도</t>
        </is>
      </c>
      <c r="E3389" t="inlineStr">
        <is>
          <t>2024Q4</t>
        </is>
      </c>
      <c r="F3389" s="2" t="n">
        <v>40264</v>
      </c>
      <c r="G3389" t="inlineStr"/>
      <c r="H3389" t="inlineStr"/>
      <c r="I3389" s="2" t="n">
        <v>2465</v>
      </c>
      <c r="J3389" t="inlineStr"/>
      <c r="K3389" t="inlineStr"/>
      <c r="L3389" s="2" t="inlineStr"/>
      <c r="M3389" t="inlineStr"/>
      <c r="N3389" t="inlineStr">
        <is>
          <t>20250305900092</t>
        </is>
      </c>
      <c r="O3389">
        <f>HYPERLINK("https://dart.fss.or.kr/dsaf001/main.do?rcpNo=20250305900092", "공시열람")</f>
        <v/>
      </c>
    </row>
    <row r="3390">
      <c r="A3390" t="inlineStr">
        <is>
          <t>2025-03-05</t>
        </is>
      </c>
      <c r="B3390" t="inlineStr">
        <is>
          <t>사람인</t>
        </is>
      </c>
      <c r="C3390" t="inlineStr">
        <is>
          <t>143240</t>
        </is>
      </c>
      <c r="D3390" t="inlineStr">
        <is>
          <t>연결</t>
        </is>
      </c>
      <c r="E3390" t="inlineStr">
        <is>
          <t>2024Q4</t>
        </is>
      </c>
      <c r="F3390" s="2" t="n">
        <v>31466</v>
      </c>
      <c r="G3390" t="inlineStr"/>
      <c r="H3390" t="inlineStr"/>
      <c r="I3390" s="2" t="n">
        <v>2939</v>
      </c>
      <c r="J3390" t="inlineStr"/>
      <c r="K3390" t="inlineStr"/>
      <c r="L3390" s="2" t="n">
        <v>-2303</v>
      </c>
      <c r="M3390" t="inlineStr"/>
      <c r="N3390" t="inlineStr">
        <is>
          <t>20250305901215</t>
        </is>
      </c>
      <c r="O3390">
        <f>HYPERLINK("https://dart.fss.or.kr/dsaf001/main.do?rcpNo=20250305901215", "공시열람")</f>
        <v/>
      </c>
    </row>
    <row r="3391">
      <c r="A3391" t="inlineStr">
        <is>
          <t>2025-03-04</t>
        </is>
      </c>
      <c r="B3391" t="inlineStr">
        <is>
          <t>롯데관광개발</t>
        </is>
      </c>
      <c r="C3391" t="inlineStr">
        <is>
          <t>032350</t>
        </is>
      </c>
      <c r="D3391" t="inlineStr">
        <is>
          <t>연결</t>
        </is>
      </c>
      <c r="E3391" t="inlineStr">
        <is>
          <t>2024Q4</t>
        </is>
      </c>
      <c r="F3391" s="2" t="inlineStr"/>
      <c r="G3391" t="inlineStr"/>
      <c r="H3391" t="inlineStr"/>
      <c r="I3391" s="2" t="inlineStr"/>
      <c r="J3391" t="inlineStr"/>
      <c r="K3391" t="inlineStr"/>
      <c r="L3391" s="2" t="inlineStr"/>
      <c r="M3391" t="inlineStr"/>
      <c r="N3391" t="inlineStr">
        <is>
          <t>20250304800571</t>
        </is>
      </c>
      <c r="O3391">
        <f>HYPERLINK("https://dart.fss.or.kr/dsaf001/main.do?rcpNo=20250304800571", "공시열람")</f>
        <v/>
      </c>
    </row>
    <row r="3392">
      <c r="A3392" t="inlineStr">
        <is>
          <t>2025-03-04</t>
        </is>
      </c>
      <c r="B3392" t="inlineStr">
        <is>
          <t>기아</t>
        </is>
      </c>
      <c r="C3392" t="inlineStr">
        <is>
          <t>000270</t>
        </is>
      </c>
      <c r="D3392" t="inlineStr">
        <is>
          <t>별도</t>
        </is>
      </c>
      <c r="E3392" t="inlineStr">
        <is>
          <t>2024Q4</t>
        </is>
      </c>
      <c r="F3392" s="2" t="inlineStr"/>
      <c r="G3392" t="inlineStr"/>
      <c r="H3392" t="inlineStr"/>
      <c r="I3392" s="2" t="inlineStr"/>
      <c r="J3392" t="inlineStr"/>
      <c r="K3392" t="inlineStr"/>
      <c r="L3392" s="2" t="inlineStr"/>
      <c r="M3392" t="inlineStr"/>
      <c r="N3392" t="inlineStr">
        <is>
          <t>20250304800564</t>
        </is>
      </c>
      <c r="O3392">
        <f>HYPERLINK("https://dart.fss.or.kr/dsaf001/main.do?rcpNo=20250304800564", "공시열람")</f>
        <v/>
      </c>
    </row>
    <row r="3393">
      <c r="A3393" t="inlineStr">
        <is>
          <t>2025-03-04</t>
        </is>
      </c>
      <c r="B3393" t="inlineStr">
        <is>
          <t>현대자동차</t>
        </is>
      </c>
      <c r="C3393" t="inlineStr">
        <is>
          <t>005380</t>
        </is>
      </c>
      <c r="D3393" t="inlineStr">
        <is>
          <t>별도</t>
        </is>
      </c>
      <c r="E3393" t="inlineStr">
        <is>
          <t>2024Q4</t>
        </is>
      </c>
      <c r="F3393" s="2" t="inlineStr"/>
      <c r="G3393" t="inlineStr"/>
      <c r="H3393" t="inlineStr"/>
      <c r="I3393" s="2" t="inlineStr"/>
      <c r="J3393" t="inlineStr"/>
      <c r="K3393" t="inlineStr"/>
      <c r="L3393" s="2" t="inlineStr"/>
      <c r="M3393" t="inlineStr"/>
      <c r="N3393" t="inlineStr">
        <is>
          <t>20250304800555</t>
        </is>
      </c>
      <c r="O3393">
        <f>HYPERLINK("https://dart.fss.or.kr/dsaf001/main.do?rcpNo=20250304800555", "공시열람")</f>
        <v/>
      </c>
    </row>
    <row r="3394">
      <c r="A3394" t="inlineStr">
        <is>
          <t>2025-03-04</t>
        </is>
      </c>
      <c r="B3394" t="inlineStr">
        <is>
          <t>에스피지</t>
        </is>
      </c>
      <c r="C3394" t="inlineStr">
        <is>
          <t>058610</t>
        </is>
      </c>
      <c r="D3394" t="inlineStr">
        <is>
          <t>연결</t>
        </is>
      </c>
      <c r="E3394" t="inlineStr">
        <is>
          <t>2024Q4</t>
        </is>
      </c>
      <c r="F3394" s="2" t="n">
        <v>98080</v>
      </c>
      <c r="G3394" t="inlineStr"/>
      <c r="H3394" t="inlineStr"/>
      <c r="I3394" s="2" t="n">
        <v>2488</v>
      </c>
      <c r="J3394" t="inlineStr"/>
      <c r="K3394" t="inlineStr"/>
      <c r="L3394" s="2" t="n">
        <v>3952</v>
      </c>
      <c r="M3394" t="inlineStr"/>
      <c r="N3394" t="inlineStr">
        <is>
          <t>20250304900198</t>
        </is>
      </c>
      <c r="O3394">
        <f>HYPERLINK("https://dart.fss.or.kr/dsaf001/main.do?rcpNo=20250304900198", "공시열람")</f>
        <v/>
      </c>
    </row>
    <row r="3395">
      <c r="A3395" t="inlineStr">
        <is>
          <t>2025-03-04</t>
        </is>
      </c>
      <c r="B3395" t="inlineStr">
        <is>
          <t>KG모빌리티</t>
        </is>
      </c>
      <c r="C3395" t="inlineStr">
        <is>
          <t>003620</t>
        </is>
      </c>
      <c r="D3395" t="inlineStr">
        <is>
          <t>별도</t>
        </is>
      </c>
      <c r="E3395" t="inlineStr">
        <is>
          <t>2024Q4</t>
        </is>
      </c>
      <c r="F3395" s="2" t="inlineStr"/>
      <c r="G3395" t="inlineStr"/>
      <c r="H3395" t="inlineStr"/>
      <c r="I3395" s="2" t="inlineStr"/>
      <c r="J3395" t="inlineStr"/>
      <c r="K3395" t="inlineStr"/>
      <c r="L3395" s="2" t="inlineStr"/>
      <c r="M3395" t="inlineStr"/>
      <c r="N3395" t="inlineStr">
        <is>
          <t>20250304800119</t>
        </is>
      </c>
      <c r="O3395">
        <f>HYPERLINK("https://dart.fss.or.kr/dsaf001/main.do?rcpNo=20250304800119", "공시열람")</f>
        <v/>
      </c>
    </row>
    <row r="3396">
      <c r="A3396" t="inlineStr">
        <is>
          <t>2025-02-28</t>
        </is>
      </c>
      <c r="B3396" t="inlineStr">
        <is>
          <t>효성화학</t>
        </is>
      </c>
      <c r="C3396" t="inlineStr">
        <is>
          <t>298000</t>
        </is>
      </c>
      <c r="D3396" t="inlineStr">
        <is>
          <t>연결</t>
        </is>
      </c>
      <c r="E3396" t="inlineStr">
        <is>
          <t>2024Q4</t>
        </is>
      </c>
      <c r="F3396" s="2" t="n">
        <v>737081</v>
      </c>
      <c r="G3396" t="n">
        <v>2.41</v>
      </c>
      <c r="H3396" t="n">
        <v>13.91</v>
      </c>
      <c r="I3396" s="2" t="n">
        <v>-44364</v>
      </c>
      <c r="J3396" t="n">
        <v>-45.7</v>
      </c>
      <c r="K3396" t="n">
        <v>-5.63</v>
      </c>
      <c r="L3396" s="2" t="n">
        <v>-100554</v>
      </c>
      <c r="M3396" t="n">
        <v>-35.68</v>
      </c>
      <c r="N3396" t="inlineStr">
        <is>
          <t>20250228801468</t>
        </is>
      </c>
      <c r="O3396">
        <f>HYPERLINK("https://dart.fss.or.kr/dsaf001/main.do?rcpNo=20250228801468", "공시열람")</f>
        <v/>
      </c>
    </row>
    <row r="3397">
      <c r="A3397" t="inlineStr">
        <is>
          <t>2025-02-28</t>
        </is>
      </c>
      <c r="B3397" t="inlineStr">
        <is>
          <t>한국전력공사</t>
        </is>
      </c>
      <c r="C3397" t="inlineStr">
        <is>
          <t>015760</t>
        </is>
      </c>
      <c r="D3397" t="inlineStr">
        <is>
          <t>연결</t>
        </is>
      </c>
      <c r="E3397" t="inlineStr">
        <is>
          <t>2024Q4</t>
        </is>
      </c>
      <c r="F3397" s="2" t="n">
        <v>24131521</v>
      </c>
      <c r="G3397" t="n">
        <v>-7.6</v>
      </c>
      <c r="H3397" t="n">
        <v>7.1</v>
      </c>
      <c r="I3397" s="2" t="n">
        <v>2403194</v>
      </c>
      <c r="J3397" t="n">
        <v>-29.2</v>
      </c>
      <c r="K3397" t="n">
        <v>25.7</v>
      </c>
      <c r="L3397" s="2" t="n">
        <v>1158356</v>
      </c>
      <c r="M3397" t="n">
        <v>-8.5</v>
      </c>
      <c r="N3397" t="inlineStr">
        <is>
          <t>20250228800421</t>
        </is>
      </c>
      <c r="O3397">
        <f>HYPERLINK("https://dart.fss.or.kr/dsaf001/main.do?rcpNo=20250228800421", "공시열람")</f>
        <v/>
      </c>
    </row>
    <row r="3398">
      <c r="A3398" t="inlineStr">
        <is>
          <t>2025-02-28</t>
        </is>
      </c>
      <c r="B3398" t="inlineStr">
        <is>
          <t>다올투자증권</t>
        </is>
      </c>
      <c r="C3398" t="inlineStr">
        <is>
          <t>030210</t>
        </is>
      </c>
      <c r="D3398" t="inlineStr">
        <is>
          <t>연결</t>
        </is>
      </c>
      <c r="E3398" t="inlineStr">
        <is>
          <t>2024Q4</t>
        </is>
      </c>
      <c r="F3398" s="2" t="n">
        <v>496314</v>
      </c>
      <c r="G3398" t="inlineStr"/>
      <c r="H3398" t="n">
        <v>29.02</v>
      </c>
      <c r="I3398" s="2" t="n">
        <v>-44972</v>
      </c>
      <c r="J3398" t="inlineStr"/>
      <c r="K3398" t="inlineStr"/>
      <c r="L3398" s="2" t="n">
        <v>-28346</v>
      </c>
      <c r="M3398" t="inlineStr"/>
      <c r="N3398" t="inlineStr">
        <is>
          <t>20250228800635</t>
        </is>
      </c>
      <c r="O3398">
        <f>HYPERLINK("https://dart.fss.or.kr/dsaf001/main.do?rcpNo=20250228800635", "공시열람")</f>
        <v/>
      </c>
    </row>
    <row r="3399">
      <c r="A3399" t="inlineStr">
        <is>
          <t>2025-02-28</t>
        </is>
      </c>
      <c r="B3399" t="inlineStr">
        <is>
          <t>덴티움</t>
        </is>
      </c>
      <c r="C3399" t="inlineStr">
        <is>
          <t>145720</t>
        </is>
      </c>
      <c r="D3399" t="inlineStr">
        <is>
          <t>연결</t>
        </is>
      </c>
      <c r="E3399" t="inlineStr">
        <is>
          <t>2024Q4</t>
        </is>
      </c>
      <c r="F3399" s="2" t="n">
        <v>119353</v>
      </c>
      <c r="G3399" t="n">
        <v>26.1</v>
      </c>
      <c r="H3399" t="n">
        <v>-3.9</v>
      </c>
      <c r="I3399" s="2" t="n">
        <v>27970</v>
      </c>
      <c r="J3399" t="n">
        <v>14.8</v>
      </c>
      <c r="K3399" t="n">
        <v>-48.5</v>
      </c>
      <c r="L3399" s="2" t="n">
        <v>24752</v>
      </c>
      <c r="M3399" t="n">
        <v>-27.1</v>
      </c>
      <c r="N3399" t="inlineStr">
        <is>
          <t>20250228801261</t>
        </is>
      </c>
      <c r="O3399">
        <f>HYPERLINK("https://dart.fss.or.kr/dsaf001/main.do?rcpNo=20250228801261", "공시열람")</f>
        <v/>
      </c>
    </row>
    <row r="3400">
      <c r="A3400" t="inlineStr">
        <is>
          <t>2025-02-28</t>
        </is>
      </c>
      <c r="B3400" t="inlineStr">
        <is>
          <t>한온시스템</t>
        </is>
      </c>
      <c r="C3400" t="inlineStr">
        <is>
          <t>018880</t>
        </is>
      </c>
      <c r="D3400" t="inlineStr">
        <is>
          <t>연결</t>
        </is>
      </c>
      <c r="E3400" t="inlineStr">
        <is>
          <t>2024Q4</t>
        </is>
      </c>
      <c r="F3400" s="2" t="n">
        <v>2545045</v>
      </c>
      <c r="G3400" t="inlineStr"/>
      <c r="H3400" t="inlineStr"/>
      <c r="I3400" s="2" t="n">
        <v>-128169</v>
      </c>
      <c r="J3400" t="inlineStr"/>
      <c r="K3400" t="inlineStr"/>
      <c r="L3400" s="2" t="n">
        <v>-310836</v>
      </c>
      <c r="M3400" t="inlineStr"/>
      <c r="N3400" t="inlineStr">
        <is>
          <t>20250228801464</t>
        </is>
      </c>
      <c r="O3400">
        <f>HYPERLINK("https://dart.fss.or.kr/dsaf001/main.do?rcpNo=20250228801464", "공시열람")</f>
        <v/>
      </c>
    </row>
    <row r="3401">
      <c r="A3401" t="inlineStr">
        <is>
          <t>2025-02-27</t>
        </is>
      </c>
      <c r="B3401" t="inlineStr">
        <is>
          <t>원익QnC</t>
        </is>
      </c>
      <c r="C3401" t="inlineStr">
        <is>
          <t>074600</t>
        </is>
      </c>
      <c r="D3401" t="inlineStr">
        <is>
          <t>연결</t>
        </is>
      </c>
      <c r="E3401" t="inlineStr">
        <is>
          <t>2024Q4</t>
        </is>
      </c>
      <c r="F3401" s="2" t="n">
        <v>217093</v>
      </c>
      <c r="G3401" t="inlineStr"/>
      <c r="H3401" t="inlineStr"/>
      <c r="I3401" s="2" t="n">
        <v>-8129</v>
      </c>
      <c r="J3401" t="inlineStr"/>
      <c r="K3401" t="inlineStr"/>
      <c r="L3401" s="2" t="n">
        <v>5763</v>
      </c>
      <c r="M3401" t="inlineStr"/>
      <c r="N3401" t="inlineStr">
        <is>
          <t>20250227900589</t>
        </is>
      </c>
      <c r="O3401">
        <f>HYPERLINK("https://dart.fss.or.kr/dsaf001/main.do?rcpNo=20250227900589", "공시열람")</f>
        <v/>
      </c>
    </row>
    <row r="3402">
      <c r="A3402" t="inlineStr">
        <is>
          <t>2025-02-27</t>
        </is>
      </c>
      <c r="B3402" t="inlineStr">
        <is>
          <t>토니모리</t>
        </is>
      </c>
      <c r="C3402" t="inlineStr">
        <is>
          <t>214420</t>
        </is>
      </c>
      <c r="D3402" t="inlineStr">
        <is>
          <t>연결</t>
        </is>
      </c>
      <c r="E3402" t="inlineStr">
        <is>
          <t>2024Q4</t>
        </is>
      </c>
      <c r="F3402" s="2" t="n">
        <v>43143</v>
      </c>
      <c r="G3402" t="n">
        <v>-4.1</v>
      </c>
      <c r="H3402" t="n">
        <v>-7.8</v>
      </c>
      <c r="I3402" s="2" t="n">
        <v>627</v>
      </c>
      <c r="J3402" t="n">
        <v>-83.7</v>
      </c>
      <c r="K3402" t="n">
        <v>-84.59999999999999</v>
      </c>
      <c r="L3402" s="2" t="n">
        <v>10591</v>
      </c>
      <c r="M3402" t="inlineStr"/>
      <c r="N3402" t="inlineStr">
        <is>
          <t>20250227800601</t>
        </is>
      </c>
      <c r="O3402">
        <f>HYPERLINK("https://dart.fss.or.kr/dsaf001/main.do?rcpNo=20250227800601", "공시열람")</f>
        <v/>
      </c>
    </row>
    <row r="3403">
      <c r="A3403" t="inlineStr">
        <is>
          <t>2025-02-27</t>
        </is>
      </c>
      <c r="B3403" t="inlineStr">
        <is>
          <t>쿠쿠홈시스</t>
        </is>
      </c>
      <c r="C3403" t="inlineStr">
        <is>
          <t>284740</t>
        </is>
      </c>
      <c r="D3403" t="inlineStr">
        <is>
          <t>연결</t>
        </is>
      </c>
      <c r="E3403" t="inlineStr">
        <is>
          <t>2024Q4</t>
        </is>
      </c>
      <c r="F3403" s="2" t="n">
        <v>297283</v>
      </c>
      <c r="G3403" t="inlineStr"/>
      <c r="H3403" t="inlineStr"/>
      <c r="I3403" s="2" t="n">
        <v>77635</v>
      </c>
      <c r="J3403" t="inlineStr"/>
      <c r="K3403" t="inlineStr"/>
      <c r="L3403" s="2" t="n">
        <v>30627</v>
      </c>
      <c r="M3403" t="inlineStr"/>
      <c r="N3403" t="inlineStr">
        <is>
          <t>20250227801329</t>
        </is>
      </c>
      <c r="O3403">
        <f>HYPERLINK("https://dart.fss.or.kr/dsaf001/main.do?rcpNo=20250227801329", "공시열람")</f>
        <v/>
      </c>
    </row>
    <row r="3404">
      <c r="A3404" t="inlineStr">
        <is>
          <t>2025-02-27</t>
        </is>
      </c>
      <c r="B3404" t="inlineStr">
        <is>
          <t>한국타이어앤테크놀로지</t>
        </is>
      </c>
      <c r="C3404" t="inlineStr">
        <is>
          <t>161390</t>
        </is>
      </c>
      <c r="D3404" t="inlineStr">
        <is>
          <t>연결</t>
        </is>
      </c>
      <c r="E3404" t="inlineStr">
        <is>
          <t>2024Q4</t>
        </is>
      </c>
      <c r="F3404" s="2" t="n">
        <v>2531529</v>
      </c>
      <c r="G3404" t="n">
        <v>4</v>
      </c>
      <c r="H3404" t="n">
        <v>13.4</v>
      </c>
      <c r="I3404" s="2" t="n">
        <v>473250</v>
      </c>
      <c r="J3404" t="n">
        <v>0.6</v>
      </c>
      <c r="K3404" t="n">
        <v>-3.9</v>
      </c>
      <c r="L3404" s="2" t="n">
        <v>61912</v>
      </c>
      <c r="M3404" t="n">
        <v>-67.59999999999999</v>
      </c>
      <c r="N3404" t="inlineStr">
        <is>
          <t>20250227801051</t>
        </is>
      </c>
      <c r="O3404">
        <f>HYPERLINK("https://dart.fss.or.kr/dsaf001/main.do?rcpNo=20250227801051", "공시열람")</f>
        <v/>
      </c>
    </row>
    <row r="3405">
      <c r="A3405" t="inlineStr">
        <is>
          <t>2025-02-27</t>
        </is>
      </c>
      <c r="B3405" t="inlineStr">
        <is>
          <t>빅텍</t>
        </is>
      </c>
      <c r="C3405" t="inlineStr">
        <is>
          <t>065450</t>
        </is>
      </c>
      <c r="D3405" t="inlineStr">
        <is>
          <t>연결</t>
        </is>
      </c>
      <c r="E3405" t="inlineStr">
        <is>
          <t>2024Q4</t>
        </is>
      </c>
      <c r="F3405" s="2" t="inlineStr"/>
      <c r="G3405" t="inlineStr"/>
      <c r="H3405" t="inlineStr"/>
      <c r="I3405" s="2" t="inlineStr"/>
      <c r="J3405" t="inlineStr"/>
      <c r="K3405" t="inlineStr"/>
      <c r="L3405" s="2" t="inlineStr"/>
      <c r="M3405" t="inlineStr"/>
      <c r="N3405" t="inlineStr">
        <is>
          <t>20250227900830</t>
        </is>
      </c>
      <c r="O3405">
        <f>HYPERLINK("https://dart.fss.or.kr/dsaf001/main.do?rcpNo=20250227900830", "공시열람")</f>
        <v/>
      </c>
    </row>
    <row r="3406">
      <c r="A3406" t="inlineStr">
        <is>
          <t>2025-02-26</t>
        </is>
      </c>
      <c r="B3406" t="inlineStr">
        <is>
          <t>원익IPS</t>
        </is>
      </c>
      <c r="C3406" t="inlineStr">
        <is>
          <t>240810</t>
        </is>
      </c>
      <c r="D3406" t="inlineStr">
        <is>
          <t>연결</t>
        </is>
      </c>
      <c r="E3406" t="inlineStr">
        <is>
          <t>2024Q4</t>
        </is>
      </c>
      <c r="F3406" s="2" t="n">
        <v>294855</v>
      </c>
      <c r="G3406" t="inlineStr"/>
      <c r="H3406" t="inlineStr"/>
      <c r="I3406" s="2" t="n">
        <v>25980</v>
      </c>
      <c r="J3406" t="inlineStr"/>
      <c r="K3406" t="inlineStr"/>
      <c r="L3406" s="2" t="n">
        <v>27738</v>
      </c>
      <c r="M3406" t="inlineStr"/>
      <c r="N3406" t="inlineStr">
        <is>
          <t>20250226900692</t>
        </is>
      </c>
      <c r="O3406">
        <f>HYPERLINK("https://dart.fss.or.kr/dsaf001/main.do?rcpNo=20250226900692", "공시열람")</f>
        <v/>
      </c>
    </row>
    <row r="3407">
      <c r="A3407" t="inlineStr">
        <is>
          <t>2025-02-26</t>
        </is>
      </c>
      <c r="B3407" t="inlineStr">
        <is>
          <t>태광</t>
        </is>
      </c>
      <c r="C3407" t="inlineStr">
        <is>
          <t>023160</t>
        </is>
      </c>
      <c r="D3407" t="inlineStr">
        <is>
          <t>연결</t>
        </is>
      </c>
      <c r="E3407" t="inlineStr">
        <is>
          <t>2024Q4</t>
        </is>
      </c>
      <c r="F3407" s="2" t="n">
        <v>66155</v>
      </c>
      <c r="G3407" t="inlineStr"/>
      <c r="H3407" t="inlineStr"/>
      <c r="I3407" s="2" t="n">
        <v>9652</v>
      </c>
      <c r="J3407" t="inlineStr"/>
      <c r="K3407" t="inlineStr"/>
      <c r="L3407" s="2" t="n">
        <v>12153</v>
      </c>
      <c r="M3407" t="inlineStr"/>
      <c r="N3407" t="inlineStr">
        <is>
          <t>20250226900161</t>
        </is>
      </c>
      <c r="O3407">
        <f>HYPERLINK("https://dart.fss.or.kr/dsaf001/main.do?rcpNo=20250226900161", "공시열람")</f>
        <v/>
      </c>
    </row>
    <row r="3408">
      <c r="A3408" t="inlineStr">
        <is>
          <t>2025-02-26</t>
        </is>
      </c>
      <c r="B3408" t="inlineStr">
        <is>
          <t>콜마홀딩스</t>
        </is>
      </c>
      <c r="C3408" t="inlineStr">
        <is>
          <t>024720</t>
        </is>
      </c>
      <c r="D3408" t="inlineStr">
        <is>
          <t>별도</t>
        </is>
      </c>
      <c r="E3408" t="inlineStr">
        <is>
          <t>2024Q4</t>
        </is>
      </c>
      <c r="F3408" s="2" t="n">
        <v>10892</v>
      </c>
      <c r="G3408" t="n">
        <v>8.140000000000001</v>
      </c>
      <c r="H3408" t="n">
        <v>34.67</v>
      </c>
      <c r="I3408" s="2" t="n">
        <v>-743</v>
      </c>
      <c r="J3408" t="n">
        <v>-1447.92</v>
      </c>
      <c r="K3408" t="n">
        <v>64.02</v>
      </c>
      <c r="L3408" s="2" t="n">
        <v>2223</v>
      </c>
      <c r="M3408" t="inlineStr"/>
      <c r="N3408" t="inlineStr">
        <is>
          <t>20250226800238</t>
        </is>
      </c>
      <c r="O3408">
        <f>HYPERLINK("https://dart.fss.or.kr/dsaf001/main.do?rcpNo=20250226800238", "공시열람")</f>
        <v/>
      </c>
    </row>
    <row r="3409">
      <c r="A3409" t="inlineStr">
        <is>
          <t>2025-02-26</t>
        </is>
      </c>
      <c r="B3409" t="inlineStr">
        <is>
          <t>콜마홀딩스</t>
        </is>
      </c>
      <c r="C3409" t="inlineStr">
        <is>
          <t>024720</t>
        </is>
      </c>
      <c r="D3409" t="inlineStr">
        <is>
          <t>연결</t>
        </is>
      </c>
      <c r="E3409" t="inlineStr">
        <is>
          <t>2024Q4</t>
        </is>
      </c>
      <c r="F3409" s="2" t="n">
        <v>159263</v>
      </c>
      <c r="G3409" t="n">
        <v>-2.28</v>
      </c>
      <c r="H3409" t="n">
        <v>-0.03</v>
      </c>
      <c r="I3409" s="2" t="n">
        <v>10975</v>
      </c>
      <c r="J3409" t="n">
        <v>62.91</v>
      </c>
      <c r="K3409" t="inlineStr"/>
      <c r="L3409" s="2" t="n">
        <v>14972</v>
      </c>
      <c r="M3409" t="inlineStr"/>
      <c r="N3409" t="inlineStr">
        <is>
          <t>20250226800242</t>
        </is>
      </c>
      <c r="O3409">
        <f>HYPERLINK("https://dart.fss.or.kr/dsaf001/main.do?rcpNo=20250226800242", "공시열람")</f>
        <v/>
      </c>
    </row>
    <row r="3410">
      <c r="A3410" t="inlineStr">
        <is>
          <t>2025-02-26</t>
        </is>
      </c>
      <c r="B3410" t="inlineStr">
        <is>
          <t>동진쎄미켐</t>
        </is>
      </c>
      <c r="C3410" t="inlineStr">
        <is>
          <t>005290</t>
        </is>
      </c>
      <c r="D3410" t="inlineStr">
        <is>
          <t>연결</t>
        </is>
      </c>
      <c r="E3410" t="inlineStr">
        <is>
          <t>2024Q4</t>
        </is>
      </c>
      <c r="F3410" s="2" t="n">
        <v>360326</v>
      </c>
      <c r="G3410" t="inlineStr"/>
      <c r="H3410" t="inlineStr"/>
      <c r="I3410" s="2" t="n">
        <v>49326</v>
      </c>
      <c r="J3410" t="inlineStr"/>
      <c r="K3410" t="inlineStr"/>
      <c r="L3410" s="2" t="n">
        <v>30470</v>
      </c>
      <c r="M3410" t="inlineStr"/>
      <c r="N3410" t="inlineStr">
        <is>
          <t>20250226900254</t>
        </is>
      </c>
      <c r="O3410">
        <f>HYPERLINK("https://dart.fss.or.kr/dsaf001/main.do?rcpNo=20250226900254", "공시열람")</f>
        <v/>
      </c>
    </row>
    <row r="3411">
      <c r="A3411" t="inlineStr">
        <is>
          <t>2025-02-26</t>
        </is>
      </c>
      <c r="B3411" t="inlineStr">
        <is>
          <t>고스트스튜디오</t>
        </is>
      </c>
      <c r="C3411" t="inlineStr">
        <is>
          <t>950190</t>
        </is>
      </c>
      <c r="D3411" t="inlineStr">
        <is>
          <t>연결</t>
        </is>
      </c>
      <c r="E3411" t="inlineStr">
        <is>
          <t>2024Q4</t>
        </is>
      </c>
      <c r="F3411" s="2" t="n">
        <v>20119</v>
      </c>
      <c r="G3411" t="inlineStr"/>
      <c r="H3411" t="inlineStr"/>
      <c r="I3411" s="2" t="n">
        <v>1514</v>
      </c>
      <c r="J3411" t="inlineStr"/>
      <c r="K3411" t="inlineStr"/>
      <c r="L3411" s="2" t="n">
        <v>-6385</v>
      </c>
      <c r="M3411" t="inlineStr"/>
      <c r="N3411" t="inlineStr">
        <is>
          <t>20250226900969</t>
        </is>
      </c>
      <c r="O3411">
        <f>HYPERLINK("https://dart.fss.or.kr/dsaf001/main.do?rcpNo=20250226900969", "공시열람")</f>
        <v/>
      </c>
    </row>
    <row r="3412">
      <c r="A3412" t="inlineStr">
        <is>
          <t>2025-02-26</t>
        </is>
      </c>
      <c r="B3412" t="inlineStr">
        <is>
          <t>한국쉘석유</t>
        </is>
      </c>
      <c r="C3412" t="inlineStr">
        <is>
          <t>002960</t>
        </is>
      </c>
      <c r="D3412" t="inlineStr">
        <is>
          <t>별도</t>
        </is>
      </c>
      <c r="E3412" t="inlineStr">
        <is>
          <t>2024Q4</t>
        </is>
      </c>
      <c r="F3412" s="2" t="n">
        <v>76239</v>
      </c>
      <c r="G3412" t="n">
        <v>-5.5</v>
      </c>
      <c r="H3412" t="n">
        <v>-4.6</v>
      </c>
      <c r="I3412" s="2" t="n">
        <v>8653</v>
      </c>
      <c r="J3412" t="n">
        <v>-27.9</v>
      </c>
      <c r="K3412" t="n">
        <v>19.8</v>
      </c>
      <c r="L3412" s="2" t="n">
        <v>4619</v>
      </c>
      <c r="M3412" t="n">
        <v>-26</v>
      </c>
      <c r="N3412" t="inlineStr">
        <is>
          <t>20250226800766</t>
        </is>
      </c>
      <c r="O3412">
        <f>HYPERLINK("https://dart.fss.or.kr/dsaf001/main.do?rcpNo=20250226800766", "공시열람")</f>
        <v/>
      </c>
    </row>
    <row r="3413">
      <c r="A3413" t="inlineStr">
        <is>
          <t>2025-02-26</t>
        </is>
      </c>
      <c r="B3413" t="inlineStr">
        <is>
          <t>미투온</t>
        </is>
      </c>
      <c r="C3413" t="inlineStr">
        <is>
          <t>201490</t>
        </is>
      </c>
      <c r="D3413" t="inlineStr">
        <is>
          <t>연결</t>
        </is>
      </c>
      <c r="E3413" t="inlineStr">
        <is>
          <t>2024Q4</t>
        </is>
      </c>
      <c r="F3413" s="2" t="n">
        <v>22242</v>
      </c>
      <c r="G3413" t="inlineStr"/>
      <c r="H3413" t="inlineStr"/>
      <c r="I3413" s="2" t="n">
        <v>579</v>
      </c>
      <c r="J3413" t="inlineStr"/>
      <c r="K3413" t="inlineStr"/>
      <c r="L3413" s="2" t="n">
        <v>-6956</v>
      </c>
      <c r="M3413" t="inlineStr"/>
      <c r="N3413" t="inlineStr">
        <is>
          <t>20250226900975</t>
        </is>
      </c>
      <c r="O3413">
        <f>HYPERLINK("https://dart.fss.or.kr/dsaf001/main.do?rcpNo=20250226900975", "공시열람")</f>
        <v/>
      </c>
    </row>
    <row r="3414">
      <c r="A3414" t="inlineStr">
        <is>
          <t>2025-02-26</t>
        </is>
      </c>
      <c r="B3414" t="inlineStr">
        <is>
          <t>메가스터디교육</t>
        </is>
      </c>
      <c r="C3414" t="inlineStr">
        <is>
          <t>215200</t>
        </is>
      </c>
      <c r="D3414" t="inlineStr">
        <is>
          <t>연결</t>
        </is>
      </c>
      <c r="E3414" t="inlineStr">
        <is>
          <t>2024Q4</t>
        </is>
      </c>
      <c r="F3414" s="2" t="n">
        <v>222418</v>
      </c>
      <c r="G3414" t="inlineStr"/>
      <c r="H3414" t="inlineStr"/>
      <c r="I3414" s="2" t="n">
        <v>16919</v>
      </c>
      <c r="J3414" t="inlineStr"/>
      <c r="K3414" t="inlineStr"/>
      <c r="L3414" s="2" t="n">
        <v>-32741</v>
      </c>
      <c r="M3414" t="inlineStr"/>
      <c r="N3414" t="inlineStr">
        <is>
          <t>20250226900745</t>
        </is>
      </c>
      <c r="O3414">
        <f>HYPERLINK("https://dart.fss.or.kr/dsaf001/main.do?rcpNo=20250226900745", "공시열람")</f>
        <v/>
      </c>
    </row>
    <row r="3415">
      <c r="A3415" t="inlineStr">
        <is>
          <t>2025-02-26</t>
        </is>
      </c>
      <c r="B3415" t="inlineStr">
        <is>
          <t>씨젠</t>
        </is>
      </c>
      <c r="C3415" t="inlineStr">
        <is>
          <t>096530</t>
        </is>
      </c>
      <c r="D3415" t="inlineStr">
        <is>
          <t>연결</t>
        </is>
      </c>
      <c r="E3415" t="inlineStr">
        <is>
          <t>2024Q4</t>
        </is>
      </c>
      <c r="F3415" s="2" t="n">
        <v>115341</v>
      </c>
      <c r="G3415" t="inlineStr"/>
      <c r="H3415" t="inlineStr"/>
      <c r="I3415" s="2" t="n">
        <v>-6229</v>
      </c>
      <c r="J3415" t="inlineStr"/>
      <c r="K3415" t="inlineStr"/>
      <c r="L3415" s="2" t="n">
        <v>-44093</v>
      </c>
      <c r="M3415" t="inlineStr"/>
      <c r="N3415" t="inlineStr">
        <is>
          <t>20250226900590</t>
        </is>
      </c>
      <c r="O3415">
        <f>HYPERLINK("https://dart.fss.or.kr/dsaf001/main.do?rcpNo=20250226900590", "공시열람")</f>
        <v/>
      </c>
    </row>
    <row r="3416">
      <c r="A3416" t="inlineStr">
        <is>
          <t>2025-02-25</t>
        </is>
      </c>
      <c r="B3416" t="inlineStr">
        <is>
          <t>하이브</t>
        </is>
      </c>
      <c r="C3416" t="inlineStr">
        <is>
          <t>352820</t>
        </is>
      </c>
      <c r="D3416" t="inlineStr">
        <is>
          <t>연결</t>
        </is>
      </c>
      <c r="E3416" t="inlineStr">
        <is>
          <t>2024Q4</t>
        </is>
      </c>
      <c r="F3416" s="2" t="n">
        <v>725300</v>
      </c>
      <c r="G3416" t="n">
        <v>37.4</v>
      </c>
      <c r="H3416" t="n">
        <v>19.2</v>
      </c>
      <c r="I3416" s="2" t="n">
        <v>65300</v>
      </c>
      <c r="J3416" t="n">
        <v>20.5</v>
      </c>
      <c r="K3416" t="n">
        <v>-26.7</v>
      </c>
      <c r="L3416" s="2" t="n">
        <v>-26000</v>
      </c>
      <c r="M3416" t="n">
        <v>54.1</v>
      </c>
      <c r="N3416" t="inlineStr">
        <is>
          <t>20250225800608</t>
        </is>
      </c>
      <c r="O3416">
        <f>HYPERLINK("https://dart.fss.or.kr/dsaf001/main.do?rcpNo=20250225800608", "공시열람")</f>
        <v/>
      </c>
    </row>
    <row r="3417">
      <c r="A3417" t="inlineStr">
        <is>
          <t>2025-02-25</t>
        </is>
      </c>
      <c r="B3417" t="inlineStr">
        <is>
          <t>한국콜마</t>
        </is>
      </c>
      <c r="C3417" t="inlineStr">
        <is>
          <t>161890</t>
        </is>
      </c>
      <c r="D3417" t="inlineStr">
        <is>
          <t>연결</t>
        </is>
      </c>
      <c r="E3417" t="inlineStr">
        <is>
          <t>2024Q4</t>
        </is>
      </c>
      <c r="F3417" s="2" t="n">
        <v>590498</v>
      </c>
      <c r="G3417" t="n">
        <v>-5.75</v>
      </c>
      <c r="H3417" t="n">
        <v>7</v>
      </c>
      <c r="I3417" s="2" t="n">
        <v>36841</v>
      </c>
      <c r="J3417" t="n">
        <v>-32.45</v>
      </c>
      <c r="K3417" t="n">
        <v>-1.44</v>
      </c>
      <c r="L3417" s="2" t="n">
        <v>51795</v>
      </c>
      <c r="M3417" t="inlineStr"/>
      <c r="N3417" t="inlineStr">
        <is>
          <t>20250225800260</t>
        </is>
      </c>
      <c r="O3417">
        <f>HYPERLINK("https://dart.fss.or.kr/dsaf001/main.do?rcpNo=20250225800260", "공시열람")</f>
        <v/>
      </c>
    </row>
    <row r="3418">
      <c r="A3418" t="inlineStr">
        <is>
          <t>2025-02-25</t>
        </is>
      </c>
      <c r="B3418" t="inlineStr">
        <is>
          <t>카페24</t>
        </is>
      </c>
      <c r="C3418" t="inlineStr">
        <is>
          <t>042000</t>
        </is>
      </c>
      <c r="D3418" t="inlineStr">
        <is>
          <t>연결</t>
        </is>
      </c>
      <c r="E3418" t="inlineStr">
        <is>
          <t>2024Q4</t>
        </is>
      </c>
      <c r="F3418" s="2" t="n">
        <v>87120</v>
      </c>
      <c r="G3418" t="inlineStr"/>
      <c r="H3418" t="inlineStr"/>
      <c r="I3418" s="2" t="n">
        <v>13002</v>
      </c>
      <c r="J3418" t="inlineStr"/>
      <c r="K3418" t="inlineStr"/>
      <c r="L3418" s="2" t="n">
        <v>11136</v>
      </c>
      <c r="M3418" t="inlineStr"/>
      <c r="N3418" t="inlineStr">
        <is>
          <t>20250225900724</t>
        </is>
      </c>
      <c r="O3418">
        <f>HYPERLINK("https://dart.fss.or.kr/dsaf001/main.do?rcpNo=20250225900724", "공시열람")</f>
        <v/>
      </c>
    </row>
    <row r="3419">
      <c r="A3419" t="inlineStr">
        <is>
          <t>2025-02-25</t>
        </is>
      </c>
      <c r="B3419" t="inlineStr">
        <is>
          <t>셀트리온</t>
        </is>
      </c>
      <c r="C3419" t="inlineStr">
        <is>
          <t>068270</t>
        </is>
      </c>
      <c r="D3419" t="inlineStr">
        <is>
          <t>별도</t>
        </is>
      </c>
      <c r="E3419" t="inlineStr">
        <is>
          <t>2024Q4</t>
        </is>
      </c>
      <c r="F3419" s="2" t="n">
        <v>1057839</v>
      </c>
      <c r="G3419" t="inlineStr"/>
      <c r="H3419" t="inlineStr"/>
      <c r="I3419" s="2" t="n">
        <v>407521</v>
      </c>
      <c r="J3419" t="inlineStr"/>
      <c r="K3419" t="inlineStr"/>
      <c r="L3419" s="2" t="n">
        <v>378578</v>
      </c>
      <c r="M3419" t="inlineStr"/>
      <c r="N3419" t="inlineStr">
        <is>
          <t>20250225800576</t>
        </is>
      </c>
      <c r="O3419">
        <f>HYPERLINK("https://dart.fss.or.kr/dsaf001/main.do?rcpNo=20250225800576", "공시열람")</f>
        <v/>
      </c>
    </row>
    <row r="3420">
      <c r="A3420" t="inlineStr">
        <is>
          <t>2025-02-25</t>
        </is>
      </c>
      <c r="B3420" t="inlineStr">
        <is>
          <t>바이오노트</t>
        </is>
      </c>
      <c r="C3420" t="inlineStr">
        <is>
          <t>377740</t>
        </is>
      </c>
      <c r="D3420" t="inlineStr">
        <is>
          <t>연결</t>
        </is>
      </c>
      <c r="E3420" t="inlineStr">
        <is>
          <t>2024Q4</t>
        </is>
      </c>
      <c r="F3420" s="2" t="n">
        <v>24744</v>
      </c>
      <c r="G3420" t="n">
        <v>-6.45</v>
      </c>
      <c r="H3420" t="n">
        <v>13.67</v>
      </c>
      <c r="I3420" s="2" t="n">
        <v>2543</v>
      </c>
      <c r="J3420" t="n">
        <v>-28.06</v>
      </c>
      <c r="K3420" t="n">
        <v>37.73</v>
      </c>
      <c r="L3420" s="2" t="n">
        <v>11226</v>
      </c>
      <c r="M3420" t="inlineStr"/>
      <c r="N3420" t="inlineStr">
        <is>
          <t>20250225800545</t>
        </is>
      </c>
      <c r="O3420">
        <f>HYPERLINK("https://dart.fss.or.kr/dsaf001/main.do?rcpNo=20250225800545", "공시열람")</f>
        <v/>
      </c>
    </row>
    <row r="3421">
      <c r="A3421" t="inlineStr">
        <is>
          <t>2025-02-25</t>
        </is>
      </c>
      <c r="B3421" t="inlineStr">
        <is>
          <t>원익머트리얼즈</t>
        </is>
      </c>
      <c r="C3421" t="inlineStr">
        <is>
          <t>104830</t>
        </is>
      </c>
      <c r="D3421" t="inlineStr">
        <is>
          <t>연결</t>
        </is>
      </c>
      <c r="E3421" t="inlineStr">
        <is>
          <t>2024Q4</t>
        </is>
      </c>
      <c r="F3421" s="2" t="n">
        <v>79596</v>
      </c>
      <c r="G3421" t="inlineStr"/>
      <c r="H3421" t="inlineStr"/>
      <c r="I3421" s="2" t="n">
        <v>12595</v>
      </c>
      <c r="J3421" t="inlineStr"/>
      <c r="K3421" t="inlineStr"/>
      <c r="L3421" s="2" t="n">
        <v>-404</v>
      </c>
      <c r="M3421" t="inlineStr"/>
      <c r="N3421" t="inlineStr">
        <is>
          <t>20250225900471</t>
        </is>
      </c>
      <c r="O3421">
        <f>HYPERLINK("https://dart.fss.or.kr/dsaf001/main.do?rcpNo=20250225900471", "공시열람")</f>
        <v/>
      </c>
    </row>
    <row r="3422">
      <c r="A3422" t="inlineStr">
        <is>
          <t>2025-02-25</t>
        </is>
      </c>
      <c r="B3422" t="inlineStr">
        <is>
          <t>한화</t>
        </is>
      </c>
      <c r="C3422" t="inlineStr">
        <is>
          <t>000880</t>
        </is>
      </c>
      <c r="D3422" t="inlineStr">
        <is>
          <t>연결</t>
        </is>
      </c>
      <c r="E3422" t="inlineStr">
        <is>
          <t>2024Q4</t>
        </is>
      </c>
      <c r="F3422" s="2" t="n">
        <v>18000476</v>
      </c>
      <c r="G3422" t="n">
        <v>47.32</v>
      </c>
      <c r="H3422" t="n">
        <v>24.35</v>
      </c>
      <c r="I3422" s="2" t="n">
        <v>1126337</v>
      </c>
      <c r="J3422" t="n">
        <v>114.36</v>
      </c>
      <c r="K3422" t="n">
        <v>386.11</v>
      </c>
      <c r="L3422" s="2" t="n">
        <v>1686256</v>
      </c>
      <c r="M3422" t="n">
        <v>16193.9</v>
      </c>
      <c r="N3422" t="inlineStr">
        <is>
          <t>20250225800484</t>
        </is>
      </c>
      <c r="O3422">
        <f>HYPERLINK("https://dart.fss.or.kr/dsaf001/main.do?rcpNo=20250225800484", "공시열람")</f>
        <v/>
      </c>
    </row>
    <row r="3423">
      <c r="A3423" t="inlineStr">
        <is>
          <t>2025-02-25</t>
        </is>
      </c>
      <c r="B3423" t="inlineStr">
        <is>
          <t>셀트리온</t>
        </is>
      </c>
      <c r="C3423" t="inlineStr">
        <is>
          <t>068270</t>
        </is>
      </c>
      <c r="D3423" t="inlineStr">
        <is>
          <t>연결</t>
        </is>
      </c>
      <c r="E3423" t="inlineStr">
        <is>
          <t>2024Q4</t>
        </is>
      </c>
      <c r="F3423" s="2" t="n">
        <v>1063649</v>
      </c>
      <c r="G3423" t="inlineStr"/>
      <c r="H3423" t="inlineStr"/>
      <c r="I3423" s="2" t="n">
        <v>196404</v>
      </c>
      <c r="J3423" t="inlineStr"/>
      <c r="K3423" t="inlineStr"/>
      <c r="L3423" s="2" t="n">
        <v>235569</v>
      </c>
      <c r="M3423" t="inlineStr"/>
      <c r="N3423" t="inlineStr">
        <is>
          <t>20250225800579</t>
        </is>
      </c>
      <c r="O3423">
        <f>HYPERLINK("https://dart.fss.or.kr/dsaf001/main.do?rcpNo=20250225800579", "공시열람")</f>
        <v/>
      </c>
    </row>
    <row r="3424">
      <c r="A3424" t="inlineStr">
        <is>
          <t>2025-02-25</t>
        </is>
      </c>
      <c r="B3424" t="inlineStr">
        <is>
          <t>아비코전자</t>
        </is>
      </c>
      <c r="C3424" t="inlineStr">
        <is>
          <t>036010</t>
        </is>
      </c>
      <c r="D3424" t="inlineStr">
        <is>
          <t>연결</t>
        </is>
      </c>
      <c r="E3424" t="inlineStr">
        <is>
          <t>2024Q4</t>
        </is>
      </c>
      <c r="F3424" s="2" t="n">
        <v>29270</v>
      </c>
      <c r="G3424" t="inlineStr"/>
      <c r="H3424" t="inlineStr"/>
      <c r="I3424" s="2" t="n">
        <v>-1339</v>
      </c>
      <c r="J3424" t="inlineStr"/>
      <c r="K3424" t="inlineStr"/>
      <c r="L3424" s="2" t="n">
        <v>-4814</v>
      </c>
      <c r="M3424" t="inlineStr"/>
      <c r="N3424" t="inlineStr">
        <is>
          <t>20250225900404</t>
        </is>
      </c>
      <c r="O3424">
        <f>HYPERLINK("https://dart.fss.or.kr/dsaf001/main.do?rcpNo=20250225900404", "공시열람")</f>
        <v/>
      </c>
    </row>
    <row r="3425">
      <c r="A3425" t="inlineStr">
        <is>
          <t>2025-02-25</t>
        </is>
      </c>
      <c r="B3425" t="inlineStr">
        <is>
          <t>한국콜마</t>
        </is>
      </c>
      <c r="C3425" t="inlineStr">
        <is>
          <t>161890</t>
        </is>
      </c>
      <c r="D3425" t="inlineStr">
        <is>
          <t>별도</t>
        </is>
      </c>
      <c r="E3425" t="inlineStr">
        <is>
          <t>2024Q4</t>
        </is>
      </c>
      <c r="F3425" s="2" t="n">
        <v>241226</v>
      </c>
      <c r="G3425" t="n">
        <v>-11.85</v>
      </c>
      <c r="H3425" t="n">
        <v>12.46</v>
      </c>
      <c r="I3425" s="2" t="n">
        <v>18051</v>
      </c>
      <c r="J3425" t="n">
        <v>-51.53</v>
      </c>
      <c r="K3425" t="n">
        <v>-1.85</v>
      </c>
      <c r="L3425" s="2" t="n">
        <v>38420</v>
      </c>
      <c r="M3425" t="inlineStr"/>
      <c r="N3425" t="inlineStr">
        <is>
          <t>20250225800259</t>
        </is>
      </c>
      <c r="O3425">
        <f>HYPERLINK("https://dart.fss.or.kr/dsaf001/main.do?rcpNo=20250225800259", "공시열람")</f>
        <v/>
      </c>
    </row>
    <row r="3426">
      <c r="A3426" t="inlineStr">
        <is>
          <t>2025-02-25</t>
        </is>
      </c>
      <c r="B3426" t="inlineStr">
        <is>
          <t>오리온</t>
        </is>
      </c>
      <c r="C3426" t="inlineStr">
        <is>
          <t>271560</t>
        </is>
      </c>
      <c r="D3426" t="inlineStr">
        <is>
          <t>연결</t>
        </is>
      </c>
      <c r="E3426" t="inlineStr">
        <is>
          <t>2024Q4</t>
        </is>
      </c>
      <c r="F3426" s="2" t="inlineStr"/>
      <c r="G3426" t="inlineStr"/>
      <c r="H3426" t="inlineStr"/>
      <c r="I3426" s="2" t="inlineStr"/>
      <c r="J3426" t="inlineStr"/>
      <c r="K3426" t="inlineStr"/>
      <c r="L3426" s="2" t="inlineStr"/>
      <c r="M3426" t="inlineStr"/>
      <c r="N3426" t="inlineStr">
        <is>
          <t>20250225800159</t>
        </is>
      </c>
      <c r="O3426">
        <f>HYPERLINK("https://dart.fss.or.kr/dsaf001/main.do?rcpNo=20250225800159", "공시열람")</f>
        <v/>
      </c>
    </row>
    <row r="3427">
      <c r="A3427" t="inlineStr">
        <is>
          <t>2025-02-25</t>
        </is>
      </c>
      <c r="B3427" t="inlineStr">
        <is>
          <t>일성건설</t>
        </is>
      </c>
      <c r="C3427" t="inlineStr">
        <is>
          <t>013360</t>
        </is>
      </c>
      <c r="D3427" t="inlineStr">
        <is>
          <t>연결</t>
        </is>
      </c>
      <c r="E3427" t="inlineStr">
        <is>
          <t>2024Q4</t>
        </is>
      </c>
      <c r="F3427" s="2" t="n">
        <v>500384</v>
      </c>
      <c r="G3427" t="n">
        <v>-17.66</v>
      </c>
      <c r="H3427" t="inlineStr"/>
      <c r="I3427" s="2" t="n">
        <v>-43590</v>
      </c>
      <c r="J3427" t="inlineStr"/>
      <c r="K3427" t="inlineStr"/>
      <c r="L3427" s="2" t="n">
        <v>-57537</v>
      </c>
      <c r="M3427" t="inlineStr"/>
      <c r="N3427" t="inlineStr">
        <is>
          <t>20250225801008</t>
        </is>
      </c>
      <c r="O3427">
        <f>HYPERLINK("https://dart.fss.or.kr/dsaf001/main.do?rcpNo=20250225801008", "공시열람")</f>
        <v/>
      </c>
    </row>
    <row r="3428">
      <c r="A3428" t="inlineStr">
        <is>
          <t>2025-02-24</t>
        </is>
      </c>
      <c r="B3428" t="inlineStr">
        <is>
          <t>비엠티</t>
        </is>
      </c>
      <c r="C3428" t="inlineStr">
        <is>
          <t>086670</t>
        </is>
      </c>
      <c r="D3428" t="inlineStr">
        <is>
          <t>연결</t>
        </is>
      </c>
      <c r="E3428" t="inlineStr">
        <is>
          <t>2024Q4</t>
        </is>
      </c>
      <c r="F3428" s="2" t="n">
        <v>36302</v>
      </c>
      <c r="G3428" t="inlineStr"/>
      <c r="H3428" t="inlineStr"/>
      <c r="I3428" s="2" t="n">
        <v>2326</v>
      </c>
      <c r="J3428" t="inlineStr"/>
      <c r="K3428" t="inlineStr"/>
      <c r="L3428" s="2" t="n">
        <v>4277</v>
      </c>
      <c r="M3428" t="inlineStr"/>
      <c r="N3428" t="inlineStr">
        <is>
          <t>20250224900170</t>
        </is>
      </c>
      <c r="O3428">
        <f>HYPERLINK("https://dart.fss.or.kr/dsaf001/main.do?rcpNo=20250224900170", "공시열람")</f>
        <v/>
      </c>
    </row>
    <row r="3429">
      <c r="A3429" t="inlineStr">
        <is>
          <t>2025-02-24</t>
        </is>
      </c>
      <c r="B3429" t="inlineStr">
        <is>
          <t>비엠티</t>
        </is>
      </c>
      <c r="C3429" t="inlineStr">
        <is>
          <t>086670</t>
        </is>
      </c>
      <c r="D3429" t="inlineStr">
        <is>
          <t>별도</t>
        </is>
      </c>
      <c r="E3429" t="inlineStr">
        <is>
          <t>2024Q4</t>
        </is>
      </c>
      <c r="F3429" s="2" t="n">
        <v>36299</v>
      </c>
      <c r="G3429" t="inlineStr"/>
      <c r="H3429" t="inlineStr"/>
      <c r="I3429" s="2" t="n">
        <v>2480</v>
      </c>
      <c r="J3429" t="inlineStr"/>
      <c r="K3429" t="inlineStr"/>
      <c r="L3429" s="2" t="n">
        <v>4053</v>
      </c>
      <c r="M3429" t="inlineStr"/>
      <c r="N3429" t="inlineStr">
        <is>
          <t>20250224900169</t>
        </is>
      </c>
      <c r="O3429">
        <f>HYPERLINK("https://dart.fss.or.kr/dsaf001/main.do?rcpNo=20250224900169", "공시열람")</f>
        <v/>
      </c>
    </row>
    <row r="3430">
      <c r="A3430" t="inlineStr">
        <is>
          <t>2025-02-24</t>
        </is>
      </c>
      <c r="B3430" t="inlineStr">
        <is>
          <t>HL D&amp;I</t>
        </is>
      </c>
      <c r="C3430" t="inlineStr">
        <is>
          <t>014790</t>
        </is>
      </c>
      <c r="D3430" t="inlineStr">
        <is>
          <t>연결</t>
        </is>
      </c>
      <c r="E3430" t="inlineStr">
        <is>
          <t>2024Q4</t>
        </is>
      </c>
      <c r="F3430" s="2" t="n">
        <v>433772</v>
      </c>
      <c r="G3430" t="n">
        <v>22.8</v>
      </c>
      <c r="H3430" t="n">
        <v>0.1</v>
      </c>
      <c r="I3430" s="2" t="n">
        <v>15149</v>
      </c>
      <c r="J3430" t="n">
        <v>14.4</v>
      </c>
      <c r="K3430" t="n">
        <v>-27.7</v>
      </c>
      <c r="L3430" s="2" t="n">
        <v>-1456</v>
      </c>
      <c r="M3430" t="inlineStr"/>
      <c r="N3430" t="inlineStr">
        <is>
          <t>20250224801206</t>
        </is>
      </c>
      <c r="O3430">
        <f>HYPERLINK("https://dart.fss.or.kr/dsaf001/main.do?rcpNo=20250224801206", "공시열람")</f>
        <v/>
      </c>
    </row>
    <row r="3431">
      <c r="A3431" t="inlineStr">
        <is>
          <t>2025-02-24</t>
        </is>
      </c>
      <c r="B3431" t="inlineStr">
        <is>
          <t>광동제약</t>
        </is>
      </c>
      <c r="C3431" t="inlineStr">
        <is>
          <t>009290</t>
        </is>
      </c>
      <c r="D3431" t="inlineStr">
        <is>
          <t>연결</t>
        </is>
      </c>
      <c r="E3431" t="inlineStr">
        <is>
          <t>2024Q4</t>
        </is>
      </c>
      <c r="F3431" s="2" t="n">
        <v>390831</v>
      </c>
      <c r="G3431" t="n">
        <v>-8</v>
      </c>
      <c r="H3431" t="n">
        <v>1.7</v>
      </c>
      <c r="I3431" s="2" t="n">
        <v>6654</v>
      </c>
      <c r="J3431" t="n">
        <v>385.1</v>
      </c>
      <c r="K3431" t="n">
        <v>104.5</v>
      </c>
      <c r="L3431" s="2" t="n">
        <v>12834</v>
      </c>
      <c r="M3431" t="n">
        <v>110.9</v>
      </c>
      <c r="N3431" t="inlineStr">
        <is>
          <t>20250224800941</t>
        </is>
      </c>
      <c r="O3431">
        <f>HYPERLINK("https://dart.fss.or.kr/dsaf001/main.do?rcpNo=20250224800941", "공시열람")</f>
        <v/>
      </c>
    </row>
    <row r="3432">
      <c r="A3432" t="inlineStr">
        <is>
          <t>2025-02-24</t>
        </is>
      </c>
      <c r="B3432" t="inlineStr">
        <is>
          <t>코스맥스엔비티</t>
        </is>
      </c>
      <c r="C3432" t="inlineStr">
        <is>
          <t>222040</t>
        </is>
      </c>
      <c r="D3432" t="inlineStr">
        <is>
          <t>연결</t>
        </is>
      </c>
      <c r="E3432" t="inlineStr">
        <is>
          <t>2024Q4</t>
        </is>
      </c>
      <c r="F3432" s="2" t="n">
        <v>80250</v>
      </c>
      <c r="G3432" t="inlineStr"/>
      <c r="H3432" t="inlineStr"/>
      <c r="I3432" s="2" t="n">
        <v>3416</v>
      </c>
      <c r="J3432" t="inlineStr"/>
      <c r="K3432" t="inlineStr"/>
      <c r="L3432" s="2" t="n">
        <v>2886</v>
      </c>
      <c r="M3432" t="inlineStr"/>
      <c r="N3432" t="inlineStr">
        <is>
          <t>20250224900610</t>
        </is>
      </c>
      <c r="O3432">
        <f>HYPERLINK("https://dart.fss.or.kr/dsaf001/main.do?rcpNo=20250224900610", "공시열람")</f>
        <v/>
      </c>
    </row>
    <row r="3433">
      <c r="A3433" t="inlineStr">
        <is>
          <t>2025-02-21</t>
        </is>
      </c>
      <c r="B3433" t="inlineStr">
        <is>
          <t>사람인</t>
        </is>
      </c>
      <c r="C3433" t="inlineStr">
        <is>
          <t>143240</t>
        </is>
      </c>
      <c r="D3433" t="inlineStr">
        <is>
          <t>연결</t>
        </is>
      </c>
      <c r="E3433" t="inlineStr">
        <is>
          <t>2024Q4</t>
        </is>
      </c>
      <c r="F3433" s="2" t="n">
        <v>31466</v>
      </c>
      <c r="G3433" t="inlineStr"/>
      <c r="H3433" t="inlineStr"/>
      <c r="I3433" s="2" t="n">
        <v>2939</v>
      </c>
      <c r="J3433" t="inlineStr"/>
      <c r="K3433" t="inlineStr"/>
      <c r="L3433" s="2" t="n">
        <v>-286</v>
      </c>
      <c r="M3433" t="inlineStr"/>
      <c r="N3433" t="inlineStr">
        <is>
          <t>20250221900002</t>
        </is>
      </c>
      <c r="O3433">
        <f>HYPERLINK("https://dart.fss.or.kr/dsaf001/main.do?rcpNo=20250221900002", "공시열람")</f>
        <v/>
      </c>
    </row>
    <row r="3434">
      <c r="A3434" t="inlineStr">
        <is>
          <t>2025-02-21</t>
        </is>
      </c>
      <c r="B3434" t="inlineStr">
        <is>
          <t>클리오</t>
        </is>
      </c>
      <c r="C3434" t="inlineStr">
        <is>
          <t>237880</t>
        </is>
      </c>
      <c r="D3434" t="inlineStr">
        <is>
          <t>연결</t>
        </is>
      </c>
      <c r="E3434" t="inlineStr">
        <is>
          <t>2024Q4</t>
        </is>
      </c>
      <c r="F3434" s="2" t="n">
        <v>78250</v>
      </c>
      <c r="G3434" t="inlineStr"/>
      <c r="H3434" t="inlineStr"/>
      <c r="I3434" s="2" t="n">
        <v>110</v>
      </c>
      <c r="J3434" t="inlineStr"/>
      <c r="K3434" t="inlineStr"/>
      <c r="L3434" s="2" t="n">
        <v>2268</v>
      </c>
      <c r="M3434" t="inlineStr"/>
      <c r="N3434" t="inlineStr">
        <is>
          <t>20250221900541</t>
        </is>
      </c>
      <c r="O3434">
        <f>HYPERLINK("https://dart.fss.or.kr/dsaf001/main.do?rcpNo=20250221900541", "공시열람")</f>
        <v/>
      </c>
    </row>
    <row r="3435">
      <c r="A3435" t="inlineStr">
        <is>
          <t>2025-02-21</t>
        </is>
      </c>
      <c r="B3435" t="inlineStr">
        <is>
          <t>DB손해보험</t>
        </is>
      </c>
      <c r="C3435" t="inlineStr">
        <is>
          <t>005830</t>
        </is>
      </c>
      <c r="D3435" t="inlineStr">
        <is>
          <t>별도</t>
        </is>
      </c>
      <c r="E3435" t="inlineStr">
        <is>
          <t>2024Q4</t>
        </is>
      </c>
      <c r="F3435" s="2" t="n">
        <v>5145974</v>
      </c>
      <c r="G3435" t="n">
        <v>17.9</v>
      </c>
      <c r="H3435" t="n">
        <v>20.6</v>
      </c>
      <c r="I3435" s="2" t="n">
        <v>284553</v>
      </c>
      <c r="J3435" t="n">
        <v>-53.1</v>
      </c>
      <c r="K3435" t="n">
        <v>-15</v>
      </c>
      <c r="L3435" s="2" t="n">
        <v>194263</v>
      </c>
      <c r="M3435" t="n">
        <v>-25.6</v>
      </c>
      <c r="N3435" t="inlineStr">
        <is>
          <t>20250221800205</t>
        </is>
      </c>
      <c r="O3435">
        <f>HYPERLINK("https://dart.fss.or.kr/dsaf001/main.do?rcpNo=20250221800205", "공시열람")</f>
        <v/>
      </c>
    </row>
    <row r="3436">
      <c r="A3436" t="inlineStr">
        <is>
          <t>2025-02-21</t>
        </is>
      </c>
      <c r="B3436" t="inlineStr">
        <is>
          <t>하이록코리아</t>
        </is>
      </c>
      <c r="C3436" t="inlineStr">
        <is>
          <t>013030</t>
        </is>
      </c>
      <c r="D3436" t="inlineStr">
        <is>
          <t>연결</t>
        </is>
      </c>
      <c r="E3436" t="inlineStr">
        <is>
          <t>2024Q4</t>
        </is>
      </c>
      <c r="F3436" s="2" t="n">
        <v>49367</v>
      </c>
      <c r="G3436" t="inlineStr"/>
      <c r="H3436" t="inlineStr"/>
      <c r="I3436" s="2" t="n">
        <v>6384</v>
      </c>
      <c r="J3436" t="inlineStr"/>
      <c r="K3436" t="inlineStr"/>
      <c r="L3436" s="2" t="n">
        <v>10566</v>
      </c>
      <c r="M3436" t="inlineStr"/>
      <c r="N3436" t="inlineStr">
        <is>
          <t>20250221900274</t>
        </is>
      </c>
      <c r="O3436">
        <f>HYPERLINK("https://dart.fss.or.kr/dsaf001/main.do?rcpNo=20250221900274", "공시열람")</f>
        <v/>
      </c>
    </row>
    <row r="3437">
      <c r="A3437" t="inlineStr">
        <is>
          <t>2025-02-21</t>
        </is>
      </c>
      <c r="B3437" t="inlineStr">
        <is>
          <t>바디텍메드</t>
        </is>
      </c>
      <c r="C3437" t="inlineStr">
        <is>
          <t>206640</t>
        </is>
      </c>
      <c r="D3437" t="inlineStr">
        <is>
          <t>연결</t>
        </is>
      </c>
      <c r="E3437" t="inlineStr">
        <is>
          <t>2024Q4</t>
        </is>
      </c>
      <c r="F3437" s="2" t="n">
        <v>31197</v>
      </c>
      <c r="G3437" t="inlineStr"/>
      <c r="H3437" t="inlineStr"/>
      <c r="I3437" s="2" t="n">
        <v>2325</v>
      </c>
      <c r="J3437" t="inlineStr"/>
      <c r="K3437" t="inlineStr"/>
      <c r="L3437" s="2" t="n">
        <v>6300</v>
      </c>
      <c r="M3437" t="inlineStr"/>
      <c r="N3437" t="inlineStr">
        <is>
          <t>20250221900276</t>
        </is>
      </c>
      <c r="O3437">
        <f>HYPERLINK("https://dart.fss.or.kr/dsaf001/main.do?rcpNo=20250221900276", "공시열람")</f>
        <v/>
      </c>
    </row>
    <row r="3438">
      <c r="A3438" t="inlineStr">
        <is>
          <t>2025-02-21</t>
        </is>
      </c>
      <c r="B3438" t="inlineStr">
        <is>
          <t>한국가스공사</t>
        </is>
      </c>
      <c r="C3438" t="inlineStr">
        <is>
          <t>036460</t>
        </is>
      </c>
      <c r="D3438" t="inlineStr">
        <is>
          <t>연결</t>
        </is>
      </c>
      <c r="E3438" t="inlineStr">
        <is>
          <t>2024Q4</t>
        </is>
      </c>
      <c r="F3438" s="2" t="n">
        <v>9978964</v>
      </c>
      <c r="G3438" t="n">
        <v>23.1</v>
      </c>
      <c r="H3438" t="n">
        <v>-5.9</v>
      </c>
      <c r="I3438" s="2" t="n">
        <v>1176340</v>
      </c>
      <c r="J3438" t="n">
        <v>167.5</v>
      </c>
      <c r="K3438" t="n">
        <v>122.1</v>
      </c>
      <c r="L3438" s="2" t="n">
        <v>333544</v>
      </c>
      <c r="M3438" t="inlineStr"/>
      <c r="N3438" t="inlineStr">
        <is>
          <t>20250221800442</t>
        </is>
      </c>
      <c r="O3438">
        <f>HYPERLINK("https://dart.fss.or.kr/dsaf001/main.do?rcpNo=20250221800442", "공시열람")</f>
        <v/>
      </c>
    </row>
    <row r="3439">
      <c r="A3439" t="inlineStr">
        <is>
          <t>2025-02-21</t>
        </is>
      </c>
      <c r="B3439" t="inlineStr">
        <is>
          <t>코오롱인더</t>
        </is>
      </c>
      <c r="C3439" t="inlineStr">
        <is>
          <t>120110</t>
        </is>
      </c>
      <c r="D3439" t="inlineStr">
        <is>
          <t>연결</t>
        </is>
      </c>
      <c r="E3439" t="inlineStr">
        <is>
          <t>2024Q4</t>
        </is>
      </c>
      <c r="F3439" s="2" t="n">
        <v>1298319</v>
      </c>
      <c r="G3439" t="n">
        <v>18.08</v>
      </c>
      <c r="H3439" t="n">
        <v>5.91</v>
      </c>
      <c r="I3439" s="2" t="n">
        <v>35777</v>
      </c>
      <c r="J3439" t="n">
        <v>8.85</v>
      </c>
      <c r="K3439" t="n">
        <v>-35.7</v>
      </c>
      <c r="L3439" s="2" t="n">
        <v>50660</v>
      </c>
      <c r="M3439" t="inlineStr"/>
      <c r="N3439" t="inlineStr">
        <is>
          <t>20250221800537</t>
        </is>
      </c>
      <c r="O3439">
        <f>HYPERLINK("https://dart.fss.or.kr/dsaf001/main.do?rcpNo=20250221800537", "공시열람")</f>
        <v/>
      </c>
    </row>
    <row r="3440">
      <c r="A3440" t="inlineStr">
        <is>
          <t>2025-02-21</t>
        </is>
      </c>
      <c r="B3440" t="inlineStr">
        <is>
          <t>코스메카코리아</t>
        </is>
      </c>
      <c r="C3440" t="inlineStr">
        <is>
          <t>241710</t>
        </is>
      </c>
      <c r="D3440" t="inlineStr">
        <is>
          <t>연결</t>
        </is>
      </c>
      <c r="E3440" t="inlineStr">
        <is>
          <t>2024Q4</t>
        </is>
      </c>
      <c r="F3440" s="2" t="n">
        <v>128343</v>
      </c>
      <c r="G3440" t="inlineStr"/>
      <c r="H3440" t="inlineStr"/>
      <c r="I3440" s="2" t="n">
        <v>13334</v>
      </c>
      <c r="J3440" t="inlineStr"/>
      <c r="K3440" t="inlineStr"/>
      <c r="L3440" s="2" t="n">
        <v>16316</v>
      </c>
      <c r="M3440" t="inlineStr"/>
      <c r="N3440" t="inlineStr">
        <is>
          <t>20250221900706</t>
        </is>
      </c>
      <c r="O3440">
        <f>HYPERLINK("https://dart.fss.or.kr/dsaf001/main.do?rcpNo=20250221900706", "공시열람")</f>
        <v/>
      </c>
    </row>
    <row r="3441">
      <c r="A3441" t="inlineStr">
        <is>
          <t>2025-02-21</t>
        </is>
      </c>
      <c r="B3441" t="inlineStr">
        <is>
          <t>현대해상</t>
        </is>
      </c>
      <c r="C3441" t="inlineStr">
        <is>
          <t>001450</t>
        </is>
      </c>
      <c r="D3441" t="inlineStr">
        <is>
          <t>별도</t>
        </is>
      </c>
      <c r="E3441" t="inlineStr">
        <is>
          <t>2024Q4</t>
        </is>
      </c>
      <c r="F3441" s="2" t="n">
        <v>4798581</v>
      </c>
      <c r="G3441" t="n">
        <v>28.3</v>
      </c>
      <c r="H3441" t="n">
        <v>24.7</v>
      </c>
      <c r="I3441" s="2" t="n">
        <v>-6788</v>
      </c>
      <c r="J3441" t="inlineStr"/>
      <c r="K3441" t="inlineStr"/>
      <c r="L3441" s="2" t="n">
        <v>-15736</v>
      </c>
      <c r="M3441" t="inlineStr"/>
      <c r="N3441" t="inlineStr">
        <is>
          <t>20250221800519</t>
        </is>
      </c>
      <c r="O3441">
        <f>HYPERLINK("https://dart.fss.or.kr/dsaf001/main.do?rcpNo=20250221800519", "공시열람")</f>
        <v/>
      </c>
    </row>
    <row r="3442">
      <c r="A3442" t="inlineStr">
        <is>
          <t>2025-02-21</t>
        </is>
      </c>
      <c r="B3442" t="inlineStr">
        <is>
          <t>잉글우드랩</t>
        </is>
      </c>
      <c r="C3442" t="inlineStr">
        <is>
          <t>950140</t>
        </is>
      </c>
      <c r="D3442" t="inlineStr">
        <is>
          <t>연결</t>
        </is>
      </c>
      <c r="E3442" t="inlineStr">
        <is>
          <t>2024Q4</t>
        </is>
      </c>
      <c r="F3442" s="2" t="n">
        <v>42198</v>
      </c>
      <c r="G3442" t="inlineStr"/>
      <c r="H3442" t="inlineStr"/>
      <c r="I3442" s="2" t="n">
        <v>3706</v>
      </c>
      <c r="J3442" t="inlineStr"/>
      <c r="K3442" t="inlineStr"/>
      <c r="L3442" s="2" t="n">
        <v>7854</v>
      </c>
      <c r="M3442" t="inlineStr"/>
      <c r="N3442" t="inlineStr">
        <is>
          <t>20250221900718</t>
        </is>
      </c>
      <c r="O3442">
        <f>HYPERLINK("https://dart.fss.or.kr/dsaf001/main.do?rcpNo=20250221900718", "공시열람")</f>
        <v/>
      </c>
    </row>
    <row r="3443">
      <c r="A3443" t="inlineStr">
        <is>
          <t>2025-02-21</t>
        </is>
      </c>
      <c r="B3443" t="inlineStr">
        <is>
          <t>한화손해보험</t>
        </is>
      </c>
      <c r="C3443" t="inlineStr">
        <is>
          <t>000370</t>
        </is>
      </c>
      <c r="D3443" t="inlineStr">
        <is>
          <t>별도</t>
        </is>
      </c>
      <c r="E3443" t="inlineStr">
        <is>
          <t>2024Q4</t>
        </is>
      </c>
      <c r="F3443" s="2" t="n">
        <v>1616817</v>
      </c>
      <c r="G3443" t="n">
        <v>14.5</v>
      </c>
      <c r="H3443" t="n">
        <v>23.1</v>
      </c>
      <c r="I3443" s="2" t="n">
        <v>41372</v>
      </c>
      <c r="J3443" t="n">
        <v>-67.09999999999999</v>
      </c>
      <c r="K3443" t="n">
        <v>-28.6</v>
      </c>
      <c r="L3443" s="2" t="n">
        <v>36535</v>
      </c>
      <c r="M3443" t="n">
        <v>-1.2</v>
      </c>
      <c r="N3443" t="inlineStr">
        <is>
          <t>20250221800045</t>
        </is>
      </c>
      <c r="O3443">
        <f>HYPERLINK("https://dart.fss.or.kr/dsaf001/main.do?rcpNo=20250221800045", "공시열람")</f>
        <v/>
      </c>
    </row>
    <row r="3444">
      <c r="A3444" t="inlineStr">
        <is>
          <t>2025-02-20</t>
        </is>
      </c>
      <c r="B3444" t="inlineStr">
        <is>
          <t>제이에스코퍼레이션</t>
        </is>
      </c>
      <c r="C3444" t="inlineStr">
        <is>
          <t>194370</t>
        </is>
      </c>
      <c r="D3444" t="inlineStr">
        <is>
          <t>연결</t>
        </is>
      </c>
      <c r="E3444" t="inlineStr">
        <is>
          <t>2024Q4</t>
        </is>
      </c>
      <c r="F3444" s="2" t="n">
        <v>319764</v>
      </c>
      <c r="G3444" t="n">
        <v>-11.58</v>
      </c>
      <c r="H3444" t="n">
        <v>45.79</v>
      </c>
      <c r="I3444" s="2" t="n">
        <v>33069</v>
      </c>
      <c r="J3444" t="n">
        <v>-22.7</v>
      </c>
      <c r="K3444" t="n">
        <v>40.49</v>
      </c>
      <c r="L3444" s="2" t="n">
        <v>-60807</v>
      </c>
      <c r="M3444" t="inlineStr"/>
      <c r="N3444" t="inlineStr">
        <is>
          <t>20250220800805</t>
        </is>
      </c>
      <c r="O3444">
        <f>HYPERLINK("https://dart.fss.or.kr/dsaf001/main.do?rcpNo=20250220800805", "공시열람")</f>
        <v/>
      </c>
    </row>
    <row r="3445">
      <c r="A3445" t="inlineStr">
        <is>
          <t>2025-02-20</t>
        </is>
      </c>
      <c r="B3445" t="inlineStr">
        <is>
          <t>한화생명</t>
        </is>
      </c>
      <c r="C3445" t="inlineStr">
        <is>
          <t>088350</t>
        </is>
      </c>
      <c r="D3445" t="inlineStr">
        <is>
          <t>별도</t>
        </is>
      </c>
      <c r="E3445" t="inlineStr">
        <is>
          <t>2024Q4</t>
        </is>
      </c>
      <c r="F3445" s="2" t="n">
        <v>3730499</v>
      </c>
      <c r="G3445" t="n">
        <v>48.47</v>
      </c>
      <c r="H3445" t="n">
        <v>10.96</v>
      </c>
      <c r="I3445" s="2" t="n">
        <v>214085</v>
      </c>
      <c r="J3445" t="inlineStr"/>
      <c r="K3445" t="n">
        <v>4310.49</v>
      </c>
      <c r="L3445" s="2" t="n">
        <v>135965</v>
      </c>
      <c r="M3445" t="n">
        <v>254.36</v>
      </c>
      <c r="N3445" t="inlineStr">
        <is>
          <t>20250220800195</t>
        </is>
      </c>
      <c r="O3445">
        <f>HYPERLINK("https://dart.fss.or.kr/dsaf001/main.do?rcpNo=20250220800195", "공시열람")</f>
        <v/>
      </c>
    </row>
    <row r="3446">
      <c r="A3446" t="inlineStr">
        <is>
          <t>2025-02-20</t>
        </is>
      </c>
      <c r="B3446" t="inlineStr">
        <is>
          <t>쏘카</t>
        </is>
      </c>
      <c r="C3446" t="inlineStr">
        <is>
          <t>403550</t>
        </is>
      </c>
      <c r="D3446" t="inlineStr">
        <is>
          <t>연결</t>
        </is>
      </c>
      <c r="E3446" t="inlineStr">
        <is>
          <t>2024Q4</t>
        </is>
      </c>
      <c r="F3446" s="2" t="n">
        <v>122422</v>
      </c>
      <c r="G3446" t="n">
        <v>4.6</v>
      </c>
      <c r="H3446" t="n">
        <v>27.3</v>
      </c>
      <c r="I3446" s="2" t="n">
        <v>2963</v>
      </c>
      <c r="J3446" t="n">
        <v>-36.3</v>
      </c>
      <c r="K3446" t="inlineStr"/>
      <c r="L3446" s="2" t="n">
        <v>-3922</v>
      </c>
      <c r="M3446" t="n">
        <v>74.8</v>
      </c>
      <c r="N3446" t="inlineStr">
        <is>
          <t>20250220800356</t>
        </is>
      </c>
      <c r="O3446">
        <f>HYPERLINK("https://dart.fss.or.kr/dsaf001/main.do?rcpNo=20250220800356", "공시열람")</f>
        <v/>
      </c>
    </row>
    <row r="3447">
      <c r="A3447" t="inlineStr">
        <is>
          <t>2025-02-20</t>
        </is>
      </c>
      <c r="B3447" t="inlineStr">
        <is>
          <t>지역난방공사</t>
        </is>
      </c>
      <c r="C3447" t="inlineStr">
        <is>
          <t>071320</t>
        </is>
      </c>
      <c r="D3447" t="inlineStr">
        <is>
          <t>별도</t>
        </is>
      </c>
      <c r="E3447" t="inlineStr">
        <is>
          <t>2024Q4</t>
        </is>
      </c>
      <c r="F3447" s="2" t="inlineStr"/>
      <c r="G3447" t="inlineStr"/>
      <c r="H3447" t="inlineStr"/>
      <c r="I3447" s="2" t="inlineStr"/>
      <c r="J3447" t="inlineStr"/>
      <c r="K3447" t="inlineStr"/>
      <c r="L3447" s="2" t="inlineStr"/>
      <c r="M3447" t="inlineStr"/>
      <c r="N3447" t="inlineStr">
        <is>
          <t>20250220800569</t>
        </is>
      </c>
      <c r="O3447">
        <f>HYPERLINK("https://dart.fss.or.kr/dsaf001/main.do?rcpNo=20250220800569", "공시열람")</f>
        <v/>
      </c>
    </row>
    <row r="3448">
      <c r="A3448" t="inlineStr">
        <is>
          <t>2025-02-20</t>
        </is>
      </c>
      <c r="B3448" t="inlineStr">
        <is>
          <t>인바디</t>
        </is>
      </c>
      <c r="C3448" t="inlineStr">
        <is>
          <t>041830</t>
        </is>
      </c>
      <c r="D3448" t="inlineStr">
        <is>
          <t>연결</t>
        </is>
      </c>
      <c r="E3448" t="inlineStr">
        <is>
          <t>2024Q4</t>
        </is>
      </c>
      <c r="F3448" s="2" t="n">
        <v>55073</v>
      </c>
      <c r="G3448" t="inlineStr"/>
      <c r="H3448" t="inlineStr"/>
      <c r="I3448" s="2" t="n">
        <v>7501</v>
      </c>
      <c r="J3448" t="inlineStr"/>
      <c r="K3448" t="inlineStr"/>
      <c r="L3448" s="2" t="n">
        <v>8072</v>
      </c>
      <c r="M3448" t="inlineStr"/>
      <c r="N3448" t="inlineStr">
        <is>
          <t>20250220900330</t>
        </is>
      </c>
      <c r="O3448">
        <f>HYPERLINK("https://dart.fss.or.kr/dsaf001/main.do?rcpNo=20250220900330", "공시열람")</f>
        <v/>
      </c>
    </row>
    <row r="3449">
      <c r="A3449" t="inlineStr">
        <is>
          <t>2025-02-19</t>
        </is>
      </c>
      <c r="B3449" t="inlineStr">
        <is>
          <t>메리츠금융지주</t>
        </is>
      </c>
      <c r="C3449" t="inlineStr">
        <is>
          <t>138040</t>
        </is>
      </c>
      <c r="D3449" t="inlineStr">
        <is>
          <t>연결</t>
        </is>
      </c>
      <c r="E3449" t="inlineStr">
        <is>
          <t>2024Q4</t>
        </is>
      </c>
      <c r="F3449" s="2" t="n">
        <v>11881009</v>
      </c>
      <c r="G3449" t="n">
        <v>8.9</v>
      </c>
      <c r="H3449" t="n">
        <v>-21.9</v>
      </c>
      <c r="I3449" s="2" t="n">
        <v>510969</v>
      </c>
      <c r="J3449" t="n">
        <v>-43.3</v>
      </c>
      <c r="K3449" t="n">
        <v>-8.4</v>
      </c>
      <c r="L3449" s="2" t="n">
        <v>349940</v>
      </c>
      <c r="M3449" t="n">
        <v>-4.1</v>
      </c>
      <c r="N3449" t="inlineStr">
        <is>
          <t>20250219800592</t>
        </is>
      </c>
      <c r="O3449">
        <f>HYPERLINK("https://dart.fss.or.kr/dsaf001/main.do?rcpNo=20250219800592", "공시열람")</f>
        <v/>
      </c>
    </row>
    <row r="3450">
      <c r="A3450" t="inlineStr">
        <is>
          <t>2025-02-19</t>
        </is>
      </c>
      <c r="B3450" t="inlineStr">
        <is>
          <t>메리츠금융지주</t>
        </is>
      </c>
      <c r="C3450" t="inlineStr">
        <is>
          <t>138040</t>
        </is>
      </c>
      <c r="D3450" t="inlineStr">
        <is>
          <t>별도</t>
        </is>
      </c>
      <c r="E3450" t="inlineStr">
        <is>
          <t>2024Q4</t>
        </is>
      </c>
      <c r="F3450" s="2" t="n">
        <v>3002616</v>
      </c>
      <c r="G3450" t="n">
        <v>7.3</v>
      </c>
      <c r="H3450" t="n">
        <v>9.9</v>
      </c>
      <c r="I3450" s="2" t="n">
        <v>291142</v>
      </c>
      <c r="J3450" t="n">
        <v>-56.4</v>
      </c>
      <c r="K3450" t="n">
        <v>-19.9</v>
      </c>
      <c r="L3450" s="2" t="n">
        <v>217765</v>
      </c>
      <c r="M3450" t="n">
        <v>-19.6</v>
      </c>
      <c r="N3450" t="inlineStr">
        <is>
          <t>20250219800564</t>
        </is>
      </c>
      <c r="O3450">
        <f>HYPERLINK("https://dart.fss.or.kr/dsaf001/main.do?rcpNo=20250219800564", "공시열람")</f>
        <v/>
      </c>
    </row>
    <row r="3451">
      <c r="A3451" t="inlineStr">
        <is>
          <t>2025-02-19</t>
        </is>
      </c>
      <c r="B3451" t="inlineStr">
        <is>
          <t>롯데하이마트</t>
        </is>
      </c>
      <c r="C3451" t="inlineStr">
        <is>
          <t>071840</t>
        </is>
      </c>
      <c r="D3451" t="inlineStr">
        <is>
          <t>별도</t>
        </is>
      </c>
      <c r="E3451" t="inlineStr">
        <is>
          <t>2024Q4</t>
        </is>
      </c>
      <c r="F3451" s="2" t="n">
        <v>556365</v>
      </c>
      <c r="G3451" t="n">
        <v>-18.9</v>
      </c>
      <c r="H3451" t="n">
        <v>-3.8</v>
      </c>
      <c r="I3451" s="2" t="n">
        <v>-16252</v>
      </c>
      <c r="J3451" t="inlineStr"/>
      <c r="K3451" t="n">
        <v>-62</v>
      </c>
      <c r="L3451" s="2" t="n">
        <v>-314039</v>
      </c>
      <c r="M3451" t="n">
        <v>-574.9</v>
      </c>
      <c r="N3451" t="inlineStr">
        <is>
          <t>20250219800651</t>
        </is>
      </c>
      <c r="O3451">
        <f>HYPERLINK("https://dart.fss.or.kr/dsaf001/main.do?rcpNo=20250219800651", "공시열람")</f>
        <v/>
      </c>
    </row>
    <row r="3452">
      <c r="A3452" t="inlineStr">
        <is>
          <t>2025-02-19</t>
        </is>
      </c>
      <c r="B3452" t="inlineStr">
        <is>
          <t>메리츠금융지주</t>
        </is>
      </c>
      <c r="C3452" t="inlineStr">
        <is>
          <t>138040</t>
        </is>
      </c>
      <c r="D3452" t="inlineStr">
        <is>
          <t>연결</t>
        </is>
      </c>
      <c r="E3452" t="inlineStr">
        <is>
          <t>2024Q4</t>
        </is>
      </c>
      <c r="F3452" s="2" t="n">
        <v>9272463</v>
      </c>
      <c r="G3452" t="n">
        <v>13.36</v>
      </c>
      <c r="H3452" t="n">
        <v>-30.18</v>
      </c>
      <c r="I3452" s="2" t="n">
        <v>310120</v>
      </c>
      <c r="J3452" t="n">
        <v>27.65</v>
      </c>
      <c r="K3452" t="n">
        <v>12.18</v>
      </c>
      <c r="L3452" s="2" t="n">
        <v>150813</v>
      </c>
      <c r="M3452" t="n">
        <v>35.89</v>
      </c>
      <c r="N3452" t="inlineStr">
        <is>
          <t>20250219800582</t>
        </is>
      </c>
      <c r="O3452">
        <f>HYPERLINK("https://dart.fss.or.kr/dsaf001/main.do?rcpNo=20250219800582", "공시열람")</f>
        <v/>
      </c>
    </row>
    <row r="3453">
      <c r="A3453" t="inlineStr">
        <is>
          <t>2025-02-18</t>
        </is>
      </c>
      <c r="B3453" t="inlineStr">
        <is>
          <t>유진테크</t>
        </is>
      </c>
      <c r="C3453" t="inlineStr">
        <is>
          <t>084370</t>
        </is>
      </c>
      <c r="D3453" t="inlineStr">
        <is>
          <t>연결</t>
        </is>
      </c>
      <c r="E3453" t="inlineStr">
        <is>
          <t>2024Q4</t>
        </is>
      </c>
      <c r="F3453" s="2" t="n">
        <v>338068</v>
      </c>
      <c r="G3453" t="inlineStr"/>
      <c r="H3453" t="inlineStr"/>
      <c r="I3453" s="2" t="n">
        <v>61177</v>
      </c>
      <c r="J3453" t="inlineStr"/>
      <c r="K3453" t="inlineStr"/>
      <c r="L3453" s="2" t="n">
        <v>65440</v>
      </c>
      <c r="M3453" t="inlineStr"/>
      <c r="N3453" t="inlineStr">
        <is>
          <t>20250218900690</t>
        </is>
      </c>
      <c r="O3453">
        <f>HYPERLINK("https://dart.fss.or.kr/dsaf001/main.do?rcpNo=20250218900690", "공시열람")</f>
        <v/>
      </c>
    </row>
    <row r="3454">
      <c r="A3454" t="inlineStr">
        <is>
          <t>2025-02-18</t>
        </is>
      </c>
      <c r="B3454" t="inlineStr">
        <is>
          <t>HD한국조선해양</t>
        </is>
      </c>
      <c r="C3454" t="inlineStr">
        <is>
          <t>009540</t>
        </is>
      </c>
      <c r="D3454" t="inlineStr">
        <is>
          <t>별도</t>
        </is>
      </c>
      <c r="E3454" t="inlineStr">
        <is>
          <t>2024Q4</t>
        </is>
      </c>
      <c r="F3454" s="2" t="n">
        <v>603856</v>
      </c>
      <c r="G3454" t="n">
        <v>-8.48</v>
      </c>
      <c r="H3454" t="n">
        <v>4.22</v>
      </c>
      <c r="I3454" s="2" t="inlineStr"/>
      <c r="J3454" t="inlineStr"/>
      <c r="K3454" t="inlineStr"/>
      <c r="L3454" s="2" t="inlineStr"/>
      <c r="M3454" t="inlineStr"/>
      <c r="N3454" t="inlineStr">
        <is>
          <t>20250218800661</t>
        </is>
      </c>
      <c r="O3454">
        <f>HYPERLINK("https://dart.fss.or.kr/dsaf001/main.do?rcpNo=20250218800661", "공시열람")</f>
        <v/>
      </c>
    </row>
    <row r="3455">
      <c r="A3455" t="inlineStr">
        <is>
          <t>2025-02-18</t>
        </is>
      </c>
      <c r="B3455" t="inlineStr">
        <is>
          <t>HD현대중공업</t>
        </is>
      </c>
      <c r="C3455" t="inlineStr">
        <is>
          <t>329180</t>
        </is>
      </c>
      <c r="D3455" t="inlineStr">
        <is>
          <t>별도</t>
        </is>
      </c>
      <c r="E3455" t="inlineStr">
        <is>
          <t>2024Q4</t>
        </is>
      </c>
      <c r="F3455" s="2" t="n">
        <v>1207238</v>
      </c>
      <c r="G3455" t="n">
        <v>-9.56</v>
      </c>
      <c r="H3455" t="n">
        <v>37.57</v>
      </c>
      <c r="I3455" s="2" t="inlineStr"/>
      <c r="J3455" t="inlineStr"/>
      <c r="K3455" t="inlineStr"/>
      <c r="L3455" s="2" t="inlineStr"/>
      <c r="M3455" t="inlineStr"/>
      <c r="N3455" t="inlineStr">
        <is>
          <t>20250218800607</t>
        </is>
      </c>
      <c r="O3455">
        <f>HYPERLINK("https://dart.fss.or.kr/dsaf001/main.do?rcpNo=20250218800607", "공시열람")</f>
        <v/>
      </c>
    </row>
    <row r="3456">
      <c r="A3456" t="inlineStr">
        <is>
          <t>2025-02-18</t>
        </is>
      </c>
      <c r="B3456" t="inlineStr">
        <is>
          <t>파수AI</t>
        </is>
      </c>
      <c r="C3456" t="inlineStr">
        <is>
          <t>150900</t>
        </is>
      </c>
      <c r="D3456" t="inlineStr">
        <is>
          <t>연결</t>
        </is>
      </c>
      <c r="E3456" t="inlineStr">
        <is>
          <t>2024Q4</t>
        </is>
      </c>
      <c r="F3456" s="2" t="n">
        <v>16881</v>
      </c>
      <c r="G3456" t="inlineStr"/>
      <c r="H3456" t="inlineStr"/>
      <c r="I3456" s="2" t="n">
        <v>5293</v>
      </c>
      <c r="J3456" t="inlineStr"/>
      <c r="K3456" t="inlineStr"/>
      <c r="L3456" s="2" t="n">
        <v>5877</v>
      </c>
      <c r="M3456" t="inlineStr"/>
      <c r="N3456" t="inlineStr">
        <is>
          <t>20250218900745</t>
        </is>
      </c>
      <c r="O3456">
        <f>HYPERLINK("https://dart.fss.or.kr/dsaf001/main.do?rcpNo=20250218900745", "공시열람")</f>
        <v/>
      </c>
    </row>
    <row r="3457">
      <c r="A3457" t="inlineStr">
        <is>
          <t>2025-02-17</t>
        </is>
      </c>
      <c r="B3457" t="inlineStr">
        <is>
          <t>아비코전자</t>
        </is>
      </c>
      <c r="C3457" t="inlineStr">
        <is>
          <t>036010</t>
        </is>
      </c>
      <c r="D3457" t="inlineStr">
        <is>
          <t>연결</t>
        </is>
      </c>
      <c r="E3457" t="inlineStr">
        <is>
          <t>2024Q4</t>
        </is>
      </c>
      <c r="F3457" s="2" t="n">
        <v>29270</v>
      </c>
      <c r="G3457" t="inlineStr"/>
      <c r="H3457" t="inlineStr"/>
      <c r="I3457" s="2" t="n">
        <v>-1339</v>
      </c>
      <c r="J3457" t="inlineStr"/>
      <c r="K3457" t="inlineStr"/>
      <c r="L3457" s="2" t="n">
        <v>-2509</v>
      </c>
      <c r="M3457" t="inlineStr"/>
      <c r="N3457" t="inlineStr">
        <is>
          <t>20250217900597</t>
        </is>
      </c>
      <c r="O3457">
        <f>HYPERLINK("https://dart.fss.or.kr/dsaf001/main.do?rcpNo=20250217900597", "공시열람")</f>
        <v/>
      </c>
    </row>
    <row r="3458">
      <c r="A3458" t="inlineStr">
        <is>
          <t>2025-02-17</t>
        </is>
      </c>
      <c r="B3458" t="inlineStr">
        <is>
          <t>환인제약</t>
        </is>
      </c>
      <c r="C3458" t="inlineStr">
        <is>
          <t>016580</t>
        </is>
      </c>
      <c r="D3458" t="inlineStr">
        <is>
          <t>연결</t>
        </is>
      </c>
      <c r="E3458" t="inlineStr">
        <is>
          <t>2024Q4</t>
        </is>
      </c>
      <c r="F3458" s="2" t="n">
        <v>66253</v>
      </c>
      <c r="G3458" t="inlineStr"/>
      <c r="H3458" t="inlineStr"/>
      <c r="I3458" s="2" t="n">
        <v>1772</v>
      </c>
      <c r="J3458" t="inlineStr"/>
      <c r="K3458" t="inlineStr"/>
      <c r="L3458" s="2" t="n">
        <v>4263</v>
      </c>
      <c r="M3458" t="inlineStr"/>
      <c r="N3458" t="inlineStr">
        <is>
          <t>20250217800620</t>
        </is>
      </c>
      <c r="O3458">
        <f>HYPERLINK("https://dart.fss.or.kr/dsaf001/main.do?rcpNo=20250217800620", "공시열람")</f>
        <v/>
      </c>
    </row>
    <row r="3459">
      <c r="A3459" t="inlineStr">
        <is>
          <t>2025-02-17</t>
        </is>
      </c>
      <c r="B3459" t="inlineStr">
        <is>
          <t>바텍</t>
        </is>
      </c>
      <c r="C3459" t="inlineStr">
        <is>
          <t>043150</t>
        </is>
      </c>
      <c r="D3459" t="inlineStr">
        <is>
          <t>연결</t>
        </is>
      </c>
      <c r="E3459" t="inlineStr">
        <is>
          <t>2024Q4</t>
        </is>
      </c>
      <c r="F3459" s="2" t="n">
        <v>101707</v>
      </c>
      <c r="G3459" t="inlineStr"/>
      <c r="H3459" t="inlineStr"/>
      <c r="I3459" s="2" t="n">
        <v>10285</v>
      </c>
      <c r="J3459" t="inlineStr"/>
      <c r="K3459" t="inlineStr"/>
      <c r="L3459" s="2" t="n">
        <v>15824</v>
      </c>
      <c r="M3459" t="inlineStr"/>
      <c r="N3459" t="inlineStr">
        <is>
          <t>20250217900842</t>
        </is>
      </c>
      <c r="O3459">
        <f>HYPERLINK("https://dart.fss.or.kr/dsaf001/main.do?rcpNo=20250217900842", "공시열람")</f>
        <v/>
      </c>
    </row>
    <row r="3460">
      <c r="A3460" t="inlineStr">
        <is>
          <t>2025-02-17</t>
        </is>
      </c>
      <c r="B3460" t="inlineStr">
        <is>
          <t>쿠콘</t>
        </is>
      </c>
      <c r="C3460" t="inlineStr">
        <is>
          <t>294570</t>
        </is>
      </c>
      <c r="D3460" t="inlineStr">
        <is>
          <t>별도</t>
        </is>
      </c>
      <c r="E3460" t="inlineStr">
        <is>
          <t>2024Q4</t>
        </is>
      </c>
      <c r="F3460" s="2" t="n">
        <v>17549</v>
      </c>
      <c r="G3460" t="inlineStr"/>
      <c r="H3460" t="inlineStr"/>
      <c r="I3460" s="2" t="n">
        <v>4291</v>
      </c>
      <c r="J3460" t="inlineStr"/>
      <c r="K3460" t="inlineStr"/>
      <c r="L3460" s="2" t="n">
        <v>9566</v>
      </c>
      <c r="M3460" t="inlineStr"/>
      <c r="N3460" t="inlineStr">
        <is>
          <t>20250217901103</t>
        </is>
      </c>
      <c r="O3460">
        <f>HYPERLINK("https://dart.fss.or.kr/dsaf001/main.do?rcpNo=20250217901103", "공시열람")</f>
        <v/>
      </c>
    </row>
    <row r="3461">
      <c r="A3461" t="inlineStr">
        <is>
          <t>2025-02-14</t>
        </is>
      </c>
      <c r="B3461" t="inlineStr">
        <is>
          <t>코웨이</t>
        </is>
      </c>
      <c r="C3461" t="inlineStr">
        <is>
          <t>021240</t>
        </is>
      </c>
      <c r="D3461" t="inlineStr">
        <is>
          <t>연결</t>
        </is>
      </c>
      <c r="E3461" t="inlineStr">
        <is>
          <t>2024Q4</t>
        </is>
      </c>
      <c r="F3461" s="2" t="n">
        <v>1125711</v>
      </c>
      <c r="G3461" t="inlineStr"/>
      <c r="H3461" t="inlineStr"/>
      <c r="I3461" s="2" t="n">
        <v>183383</v>
      </c>
      <c r="J3461" t="inlineStr"/>
      <c r="K3461" t="inlineStr"/>
      <c r="L3461" s="2" t="n">
        <v>104134</v>
      </c>
      <c r="M3461" t="inlineStr"/>
      <c r="N3461" t="inlineStr">
        <is>
          <t>20250214800229</t>
        </is>
      </c>
      <c r="O3461">
        <f>HYPERLINK("https://dart.fss.or.kr/dsaf001/main.do?rcpNo=20250214800229", "공시열람")</f>
        <v/>
      </c>
    </row>
    <row r="3462">
      <c r="A3462" t="inlineStr">
        <is>
          <t>2025-02-14</t>
        </is>
      </c>
      <c r="B3462" t="inlineStr">
        <is>
          <t>아이에스티이</t>
        </is>
      </c>
      <c r="C3462" t="inlineStr">
        <is>
          <t>212710</t>
        </is>
      </c>
      <c r="D3462" t="inlineStr">
        <is>
          <t>연결</t>
        </is>
      </c>
      <c r="E3462" t="inlineStr">
        <is>
          <t>2024Q4</t>
        </is>
      </c>
      <c r="F3462" s="2" t="n">
        <v>13270</v>
      </c>
      <c r="G3462" t="inlineStr"/>
      <c r="H3462" t="inlineStr"/>
      <c r="I3462" s="2" t="n">
        <v>153</v>
      </c>
      <c r="J3462" t="inlineStr"/>
      <c r="K3462" t="inlineStr"/>
      <c r="L3462" s="2" t="n">
        <v>118</v>
      </c>
      <c r="M3462" t="inlineStr"/>
      <c r="N3462" t="inlineStr">
        <is>
          <t>20250214901347</t>
        </is>
      </c>
      <c r="O3462">
        <f>HYPERLINK("https://dart.fss.or.kr/dsaf001/main.do?rcpNo=20250214901347", "공시열람")</f>
        <v/>
      </c>
    </row>
    <row r="3463">
      <c r="A3463" t="inlineStr">
        <is>
          <t>2025-02-14</t>
        </is>
      </c>
      <c r="B3463" t="inlineStr">
        <is>
          <t>우진아이엔에스</t>
        </is>
      </c>
      <c r="C3463" t="inlineStr">
        <is>
          <t>010400</t>
        </is>
      </c>
      <c r="D3463" t="inlineStr">
        <is>
          <t>별도</t>
        </is>
      </c>
      <c r="E3463" t="inlineStr">
        <is>
          <t>2024Q4</t>
        </is>
      </c>
      <c r="F3463" s="2" t="n">
        <v>33671</v>
      </c>
      <c r="G3463" t="n">
        <v>-17.37</v>
      </c>
      <c r="H3463" t="n">
        <v>25.12</v>
      </c>
      <c r="I3463" s="2" t="n">
        <v>-11943</v>
      </c>
      <c r="J3463" t="n">
        <v>-3715.65</v>
      </c>
      <c r="K3463" t="n">
        <v>-6843.6</v>
      </c>
      <c r="L3463" s="2" t="n">
        <v>-16111</v>
      </c>
      <c r="M3463" t="inlineStr"/>
      <c r="N3463" t="inlineStr">
        <is>
          <t>20250214800742</t>
        </is>
      </c>
      <c r="O3463">
        <f>HYPERLINK("https://dart.fss.or.kr/dsaf001/main.do?rcpNo=20250214800742", "공시열람")</f>
        <v/>
      </c>
    </row>
    <row r="3464">
      <c r="A3464" t="inlineStr">
        <is>
          <t>2025-02-14</t>
        </is>
      </c>
      <c r="B3464" t="inlineStr">
        <is>
          <t>씨앤씨인터내셔널</t>
        </is>
      </c>
      <c r="C3464" t="inlineStr">
        <is>
          <t>352480</t>
        </is>
      </c>
      <c r="D3464" t="inlineStr">
        <is>
          <t>연결</t>
        </is>
      </c>
      <c r="E3464" t="inlineStr">
        <is>
          <t>2024Q4</t>
        </is>
      </c>
      <c r="F3464" s="2" t="n">
        <v>56271</v>
      </c>
      <c r="G3464" t="inlineStr"/>
      <c r="H3464" t="inlineStr"/>
      <c r="I3464" s="2" t="n">
        <v>26</v>
      </c>
      <c r="J3464" t="inlineStr"/>
      <c r="K3464" t="inlineStr"/>
      <c r="L3464" s="2" t="n">
        <v>3940</v>
      </c>
      <c r="M3464" t="inlineStr"/>
      <c r="N3464" t="inlineStr">
        <is>
          <t>20250214900419</t>
        </is>
      </c>
      <c r="O3464">
        <f>HYPERLINK("https://dart.fss.or.kr/dsaf001/main.do?rcpNo=20250214900419", "공시열람")</f>
        <v/>
      </c>
    </row>
    <row r="3465">
      <c r="A3465" t="inlineStr">
        <is>
          <t>2025-02-14</t>
        </is>
      </c>
      <c r="B3465" t="inlineStr">
        <is>
          <t>LIG디펜스앤에어로스페이스</t>
        </is>
      </c>
      <c r="C3465" t="inlineStr">
        <is>
          <t>079550</t>
        </is>
      </c>
      <c r="D3465" t="inlineStr">
        <is>
          <t>연결</t>
        </is>
      </c>
      <c r="E3465" t="inlineStr">
        <is>
          <t>2024Q4</t>
        </is>
      </c>
      <c r="F3465" s="2" t="n">
        <v>1168600</v>
      </c>
      <c r="G3465" t="n">
        <v>57.9</v>
      </c>
      <c r="H3465" t="n">
        <v>71.8</v>
      </c>
      <c r="I3465" s="2" t="n">
        <v>62700</v>
      </c>
      <c r="J3465" t="n">
        <v>20.7</v>
      </c>
      <c r="K3465" t="n">
        <v>69.90000000000001</v>
      </c>
      <c r="L3465" s="2" t="n">
        <v>70700</v>
      </c>
      <c r="M3465" t="n">
        <v>41.9</v>
      </c>
      <c r="N3465" t="inlineStr">
        <is>
          <t>20250214800410</t>
        </is>
      </c>
      <c r="O3465">
        <f>HYPERLINK("https://dart.fss.or.kr/dsaf001/main.do?rcpNo=20250214800410", "공시열람")</f>
        <v/>
      </c>
    </row>
    <row r="3466">
      <c r="A3466" t="inlineStr">
        <is>
          <t>2025-02-14</t>
        </is>
      </c>
      <c r="B3466" t="inlineStr">
        <is>
          <t>세이브존I&amp;C</t>
        </is>
      </c>
      <c r="C3466" t="inlineStr">
        <is>
          <t>067830</t>
        </is>
      </c>
      <c r="D3466" t="inlineStr">
        <is>
          <t>별도</t>
        </is>
      </c>
      <c r="E3466" t="inlineStr">
        <is>
          <t>2024Q4</t>
        </is>
      </c>
      <c r="F3466" s="2" t="n">
        <v>29404</v>
      </c>
      <c r="G3466" t="inlineStr"/>
      <c r="H3466" t="inlineStr"/>
      <c r="I3466" s="2" t="n">
        <v>1522</v>
      </c>
      <c r="J3466" t="inlineStr"/>
      <c r="K3466" t="inlineStr"/>
      <c r="L3466" s="2" t="n">
        <v>3189</v>
      </c>
      <c r="M3466" t="inlineStr"/>
      <c r="N3466" t="inlineStr">
        <is>
          <t>20250214801253</t>
        </is>
      </c>
      <c r="O3466">
        <f>HYPERLINK("https://dart.fss.or.kr/dsaf001/main.do?rcpNo=20250214801253", "공시열람")</f>
        <v/>
      </c>
    </row>
    <row r="3467">
      <c r="A3467" t="inlineStr">
        <is>
          <t>2025-02-14</t>
        </is>
      </c>
      <c r="B3467" t="inlineStr">
        <is>
          <t>한국가스공사</t>
        </is>
      </c>
      <c r="C3467" t="inlineStr">
        <is>
          <t>036460</t>
        </is>
      </c>
      <c r="D3467" t="inlineStr">
        <is>
          <t>별도</t>
        </is>
      </c>
      <c r="E3467" t="inlineStr">
        <is>
          <t>2024Q4</t>
        </is>
      </c>
      <c r="F3467" s="2" t="inlineStr"/>
      <c r="G3467" t="inlineStr"/>
      <c r="H3467" t="inlineStr"/>
      <c r="I3467" s="2" t="inlineStr"/>
      <c r="J3467" t="inlineStr"/>
      <c r="K3467" t="inlineStr"/>
      <c r="L3467" s="2" t="inlineStr"/>
      <c r="M3467" t="inlineStr"/>
      <c r="N3467" t="inlineStr">
        <is>
          <t>20250214800134</t>
        </is>
      </c>
      <c r="O3467">
        <f>HYPERLINK("https://dart.fss.or.kr/dsaf001/main.do?rcpNo=20250214800134", "공시열람")</f>
        <v/>
      </c>
    </row>
    <row r="3468">
      <c r="A3468" t="inlineStr">
        <is>
          <t>2025-02-14</t>
        </is>
      </c>
      <c r="B3468" t="inlineStr">
        <is>
          <t>키다리스튜디오</t>
        </is>
      </c>
      <c r="C3468" t="inlineStr">
        <is>
          <t>020120</t>
        </is>
      </c>
      <c r="D3468" t="inlineStr">
        <is>
          <t>연결</t>
        </is>
      </c>
      <c r="E3468" t="inlineStr">
        <is>
          <t>2024Q4</t>
        </is>
      </c>
      <c r="F3468" s="2" t="n">
        <v>55810</v>
      </c>
      <c r="G3468" t="n">
        <v>11.03</v>
      </c>
      <c r="H3468" t="n">
        <v>21.25</v>
      </c>
      <c r="I3468" s="2" t="n">
        <v>406</v>
      </c>
      <c r="J3468" t="n">
        <v>-24.72</v>
      </c>
      <c r="K3468" t="n">
        <v>79.18000000000001</v>
      </c>
      <c r="L3468" s="2" t="n">
        <v>-5168</v>
      </c>
      <c r="M3468" t="n">
        <v>82.62</v>
      </c>
      <c r="N3468" t="inlineStr">
        <is>
          <t>20250214801044</t>
        </is>
      </c>
      <c r="O3468">
        <f>HYPERLINK("https://dart.fss.or.kr/dsaf001/main.do?rcpNo=20250214801044", "공시열람")</f>
        <v/>
      </c>
    </row>
    <row r="3469">
      <c r="A3469" t="inlineStr">
        <is>
          <t>2025-02-14</t>
        </is>
      </c>
      <c r="B3469" t="inlineStr">
        <is>
          <t>SFA</t>
        </is>
      </c>
      <c r="C3469" t="inlineStr">
        <is>
          <t>056190</t>
        </is>
      </c>
      <c r="D3469" t="inlineStr">
        <is>
          <t>연결</t>
        </is>
      </c>
      <c r="E3469" t="inlineStr">
        <is>
          <t>2024Q4</t>
        </is>
      </c>
      <c r="F3469" s="2" t="n">
        <v>475108</v>
      </c>
      <c r="G3469" t="inlineStr"/>
      <c r="H3469" t="inlineStr"/>
      <c r="I3469" s="2" t="n">
        <v>-9758</v>
      </c>
      <c r="J3469" t="inlineStr"/>
      <c r="K3469" t="inlineStr"/>
      <c r="L3469" s="2" t="n">
        <v>-17699</v>
      </c>
      <c r="M3469" t="inlineStr"/>
      <c r="N3469" t="inlineStr">
        <is>
          <t>20250214900956</t>
        </is>
      </c>
      <c r="O3469">
        <f>HYPERLINK("https://dart.fss.or.kr/dsaf001/main.do?rcpNo=20250214900956", "공시열람")</f>
        <v/>
      </c>
    </row>
    <row r="3470">
      <c r="A3470" t="inlineStr">
        <is>
          <t>2025-02-14</t>
        </is>
      </c>
      <c r="B3470" t="inlineStr">
        <is>
          <t>현대지에프홀딩스</t>
        </is>
      </c>
      <c r="C3470" t="inlineStr">
        <is>
          <t>005440</t>
        </is>
      </c>
      <c r="D3470" t="inlineStr">
        <is>
          <t>연결</t>
        </is>
      </c>
      <c r="E3470" t="inlineStr">
        <is>
          <t>2024Q4</t>
        </is>
      </c>
      <c r="F3470" s="2" t="n">
        <v>2148000</v>
      </c>
      <c r="G3470" t="n">
        <v>6.8</v>
      </c>
      <c r="H3470" t="n">
        <v>95.7</v>
      </c>
      <c r="I3470" s="2" t="n">
        <v>20300</v>
      </c>
      <c r="J3470" t="n">
        <v>-69.5</v>
      </c>
      <c r="K3470" t="inlineStr"/>
      <c r="L3470" s="2" t="n">
        <v>160100</v>
      </c>
      <c r="M3470" t="n">
        <v>24.5</v>
      </c>
      <c r="N3470" t="inlineStr">
        <is>
          <t>20250214800339</t>
        </is>
      </c>
      <c r="O3470">
        <f>HYPERLINK("https://dart.fss.or.kr/dsaf001/main.do?rcpNo=20250214800339", "공시열람")</f>
        <v/>
      </c>
    </row>
    <row r="3471">
      <c r="A3471" t="inlineStr">
        <is>
          <t>2025-02-14</t>
        </is>
      </c>
      <c r="B3471" t="inlineStr">
        <is>
          <t>서울반도체</t>
        </is>
      </c>
      <c r="C3471" t="inlineStr">
        <is>
          <t>046890</t>
        </is>
      </c>
      <c r="D3471" t="inlineStr">
        <is>
          <t>연결</t>
        </is>
      </c>
      <c r="E3471" t="inlineStr">
        <is>
          <t>2024Q4</t>
        </is>
      </c>
      <c r="F3471" s="2" t="n">
        <v>268410</v>
      </c>
      <c r="G3471" t="inlineStr"/>
      <c r="H3471" t="inlineStr"/>
      <c r="I3471" s="2" t="n">
        <v>-2089</v>
      </c>
      <c r="J3471" t="inlineStr"/>
      <c r="K3471" t="inlineStr"/>
      <c r="L3471" s="2" t="n">
        <v>14478</v>
      </c>
      <c r="M3471" t="inlineStr"/>
      <c r="N3471" t="inlineStr">
        <is>
          <t>20250214900812</t>
        </is>
      </c>
      <c r="O3471">
        <f>HYPERLINK("https://dart.fss.or.kr/dsaf001/main.do?rcpNo=20250214900812", "공시열람")</f>
        <v/>
      </c>
    </row>
    <row r="3472">
      <c r="A3472" t="inlineStr">
        <is>
          <t>2025-02-14</t>
        </is>
      </c>
      <c r="B3472" t="inlineStr">
        <is>
          <t>흥국에프엔비</t>
        </is>
      </c>
      <c r="C3472" t="inlineStr">
        <is>
          <t>189980</t>
        </is>
      </c>
      <c r="D3472" t="inlineStr">
        <is>
          <t>연결</t>
        </is>
      </c>
      <c r="E3472" t="inlineStr">
        <is>
          <t>2024Q4</t>
        </is>
      </c>
      <c r="F3472" s="2" t="n">
        <v>25096</v>
      </c>
      <c r="G3472" t="inlineStr"/>
      <c r="H3472" t="inlineStr"/>
      <c r="I3472" s="2" t="n">
        <v>2072</v>
      </c>
      <c r="J3472" t="inlineStr"/>
      <c r="K3472" t="inlineStr"/>
      <c r="L3472" s="2" t="n">
        <v>-171</v>
      </c>
      <c r="M3472" t="inlineStr"/>
      <c r="N3472" t="inlineStr">
        <is>
          <t>20250214900320</t>
        </is>
      </c>
      <c r="O3472">
        <f>HYPERLINK("https://dart.fss.or.kr/dsaf001/main.do?rcpNo=20250214900320", "공시열람")</f>
        <v/>
      </c>
    </row>
    <row r="3473">
      <c r="A3473" t="inlineStr">
        <is>
          <t>2025-02-14</t>
        </is>
      </c>
      <c r="B3473" t="inlineStr">
        <is>
          <t>탑런토탈솔루션</t>
        </is>
      </c>
      <c r="C3473" t="inlineStr">
        <is>
          <t>336680</t>
        </is>
      </c>
      <c r="D3473" t="inlineStr">
        <is>
          <t>연결</t>
        </is>
      </c>
      <c r="E3473" t="inlineStr">
        <is>
          <t>2024Q4</t>
        </is>
      </c>
      <c r="F3473" s="2" t="n">
        <v>520208</v>
      </c>
      <c r="G3473" t="inlineStr"/>
      <c r="H3473" t="inlineStr"/>
      <c r="I3473" s="2" t="n">
        <v>26090</v>
      </c>
      <c r="J3473" t="inlineStr"/>
      <c r="K3473" t="inlineStr"/>
      <c r="L3473" s="2" t="n">
        <v>17919</v>
      </c>
      <c r="M3473" t="inlineStr"/>
      <c r="N3473" t="inlineStr">
        <is>
          <t>20250214900221</t>
        </is>
      </c>
      <c r="O3473">
        <f>HYPERLINK("https://dart.fss.or.kr/dsaf001/main.do?rcpNo=20250214900221", "공시열람")</f>
        <v/>
      </c>
    </row>
    <row r="3474">
      <c r="A3474" t="inlineStr">
        <is>
          <t>2025-02-14</t>
        </is>
      </c>
      <c r="B3474" t="inlineStr">
        <is>
          <t>픽셀플러스</t>
        </is>
      </c>
      <c r="C3474" t="inlineStr">
        <is>
          <t>087600</t>
        </is>
      </c>
      <c r="D3474" t="inlineStr">
        <is>
          <t>별도</t>
        </is>
      </c>
      <c r="E3474" t="inlineStr">
        <is>
          <t>2024Q4</t>
        </is>
      </c>
      <c r="F3474" s="2" t="n">
        <v>12587</v>
      </c>
      <c r="G3474" t="inlineStr"/>
      <c r="H3474" t="inlineStr"/>
      <c r="I3474" s="2" t="n">
        <v>958</v>
      </c>
      <c r="J3474" t="inlineStr"/>
      <c r="K3474" t="inlineStr"/>
      <c r="L3474" s="2" t="n">
        <v>1942</v>
      </c>
      <c r="M3474" t="inlineStr"/>
      <c r="N3474" t="inlineStr">
        <is>
          <t>20250214900913</t>
        </is>
      </c>
      <c r="O3474">
        <f>HYPERLINK("https://dart.fss.or.kr/dsaf001/main.do?rcpNo=20250214900913", "공시열람")</f>
        <v/>
      </c>
    </row>
    <row r="3475">
      <c r="A3475" t="inlineStr">
        <is>
          <t>2025-02-14</t>
        </is>
      </c>
      <c r="B3475" t="inlineStr">
        <is>
          <t>SFA</t>
        </is>
      </c>
      <c r="C3475" t="inlineStr">
        <is>
          <t>056190</t>
        </is>
      </c>
      <c r="D3475" t="inlineStr">
        <is>
          <t>별도</t>
        </is>
      </c>
      <c r="E3475" t="inlineStr">
        <is>
          <t>2024Q4</t>
        </is>
      </c>
      <c r="F3475" s="2" t="n">
        <v>211446</v>
      </c>
      <c r="G3475" t="inlineStr"/>
      <c r="H3475" t="inlineStr"/>
      <c r="I3475" s="2" t="n">
        <v>-18041</v>
      </c>
      <c r="J3475" t="inlineStr"/>
      <c r="K3475" t="inlineStr"/>
      <c r="L3475" s="2" t="n">
        <v>-28472</v>
      </c>
      <c r="M3475" t="inlineStr"/>
      <c r="N3475" t="inlineStr">
        <is>
          <t>20250214900951</t>
        </is>
      </c>
      <c r="O3475">
        <f>HYPERLINK("https://dart.fss.or.kr/dsaf001/main.do?rcpNo=20250214900951", "공시열람")</f>
        <v/>
      </c>
    </row>
    <row r="3476">
      <c r="A3476" t="inlineStr">
        <is>
          <t>2025-02-14</t>
        </is>
      </c>
      <c r="B3476" t="inlineStr">
        <is>
          <t>우진아이엔에스</t>
        </is>
      </c>
      <c r="C3476" t="inlineStr">
        <is>
          <t>010400</t>
        </is>
      </c>
      <c r="D3476" t="inlineStr">
        <is>
          <t>연결</t>
        </is>
      </c>
      <c r="E3476" t="inlineStr">
        <is>
          <t>2024Q4</t>
        </is>
      </c>
      <c r="F3476" s="2" t="n">
        <v>33671</v>
      </c>
      <c r="G3476" t="n">
        <v>-17.37</v>
      </c>
      <c r="H3476" t="n">
        <v>25.12</v>
      </c>
      <c r="I3476" s="2" t="n">
        <v>-11943</v>
      </c>
      <c r="J3476" t="n">
        <v>-3703.5</v>
      </c>
      <c r="K3476" t="n">
        <v>-6535</v>
      </c>
      <c r="L3476" s="2" t="n">
        <v>-16111</v>
      </c>
      <c r="M3476" t="inlineStr"/>
      <c r="N3476" t="inlineStr">
        <is>
          <t>20250214800749</t>
        </is>
      </c>
      <c r="O3476">
        <f>HYPERLINK("https://dart.fss.or.kr/dsaf001/main.do?rcpNo=20250214800749", "공시열람")</f>
        <v/>
      </c>
    </row>
    <row r="3477">
      <c r="A3477" t="inlineStr">
        <is>
          <t>2025-02-13</t>
        </is>
      </c>
      <c r="B3477" t="inlineStr">
        <is>
          <t>아이마켓코리아</t>
        </is>
      </c>
      <c r="C3477" t="inlineStr">
        <is>
          <t>122900</t>
        </is>
      </c>
      <c r="D3477" t="inlineStr">
        <is>
          <t>연결</t>
        </is>
      </c>
      <c r="E3477" t="inlineStr">
        <is>
          <t>2024Q4</t>
        </is>
      </c>
      <c r="F3477" s="2" t="n">
        <v>815747</v>
      </c>
      <c r="G3477" t="n">
        <v>4.03</v>
      </c>
      <c r="H3477" t="n">
        <v>-11.82</v>
      </c>
      <c r="I3477" s="2" t="n">
        <v>12414</v>
      </c>
      <c r="J3477" t="n">
        <v>25.96</v>
      </c>
      <c r="K3477" t="n">
        <v>6.18</v>
      </c>
      <c r="L3477" s="2" t="n">
        <v>10687</v>
      </c>
      <c r="M3477" t="n">
        <v>0.87</v>
      </c>
      <c r="N3477" t="inlineStr">
        <is>
          <t>20250213801136</t>
        </is>
      </c>
      <c r="O3477">
        <f>HYPERLINK("https://dart.fss.or.kr/dsaf001/main.do?rcpNo=20250213801136", "공시열람")</f>
        <v/>
      </c>
    </row>
    <row r="3478">
      <c r="A3478" t="inlineStr">
        <is>
          <t>2025-02-13</t>
        </is>
      </c>
      <c r="B3478" t="inlineStr">
        <is>
          <t>콘텐트리중앙</t>
        </is>
      </c>
      <c r="C3478" t="inlineStr">
        <is>
          <t>036420</t>
        </is>
      </c>
      <c r="D3478" t="inlineStr">
        <is>
          <t>연결</t>
        </is>
      </c>
      <c r="E3478" t="inlineStr">
        <is>
          <t>2024Q4</t>
        </is>
      </c>
      <c r="F3478" s="2" t="n">
        <v>203872</v>
      </c>
      <c r="G3478" t="inlineStr"/>
      <c r="H3478" t="inlineStr"/>
      <c r="I3478" s="2" t="n">
        <v>-16533</v>
      </c>
      <c r="J3478" t="inlineStr"/>
      <c r="K3478" t="inlineStr"/>
      <c r="L3478" s="2" t="n">
        <v>35677</v>
      </c>
      <c r="M3478" t="inlineStr"/>
      <c r="N3478" t="inlineStr">
        <is>
          <t>20250213800751</t>
        </is>
      </c>
      <c r="O3478">
        <f>HYPERLINK("https://dart.fss.or.kr/dsaf001/main.do?rcpNo=20250213800751", "공시열람")</f>
        <v/>
      </c>
    </row>
    <row r="3479">
      <c r="A3479" t="inlineStr">
        <is>
          <t>2025-02-13</t>
        </is>
      </c>
      <c r="B3479" t="inlineStr">
        <is>
          <t>카카오</t>
        </is>
      </c>
      <c r="C3479" t="inlineStr">
        <is>
          <t>035720</t>
        </is>
      </c>
      <c r="D3479" t="inlineStr">
        <is>
          <t>연결</t>
        </is>
      </c>
      <c r="E3479" t="inlineStr">
        <is>
          <t>2024Q4</t>
        </is>
      </c>
      <c r="F3479" s="2" t="n">
        <v>1959135</v>
      </c>
      <c r="G3479" t="n">
        <v>2</v>
      </c>
      <c r="H3479" t="n">
        <v>-2</v>
      </c>
      <c r="I3479" s="2" t="n">
        <v>106694</v>
      </c>
      <c r="J3479" t="n">
        <v>-18.3</v>
      </c>
      <c r="K3479" t="n">
        <v>-33.7</v>
      </c>
      <c r="L3479" s="2" t="n">
        <v>-276942</v>
      </c>
      <c r="M3479" t="n">
        <v>85.59999999999999</v>
      </c>
      <c r="N3479" t="inlineStr">
        <is>
          <t>20250213800004</t>
        </is>
      </c>
      <c r="O3479">
        <f>HYPERLINK("https://dart.fss.or.kr/dsaf001/main.do?rcpNo=20250213800004", "공시열람")</f>
        <v/>
      </c>
    </row>
    <row r="3480">
      <c r="A3480" t="inlineStr">
        <is>
          <t>2025-02-13</t>
        </is>
      </c>
      <c r="B3480" t="inlineStr">
        <is>
          <t>카카오</t>
        </is>
      </c>
      <c r="C3480" t="inlineStr">
        <is>
          <t>035720</t>
        </is>
      </c>
      <c r="D3480" t="inlineStr">
        <is>
          <t>별도</t>
        </is>
      </c>
      <c r="E3480" t="inlineStr">
        <is>
          <t>2024Q4</t>
        </is>
      </c>
      <c r="F3480" s="2" t="n">
        <v>691557</v>
      </c>
      <c r="G3480" t="n">
        <v>11.8</v>
      </c>
      <c r="H3480" t="n">
        <v>4.7</v>
      </c>
      <c r="I3480" s="2" t="n">
        <v>127094</v>
      </c>
      <c r="J3480" t="n">
        <v>25</v>
      </c>
      <c r="K3480" t="n">
        <v>-27.6</v>
      </c>
      <c r="L3480" s="2" t="n">
        <v>-130698</v>
      </c>
      <c r="M3480" t="n">
        <v>33.2</v>
      </c>
      <c r="N3480" t="inlineStr">
        <is>
          <t>20250213800006</t>
        </is>
      </c>
      <c r="O3480">
        <f>HYPERLINK("https://dart.fss.or.kr/dsaf001/main.do?rcpNo=20250213800006", "공시열람")</f>
        <v/>
      </c>
    </row>
    <row r="3481">
      <c r="A3481" t="inlineStr">
        <is>
          <t>2025-02-13</t>
        </is>
      </c>
      <c r="B3481" t="inlineStr">
        <is>
          <t>컴투스</t>
        </is>
      </c>
      <c r="C3481" t="inlineStr">
        <is>
          <t>078340</t>
        </is>
      </c>
      <c r="D3481" t="inlineStr">
        <is>
          <t>연결</t>
        </is>
      </c>
      <c r="E3481" t="inlineStr">
        <is>
          <t>2024Q4</t>
        </is>
      </c>
      <c r="F3481" s="2" t="n">
        <v>189145</v>
      </c>
      <c r="G3481" t="inlineStr"/>
      <c r="H3481" t="inlineStr"/>
      <c r="I3481" s="2" t="n">
        <v>2596</v>
      </c>
      <c r="J3481" t="inlineStr"/>
      <c r="K3481" t="inlineStr"/>
      <c r="L3481" s="2" t="n">
        <v>-137324</v>
      </c>
      <c r="M3481" t="inlineStr"/>
      <c r="N3481" t="inlineStr">
        <is>
          <t>20250213900034</t>
        </is>
      </c>
      <c r="O3481">
        <f>HYPERLINK("https://dart.fss.or.kr/dsaf001/main.do?rcpNo=20250213900034", "공시열람")</f>
        <v/>
      </c>
    </row>
    <row r="3482">
      <c r="A3482" t="inlineStr">
        <is>
          <t>2025-02-13</t>
        </is>
      </c>
      <c r="B3482" t="inlineStr">
        <is>
          <t>클래시스</t>
        </is>
      </c>
      <c r="C3482" t="inlineStr">
        <is>
          <t>214150</t>
        </is>
      </c>
      <c r="D3482" t="inlineStr">
        <is>
          <t>연결</t>
        </is>
      </c>
      <c r="E3482" t="inlineStr">
        <is>
          <t>2024Q4</t>
        </is>
      </c>
      <c r="F3482" s="2" t="n">
        <v>74404</v>
      </c>
      <c r="G3482" t="inlineStr"/>
      <c r="H3482" t="inlineStr"/>
      <c r="I3482" s="2" t="n">
        <v>35808</v>
      </c>
      <c r="J3482" t="inlineStr"/>
      <c r="K3482" t="inlineStr"/>
      <c r="L3482" s="2" t="n">
        <v>28397</v>
      </c>
      <c r="M3482" t="inlineStr"/>
      <c r="N3482" t="inlineStr">
        <is>
          <t>20250213900181</t>
        </is>
      </c>
      <c r="O3482">
        <f>HYPERLINK("https://dart.fss.or.kr/dsaf001/main.do?rcpNo=20250213900181", "공시열람")</f>
        <v/>
      </c>
    </row>
    <row r="3483">
      <c r="A3483" t="inlineStr">
        <is>
          <t>2025-02-13</t>
        </is>
      </c>
      <c r="B3483" t="inlineStr">
        <is>
          <t>레드캡투어</t>
        </is>
      </c>
      <c r="C3483" t="inlineStr">
        <is>
          <t>038390</t>
        </is>
      </c>
      <c r="D3483" t="inlineStr">
        <is>
          <t>연결</t>
        </is>
      </c>
      <c r="E3483" t="inlineStr">
        <is>
          <t>2024Q4</t>
        </is>
      </c>
      <c r="F3483" s="2" t="n">
        <v>91282</v>
      </c>
      <c r="G3483" t="inlineStr"/>
      <c r="H3483" t="inlineStr"/>
      <c r="I3483" s="2" t="n">
        <v>8395</v>
      </c>
      <c r="J3483" t="inlineStr"/>
      <c r="K3483" t="inlineStr"/>
      <c r="L3483" s="2" t="n">
        <v>3561</v>
      </c>
      <c r="M3483" t="inlineStr"/>
      <c r="N3483" t="inlineStr">
        <is>
          <t>20250213900245</t>
        </is>
      </c>
      <c r="O3483">
        <f>HYPERLINK("https://dart.fss.or.kr/dsaf001/main.do?rcpNo=20250213900245", "공시열람")</f>
        <v/>
      </c>
    </row>
    <row r="3484">
      <c r="A3484" t="inlineStr">
        <is>
          <t>2025-02-13</t>
        </is>
      </c>
      <c r="B3484" t="inlineStr">
        <is>
          <t>티비에이치글로벌</t>
        </is>
      </c>
      <c r="C3484" t="inlineStr">
        <is>
          <t>084870</t>
        </is>
      </c>
      <c r="D3484" t="inlineStr">
        <is>
          <t>연결</t>
        </is>
      </c>
      <c r="E3484" t="inlineStr">
        <is>
          <t>2024Q4</t>
        </is>
      </c>
      <c r="F3484" s="2" t="n">
        <v>56119</v>
      </c>
      <c r="G3484" t="n">
        <v>76.7</v>
      </c>
      <c r="H3484" t="n">
        <v>-1.3</v>
      </c>
      <c r="I3484" s="2" t="n">
        <v>3746</v>
      </c>
      <c r="J3484" t="inlineStr"/>
      <c r="K3484" t="n">
        <v>-6.3</v>
      </c>
      <c r="L3484" s="2" t="n">
        <v>1365</v>
      </c>
      <c r="M3484" t="n">
        <v>-51</v>
      </c>
      <c r="N3484" t="inlineStr">
        <is>
          <t>20250213800350</t>
        </is>
      </c>
      <c r="O3484">
        <f>HYPERLINK("https://dart.fss.or.kr/dsaf001/main.do?rcpNo=20250213800350", "공시열람")</f>
        <v/>
      </c>
    </row>
    <row r="3485">
      <c r="A3485" t="inlineStr">
        <is>
          <t>2025-02-13</t>
        </is>
      </c>
      <c r="B3485" t="inlineStr">
        <is>
          <t>케이티</t>
        </is>
      </c>
      <c r="C3485" t="inlineStr">
        <is>
          <t>030200</t>
        </is>
      </c>
      <c r="D3485" t="inlineStr">
        <is>
          <t>별도</t>
        </is>
      </c>
      <c r="E3485" t="inlineStr">
        <is>
          <t>2024Q4</t>
        </is>
      </c>
      <c r="F3485" s="2" t="n">
        <v>4571600</v>
      </c>
      <c r="G3485" t="n">
        <v>-4.1</v>
      </c>
      <c r="H3485" t="n">
        <v>-0.4</v>
      </c>
      <c r="I3485" s="2" t="n">
        <v>-745000</v>
      </c>
      <c r="J3485" t="inlineStr"/>
      <c r="K3485" t="inlineStr"/>
      <c r="L3485" s="2" t="n">
        <v>-618500</v>
      </c>
      <c r="M3485" t="inlineStr"/>
      <c r="N3485" t="inlineStr">
        <is>
          <t>20250213800367</t>
        </is>
      </c>
      <c r="O3485">
        <f>HYPERLINK("https://dart.fss.or.kr/dsaf001/main.do?rcpNo=20250213800367", "공시열람")</f>
        <v/>
      </c>
    </row>
    <row r="3486">
      <c r="A3486" t="inlineStr">
        <is>
          <t>2025-02-13</t>
        </is>
      </c>
      <c r="B3486" t="inlineStr">
        <is>
          <t>케이티</t>
        </is>
      </c>
      <c r="C3486" t="inlineStr">
        <is>
          <t>030200</t>
        </is>
      </c>
      <c r="D3486" t="inlineStr">
        <is>
          <t>연결</t>
        </is>
      </c>
      <c r="E3486" t="inlineStr">
        <is>
          <t>2024Q4</t>
        </is>
      </c>
      <c r="F3486" s="2" t="n">
        <v>6575600</v>
      </c>
      <c r="G3486" t="n">
        <v>-1.2</v>
      </c>
      <c r="H3486" t="n">
        <v>-1.7</v>
      </c>
      <c r="I3486" s="2" t="n">
        <v>-655100</v>
      </c>
      <c r="J3486" t="inlineStr"/>
      <c r="K3486" t="inlineStr"/>
      <c r="L3486" s="2" t="n">
        <v>-736600</v>
      </c>
      <c r="M3486" t="n">
        <v>-1666.4</v>
      </c>
      <c r="N3486" t="inlineStr">
        <is>
          <t>20250213800418</t>
        </is>
      </c>
      <c r="O3486">
        <f>HYPERLINK("https://dart.fss.or.kr/dsaf001/main.do?rcpNo=20250213800418", "공시열람")</f>
        <v/>
      </c>
    </row>
    <row r="3487">
      <c r="A3487" t="inlineStr">
        <is>
          <t>2025-02-13</t>
        </is>
      </c>
      <c r="B3487" t="inlineStr">
        <is>
          <t>휴젤</t>
        </is>
      </c>
      <c r="C3487" t="inlineStr">
        <is>
          <t>145020</t>
        </is>
      </c>
      <c r="D3487" t="inlineStr">
        <is>
          <t>연결</t>
        </is>
      </c>
      <c r="E3487" t="inlineStr">
        <is>
          <t>2024Q4</t>
        </is>
      </c>
      <c r="F3487" s="2" t="n">
        <v>98209</v>
      </c>
      <c r="G3487" t="inlineStr"/>
      <c r="H3487" t="inlineStr"/>
      <c r="I3487" s="2" t="n">
        <v>46566</v>
      </c>
      <c r="J3487" t="inlineStr"/>
      <c r="K3487" t="inlineStr"/>
      <c r="L3487" s="2" t="n">
        <v>40697</v>
      </c>
      <c r="M3487" t="inlineStr"/>
      <c r="N3487" t="inlineStr">
        <is>
          <t>20250213900576</t>
        </is>
      </c>
      <c r="O3487">
        <f>HYPERLINK("https://dart.fss.or.kr/dsaf001/main.do?rcpNo=20250213900576", "공시열람")</f>
        <v/>
      </c>
    </row>
    <row r="3488">
      <c r="A3488" t="inlineStr">
        <is>
          <t>2025-02-13</t>
        </is>
      </c>
      <c r="B3488" t="inlineStr">
        <is>
          <t>지역난방공사</t>
        </is>
      </c>
      <c r="C3488" t="inlineStr">
        <is>
          <t>071320</t>
        </is>
      </c>
      <c r="D3488" t="inlineStr">
        <is>
          <t>연결</t>
        </is>
      </c>
      <c r="E3488" t="inlineStr">
        <is>
          <t>2024Q4</t>
        </is>
      </c>
      <c r="F3488" s="2" t="n">
        <v>1078293</v>
      </c>
      <c r="G3488" t="inlineStr"/>
      <c r="H3488" t="inlineStr"/>
      <c r="I3488" s="2" t="n">
        <v>113878</v>
      </c>
      <c r="J3488" t="inlineStr"/>
      <c r="K3488" t="inlineStr"/>
      <c r="L3488" s="2" t="n">
        <v>66408</v>
      </c>
      <c r="M3488" t="inlineStr"/>
      <c r="N3488" t="inlineStr">
        <is>
          <t>20250213800582</t>
        </is>
      </c>
      <c r="O3488">
        <f>HYPERLINK("https://dart.fss.or.kr/dsaf001/main.do?rcpNo=20250213800582", "공시열람")</f>
        <v/>
      </c>
    </row>
    <row r="3489">
      <c r="A3489" t="inlineStr">
        <is>
          <t>2025-02-13</t>
        </is>
      </c>
      <c r="B3489" t="inlineStr">
        <is>
          <t>서울바이오시스</t>
        </is>
      </c>
      <c r="C3489" t="inlineStr">
        <is>
          <t>092190</t>
        </is>
      </c>
      <c r="D3489" t="inlineStr">
        <is>
          <t>연결</t>
        </is>
      </c>
      <c r="E3489" t="inlineStr">
        <is>
          <t>2024Q4</t>
        </is>
      </c>
      <c r="F3489" s="2" t="n">
        <v>178841</v>
      </c>
      <c r="G3489" t="inlineStr"/>
      <c r="H3489" t="inlineStr"/>
      <c r="I3489" s="2" t="n">
        <v>-4032</v>
      </c>
      <c r="J3489" t="inlineStr"/>
      <c r="K3489" t="inlineStr"/>
      <c r="L3489" s="2" t="n">
        <v>-16837</v>
      </c>
      <c r="M3489" t="inlineStr"/>
      <c r="N3489" t="inlineStr">
        <is>
          <t>20250213900691</t>
        </is>
      </c>
      <c r="O3489">
        <f>HYPERLINK("https://dart.fss.or.kr/dsaf001/main.do?rcpNo=20250213900691", "공시열람")</f>
        <v/>
      </c>
    </row>
    <row r="3490">
      <c r="A3490" t="inlineStr">
        <is>
          <t>2025-02-13</t>
        </is>
      </c>
      <c r="B3490" t="inlineStr">
        <is>
          <t>바이오플러스</t>
        </is>
      </c>
      <c r="C3490" t="inlineStr">
        <is>
          <t>099430</t>
        </is>
      </c>
      <c r="D3490" t="inlineStr">
        <is>
          <t>연결</t>
        </is>
      </c>
      <c r="E3490" t="inlineStr">
        <is>
          <t>2024Q4</t>
        </is>
      </c>
      <c r="F3490" s="2" t="n">
        <v>29091</v>
      </c>
      <c r="G3490" t="inlineStr"/>
      <c r="H3490" t="inlineStr"/>
      <c r="I3490" s="2" t="n">
        <v>13477</v>
      </c>
      <c r="J3490" t="inlineStr"/>
      <c r="K3490" t="inlineStr"/>
      <c r="L3490" s="2" t="n">
        <v>4651</v>
      </c>
      <c r="M3490" t="inlineStr"/>
      <c r="N3490" t="inlineStr">
        <is>
          <t>20250213900710</t>
        </is>
      </c>
      <c r="O3490">
        <f>HYPERLINK("https://dart.fss.or.kr/dsaf001/main.do?rcpNo=20250213900710", "공시열람")</f>
        <v/>
      </c>
    </row>
    <row r="3491">
      <c r="A3491" t="inlineStr">
        <is>
          <t>2025-02-13</t>
        </is>
      </c>
      <c r="B3491" t="inlineStr">
        <is>
          <t>넷마블</t>
        </is>
      </c>
      <c r="C3491" t="inlineStr">
        <is>
          <t>251270</t>
        </is>
      </c>
      <c r="D3491" t="inlineStr">
        <is>
          <t>연결</t>
        </is>
      </c>
      <c r="E3491" t="inlineStr">
        <is>
          <t>2024Q4</t>
        </is>
      </c>
      <c r="F3491" s="2" t="n">
        <v>649000</v>
      </c>
      <c r="G3491" t="n">
        <v>0.3</v>
      </c>
      <c r="H3491" t="n">
        <v>-2.5</v>
      </c>
      <c r="I3491" s="2" t="n">
        <v>35200</v>
      </c>
      <c r="J3491" t="n">
        <v>-46.3</v>
      </c>
      <c r="K3491" t="n">
        <v>87.2</v>
      </c>
      <c r="L3491" s="2" t="n">
        <v>-166700</v>
      </c>
      <c r="M3491" t="n">
        <v>10.2</v>
      </c>
      <c r="N3491" t="inlineStr">
        <is>
          <t>20250213800774</t>
        </is>
      </c>
      <c r="O3491">
        <f>HYPERLINK("https://dart.fss.or.kr/dsaf001/main.do?rcpNo=20250213800774", "공시열람")</f>
        <v/>
      </c>
    </row>
    <row r="3492">
      <c r="A3492" t="inlineStr">
        <is>
          <t>2025-02-13</t>
        </is>
      </c>
      <c r="B3492" t="inlineStr">
        <is>
          <t>잇츠한불</t>
        </is>
      </c>
      <c r="C3492" t="inlineStr">
        <is>
          <t>226320</t>
        </is>
      </c>
      <c r="D3492" t="inlineStr">
        <is>
          <t>연결</t>
        </is>
      </c>
      <c r="E3492" t="inlineStr">
        <is>
          <t>2024Q4</t>
        </is>
      </c>
      <c r="F3492" s="2" t="n">
        <v>35800</v>
      </c>
      <c r="G3492" t="n">
        <v>21.7</v>
      </c>
      <c r="H3492" t="n">
        <v>11.9</v>
      </c>
      <c r="I3492" s="2" t="n">
        <v>6200</v>
      </c>
      <c r="J3492" t="n">
        <v>130.4</v>
      </c>
      <c r="K3492" t="n">
        <v>29.3</v>
      </c>
      <c r="L3492" s="2" t="n">
        <v>12600</v>
      </c>
      <c r="M3492" t="n">
        <v>179.4</v>
      </c>
      <c r="N3492" t="inlineStr">
        <is>
          <t>20250213801253</t>
        </is>
      </c>
      <c r="O3492">
        <f>HYPERLINK("https://dart.fss.or.kr/dsaf001/main.do?rcpNo=20250213801253", "공시열람")</f>
        <v/>
      </c>
    </row>
    <row r="3493">
      <c r="A3493" t="inlineStr">
        <is>
          <t>2025-02-13</t>
        </is>
      </c>
      <c r="B3493" t="inlineStr">
        <is>
          <t>컴투스홀딩스</t>
        </is>
      </c>
      <c r="C3493" t="inlineStr">
        <is>
          <t>063080</t>
        </is>
      </c>
      <c r="D3493" t="inlineStr">
        <is>
          <t>연결</t>
        </is>
      </c>
      <c r="E3493" t="inlineStr">
        <is>
          <t>2024Q4</t>
        </is>
      </c>
      <c r="F3493" s="2" t="n">
        <v>20312</v>
      </c>
      <c r="G3493" t="inlineStr"/>
      <c r="H3493" t="inlineStr"/>
      <c r="I3493" s="2" t="n">
        <v>-41295</v>
      </c>
      <c r="J3493" t="inlineStr"/>
      <c r="K3493" t="inlineStr"/>
      <c r="L3493" s="2" t="n">
        <v>-25999</v>
      </c>
      <c r="M3493" t="inlineStr"/>
      <c r="N3493" t="inlineStr">
        <is>
          <t>20250213900777</t>
        </is>
      </c>
      <c r="O3493">
        <f>HYPERLINK("https://dart.fss.or.kr/dsaf001/main.do?rcpNo=20250213900777", "공시열람")</f>
        <v/>
      </c>
    </row>
    <row r="3494">
      <c r="A3494" t="inlineStr">
        <is>
          <t>2025-02-13</t>
        </is>
      </c>
      <c r="B3494" t="inlineStr">
        <is>
          <t>한온시스템</t>
        </is>
      </c>
      <c r="C3494" t="inlineStr">
        <is>
          <t>018880</t>
        </is>
      </c>
      <c r="D3494" t="inlineStr">
        <is>
          <t>연결</t>
        </is>
      </c>
      <c r="E3494" t="inlineStr">
        <is>
          <t>2024Q4</t>
        </is>
      </c>
      <c r="F3494" s="2" t="n">
        <v>2549780</v>
      </c>
      <c r="G3494" t="inlineStr"/>
      <c r="H3494" t="inlineStr"/>
      <c r="I3494" s="2" t="n">
        <v>-98803</v>
      </c>
      <c r="J3494" t="inlineStr"/>
      <c r="K3494" t="inlineStr"/>
      <c r="L3494" s="2" t="n">
        <v>-293913</v>
      </c>
      <c r="M3494" t="inlineStr"/>
      <c r="N3494" t="inlineStr">
        <is>
          <t>20250213800873</t>
        </is>
      </c>
      <c r="O3494">
        <f>HYPERLINK("https://dart.fss.or.kr/dsaf001/main.do?rcpNo=20250213800873", "공시열람")</f>
        <v/>
      </c>
    </row>
    <row r="3495">
      <c r="A3495" t="inlineStr">
        <is>
          <t>2025-02-13</t>
        </is>
      </c>
      <c r="B3495" t="inlineStr">
        <is>
          <t>NHN벅스</t>
        </is>
      </c>
      <c r="C3495" t="inlineStr">
        <is>
          <t>104200</t>
        </is>
      </c>
      <c r="D3495" t="inlineStr">
        <is>
          <t>별도</t>
        </is>
      </c>
      <c r="E3495" t="inlineStr">
        <is>
          <t>2024Q4</t>
        </is>
      </c>
      <c r="F3495" s="2" t="n">
        <v>12517</v>
      </c>
      <c r="G3495" t="inlineStr"/>
      <c r="H3495" t="inlineStr"/>
      <c r="I3495" s="2" t="n">
        <v>805</v>
      </c>
      <c r="J3495" t="inlineStr"/>
      <c r="K3495" t="inlineStr"/>
      <c r="L3495" s="2" t="n">
        <v>-10129</v>
      </c>
      <c r="M3495" t="inlineStr"/>
      <c r="N3495" t="inlineStr">
        <is>
          <t>20250213900844</t>
        </is>
      </c>
      <c r="O3495">
        <f>HYPERLINK("https://dart.fss.or.kr/dsaf001/main.do?rcpNo=20250213900844", "공시열람")</f>
        <v/>
      </c>
    </row>
    <row r="3496">
      <c r="A3496" t="inlineStr">
        <is>
          <t>2025-02-13</t>
        </is>
      </c>
      <c r="B3496" t="inlineStr">
        <is>
          <t>스톰테크</t>
        </is>
      </c>
      <c r="C3496" t="inlineStr">
        <is>
          <t>352090</t>
        </is>
      </c>
      <c r="D3496" t="inlineStr">
        <is>
          <t>별도</t>
        </is>
      </c>
      <c r="E3496" t="inlineStr">
        <is>
          <t>2024Q4</t>
        </is>
      </c>
      <c r="F3496" s="2" t="n">
        <v>15169</v>
      </c>
      <c r="G3496" t="inlineStr"/>
      <c r="H3496" t="inlineStr"/>
      <c r="I3496" s="2" t="n">
        <v>3200</v>
      </c>
      <c r="J3496" t="inlineStr"/>
      <c r="K3496" t="inlineStr"/>
      <c r="L3496" s="2" t="n">
        <v>3616</v>
      </c>
      <c r="M3496" t="inlineStr"/>
      <c r="N3496" t="inlineStr">
        <is>
          <t>20250213901517</t>
        </is>
      </c>
      <c r="O3496">
        <f>HYPERLINK("https://dart.fss.or.kr/dsaf001/main.do?rcpNo=20250213901517", "공시열람")</f>
        <v/>
      </c>
    </row>
    <row r="3497">
      <c r="A3497" t="inlineStr">
        <is>
          <t>2025-02-13</t>
        </is>
      </c>
      <c r="B3497" t="inlineStr">
        <is>
          <t>스톰테크</t>
        </is>
      </c>
      <c r="C3497" t="inlineStr">
        <is>
          <t>352090</t>
        </is>
      </c>
      <c r="D3497" t="inlineStr">
        <is>
          <t>연결</t>
        </is>
      </c>
      <c r="E3497" t="inlineStr">
        <is>
          <t>2024Q4</t>
        </is>
      </c>
      <c r="F3497" s="2" t="n">
        <v>18959</v>
      </c>
      <c r="G3497" t="inlineStr"/>
      <c r="H3497" t="inlineStr"/>
      <c r="I3497" s="2" t="n">
        <v>2138</v>
      </c>
      <c r="J3497" t="inlineStr"/>
      <c r="K3497" t="inlineStr"/>
      <c r="L3497" s="2" t="n">
        <v>3095</v>
      </c>
      <c r="M3497" t="inlineStr"/>
      <c r="N3497" t="inlineStr">
        <is>
          <t>20250213901510</t>
        </is>
      </c>
      <c r="O3497">
        <f>HYPERLINK("https://dart.fss.or.kr/dsaf001/main.do?rcpNo=20250213901510", "공시열람")</f>
        <v/>
      </c>
    </row>
    <row r="3498">
      <c r="A3498" t="inlineStr">
        <is>
          <t>2025-02-13</t>
        </is>
      </c>
      <c r="B3498" t="inlineStr">
        <is>
          <t>웅진씽크빅</t>
        </is>
      </c>
      <c r="C3498" t="inlineStr">
        <is>
          <t>095720</t>
        </is>
      </c>
      <c r="D3498" t="inlineStr">
        <is>
          <t>연결</t>
        </is>
      </c>
      <c r="E3498" t="inlineStr">
        <is>
          <t>2024Q4</t>
        </is>
      </c>
      <c r="F3498" s="2" t="n">
        <v>867180</v>
      </c>
      <c r="G3498" t="n">
        <v>-2.6</v>
      </c>
      <c r="H3498" t="inlineStr"/>
      <c r="I3498" s="2" t="n">
        <v>9247</v>
      </c>
      <c r="J3498" t="n">
        <v>65.90000000000001</v>
      </c>
      <c r="K3498" t="inlineStr"/>
      <c r="L3498" s="2" t="n">
        <v>-19986</v>
      </c>
      <c r="M3498" t="inlineStr"/>
      <c r="N3498" t="inlineStr">
        <is>
          <t>20250213801423</t>
        </is>
      </c>
      <c r="O3498">
        <f>HYPERLINK("https://dart.fss.or.kr/dsaf001/main.do?rcpNo=20250213801423", "공시열람")</f>
        <v/>
      </c>
    </row>
    <row r="3499">
      <c r="A3499" t="inlineStr">
        <is>
          <t>2025-02-13</t>
        </is>
      </c>
      <c r="B3499" t="inlineStr">
        <is>
          <t>NHN</t>
        </is>
      </c>
      <c r="C3499" t="inlineStr">
        <is>
          <t>181710</t>
        </is>
      </c>
      <c r="D3499" t="inlineStr">
        <is>
          <t>연결</t>
        </is>
      </c>
      <c r="E3499" t="inlineStr">
        <is>
          <t>2024Q4</t>
        </is>
      </c>
      <c r="F3499" s="2" t="n">
        <v>643942</v>
      </c>
      <c r="G3499" t="inlineStr"/>
      <c r="H3499" t="inlineStr"/>
      <c r="I3499" s="2" t="n">
        <v>25005</v>
      </c>
      <c r="J3499" t="inlineStr"/>
      <c r="K3499" t="inlineStr"/>
      <c r="L3499" s="2" t="n">
        <v>-74754</v>
      </c>
      <c r="M3499" t="inlineStr"/>
      <c r="N3499" t="inlineStr">
        <is>
          <t>20250213801375</t>
        </is>
      </c>
      <c r="O3499">
        <f>HYPERLINK("https://dart.fss.or.kr/dsaf001/main.do?rcpNo=20250213801375", "공시열람")</f>
        <v/>
      </c>
    </row>
    <row r="3500">
      <c r="A3500" t="inlineStr">
        <is>
          <t>2025-02-13</t>
        </is>
      </c>
      <c r="B3500" t="inlineStr">
        <is>
          <t>엠앤씨솔루션</t>
        </is>
      </c>
      <c r="C3500" t="inlineStr">
        <is>
          <t>484870</t>
        </is>
      </c>
      <c r="D3500" t="inlineStr">
        <is>
          <t>연결</t>
        </is>
      </c>
      <c r="E3500" t="inlineStr">
        <is>
          <t>2024Q4</t>
        </is>
      </c>
      <c r="F3500" s="2" t="n">
        <v>94315</v>
      </c>
      <c r="G3500" t="n">
        <v>50.11</v>
      </c>
      <c r="H3500" t="n">
        <v>21.02</v>
      </c>
      <c r="I3500" s="2" t="n">
        <v>17620</v>
      </c>
      <c r="J3500" t="n">
        <v>163.98</v>
      </c>
      <c r="K3500" t="n">
        <v>48.37</v>
      </c>
      <c r="L3500" s="2" t="n">
        <v>13592</v>
      </c>
      <c r="M3500" t="n">
        <v>13.28</v>
      </c>
      <c r="N3500" t="inlineStr">
        <is>
          <t>20250213801352</t>
        </is>
      </c>
      <c r="O3500">
        <f>HYPERLINK("https://dart.fss.or.kr/dsaf001/main.do?rcpNo=20250213801352", "공시열람")</f>
        <v/>
      </c>
    </row>
    <row r="3501">
      <c r="A3501" t="inlineStr">
        <is>
          <t>2025-02-13</t>
        </is>
      </c>
      <c r="B3501" t="inlineStr">
        <is>
          <t>NHN</t>
        </is>
      </c>
      <c r="C3501" t="inlineStr">
        <is>
          <t>181710</t>
        </is>
      </c>
      <c r="D3501" t="inlineStr">
        <is>
          <t>별도</t>
        </is>
      </c>
      <c r="E3501" t="inlineStr">
        <is>
          <t>2024Q4</t>
        </is>
      </c>
      <c r="F3501" s="2" t="n">
        <v>94631</v>
      </c>
      <c r="G3501" t="inlineStr"/>
      <c r="H3501" t="inlineStr"/>
      <c r="I3501" s="2" t="n">
        <v>26081</v>
      </c>
      <c r="J3501" t="inlineStr"/>
      <c r="K3501" t="inlineStr"/>
      <c r="L3501" s="2" t="n">
        <v>-86113</v>
      </c>
      <c r="M3501" t="inlineStr"/>
      <c r="N3501" t="inlineStr">
        <is>
          <t>20250213801363</t>
        </is>
      </c>
      <c r="O3501">
        <f>HYPERLINK("https://dart.fss.or.kr/dsaf001/main.do?rcpNo=20250213801363", "공시열람")</f>
        <v/>
      </c>
    </row>
    <row r="3502">
      <c r="A3502" t="inlineStr">
        <is>
          <t>2025-02-13</t>
        </is>
      </c>
      <c r="B3502" t="inlineStr">
        <is>
          <t>산일전기</t>
        </is>
      </c>
      <c r="C3502" t="inlineStr">
        <is>
          <t>062040</t>
        </is>
      </c>
      <c r="D3502" t="inlineStr">
        <is>
          <t>별도</t>
        </is>
      </c>
      <c r="E3502" t="inlineStr">
        <is>
          <t>2024Q4</t>
        </is>
      </c>
      <c r="F3502" s="2" t="n">
        <v>108385</v>
      </c>
      <c r="G3502" t="n">
        <v>35.93</v>
      </c>
      <c r="H3502" t="n">
        <v>108.54</v>
      </c>
      <c r="I3502" s="2" t="n">
        <v>33689</v>
      </c>
      <c r="J3502" t="n">
        <v>21.22</v>
      </c>
      <c r="K3502" t="n">
        <v>603.47</v>
      </c>
      <c r="L3502" s="2" t="n">
        <v>27013</v>
      </c>
      <c r="M3502" t="n">
        <v>497.24</v>
      </c>
      <c r="N3502" t="inlineStr">
        <is>
          <t>20250213801273</t>
        </is>
      </c>
      <c r="O3502">
        <f>HYPERLINK("https://dart.fss.or.kr/dsaf001/main.do?rcpNo=20250213801273", "공시열람")</f>
        <v/>
      </c>
    </row>
    <row r="3503">
      <c r="A3503" t="inlineStr">
        <is>
          <t>2025-02-13</t>
        </is>
      </c>
      <c r="B3503" t="inlineStr">
        <is>
          <t>NHN KCP</t>
        </is>
      </c>
      <c r="C3503" t="inlineStr">
        <is>
          <t>060250</t>
        </is>
      </c>
      <c r="D3503" t="inlineStr">
        <is>
          <t>연결</t>
        </is>
      </c>
      <c r="E3503" t="inlineStr">
        <is>
          <t>2024Q4</t>
        </is>
      </c>
      <c r="F3503" s="2" t="n">
        <v>288789</v>
      </c>
      <c r="G3503" t="inlineStr"/>
      <c r="H3503" t="inlineStr"/>
      <c r="I3503" s="2" t="n">
        <v>12181</v>
      </c>
      <c r="J3503" t="inlineStr"/>
      <c r="K3503" t="inlineStr"/>
      <c r="L3503" s="2" t="n">
        <v>13142</v>
      </c>
      <c r="M3503" t="inlineStr"/>
      <c r="N3503" t="inlineStr">
        <is>
          <t>20250213901267</t>
        </is>
      </c>
      <c r="O3503">
        <f>HYPERLINK("https://dart.fss.or.kr/dsaf001/main.do?rcpNo=20250213901267", "공시열람")</f>
        <v/>
      </c>
    </row>
    <row r="3504">
      <c r="A3504" t="inlineStr">
        <is>
          <t>2025-02-13</t>
        </is>
      </c>
      <c r="B3504" t="inlineStr">
        <is>
          <t>NHN KCP</t>
        </is>
      </c>
      <c r="C3504" t="inlineStr">
        <is>
          <t>060250</t>
        </is>
      </c>
      <c r="D3504" t="inlineStr">
        <is>
          <t>별도</t>
        </is>
      </c>
      <c r="E3504" t="inlineStr">
        <is>
          <t>2024Q4</t>
        </is>
      </c>
      <c r="F3504" s="2" t="n">
        <v>277058</v>
      </c>
      <c r="G3504" t="inlineStr"/>
      <c r="H3504" t="inlineStr"/>
      <c r="I3504" s="2" t="n">
        <v>12262</v>
      </c>
      <c r="J3504" t="inlineStr"/>
      <c r="K3504" t="inlineStr"/>
      <c r="L3504" s="2" t="n">
        <v>13756</v>
      </c>
      <c r="M3504" t="inlineStr"/>
      <c r="N3504" t="inlineStr">
        <is>
          <t>20250213901272</t>
        </is>
      </c>
      <c r="O3504">
        <f>HYPERLINK("https://dart.fss.or.kr/dsaf001/main.do?rcpNo=20250213901272", "공시열람")</f>
        <v/>
      </c>
    </row>
    <row r="3505">
      <c r="A3505" t="inlineStr">
        <is>
          <t>2025-02-13</t>
        </is>
      </c>
      <c r="B3505" t="inlineStr">
        <is>
          <t>코리안리</t>
        </is>
      </c>
      <c r="C3505" t="inlineStr">
        <is>
          <t>003690</t>
        </is>
      </c>
      <c r="D3505" t="inlineStr">
        <is>
          <t>별도</t>
        </is>
      </c>
      <c r="E3505" t="inlineStr">
        <is>
          <t>2024Q4</t>
        </is>
      </c>
      <c r="F3505" s="2" t="n">
        <v>1936349</v>
      </c>
      <c r="G3505" t="n">
        <v>25.9</v>
      </c>
      <c r="H3505" t="n">
        <v>11.3</v>
      </c>
      <c r="I3505" s="2" t="n">
        <v>78585</v>
      </c>
      <c r="J3505" t="n">
        <v>-2</v>
      </c>
      <c r="K3505" t="inlineStr"/>
      <c r="L3505" s="2" t="n">
        <v>62706</v>
      </c>
      <c r="M3505" t="inlineStr"/>
      <c r="N3505" t="inlineStr">
        <is>
          <t>20250213801079</t>
        </is>
      </c>
      <c r="O3505">
        <f>HYPERLINK("https://dart.fss.or.kr/dsaf001/main.do?rcpNo=20250213801079", "공시열람")</f>
        <v/>
      </c>
    </row>
    <row r="3506">
      <c r="A3506" t="inlineStr">
        <is>
          <t>2025-02-13</t>
        </is>
      </c>
      <c r="B3506" t="inlineStr">
        <is>
          <t>케이씨씨글라스</t>
        </is>
      </c>
      <c r="C3506" t="inlineStr">
        <is>
          <t>344820</t>
        </is>
      </c>
      <c r="D3506" t="inlineStr">
        <is>
          <t>연결</t>
        </is>
      </c>
      <c r="E3506" t="inlineStr">
        <is>
          <t>2024Q4</t>
        </is>
      </c>
      <c r="F3506" s="2" t="n">
        <v>511775</v>
      </c>
      <c r="G3506" t="n">
        <v>4.9</v>
      </c>
      <c r="H3506" t="n">
        <v>16.7</v>
      </c>
      <c r="I3506" s="2" t="n">
        <v>7603</v>
      </c>
      <c r="J3506" t="n">
        <v>-5.2</v>
      </c>
      <c r="K3506" t="n">
        <v>-69.3</v>
      </c>
      <c r="L3506" s="2" t="n">
        <v>-6045</v>
      </c>
      <c r="M3506" t="inlineStr"/>
      <c r="N3506" t="inlineStr">
        <is>
          <t>20250213801275</t>
        </is>
      </c>
      <c r="O3506">
        <f>HYPERLINK("https://dart.fss.or.kr/dsaf001/main.do?rcpNo=20250213801275", "공시열람")</f>
        <v/>
      </c>
    </row>
    <row r="3507">
      <c r="A3507" t="inlineStr">
        <is>
          <t>2025-02-12</t>
        </is>
      </c>
      <c r="B3507" t="inlineStr">
        <is>
          <t>웹젠</t>
        </is>
      </c>
      <c r="C3507" t="inlineStr">
        <is>
          <t>069080</t>
        </is>
      </c>
      <c r="D3507" t="inlineStr">
        <is>
          <t>연결</t>
        </is>
      </c>
      <c r="E3507" t="inlineStr">
        <is>
          <t>2024Q4</t>
        </is>
      </c>
      <c r="F3507" s="2" t="n">
        <v>56071</v>
      </c>
      <c r="G3507" t="inlineStr"/>
      <c r="H3507" t="inlineStr"/>
      <c r="I3507" s="2" t="n">
        <v>15135</v>
      </c>
      <c r="J3507" t="inlineStr"/>
      <c r="K3507" t="inlineStr"/>
      <c r="L3507" s="2" t="n">
        <v>12118</v>
      </c>
      <c r="M3507" t="inlineStr"/>
      <c r="N3507" t="inlineStr">
        <is>
          <t>20250212900623</t>
        </is>
      </c>
      <c r="O3507">
        <f>HYPERLINK("https://dart.fss.or.kr/dsaf001/main.do?rcpNo=20250212900623", "공시열람")</f>
        <v/>
      </c>
    </row>
    <row r="3508">
      <c r="A3508" t="inlineStr">
        <is>
          <t>2025-02-12</t>
        </is>
      </c>
      <c r="B3508" t="inlineStr">
        <is>
          <t>삼성화재해상보험</t>
        </is>
      </c>
      <c r="C3508" t="inlineStr">
        <is>
          <t>000810</t>
        </is>
      </c>
      <c r="D3508" t="inlineStr">
        <is>
          <t>연결</t>
        </is>
      </c>
      <c r="E3508" t="inlineStr">
        <is>
          <t>2024Q4</t>
        </is>
      </c>
      <c r="F3508" s="2" t="n">
        <v>6297334</v>
      </c>
      <c r="G3508" t="n">
        <v>18.2</v>
      </c>
      <c r="H3508" t="n">
        <v>23.1</v>
      </c>
      <c r="I3508" s="2" t="n">
        <v>252806</v>
      </c>
      <c r="J3508" t="n">
        <v>-64.8</v>
      </c>
      <c r="K3508" t="n">
        <v>22.6</v>
      </c>
      <c r="L3508" s="2" t="n">
        <v>207875</v>
      </c>
      <c r="M3508" t="n">
        <v>16.6</v>
      </c>
      <c r="N3508" t="inlineStr">
        <is>
          <t>20250212800025</t>
        </is>
      </c>
      <c r="O3508">
        <f>HYPERLINK("https://dart.fss.or.kr/dsaf001/main.do?rcpNo=20250212800025", "공시열람")</f>
        <v/>
      </c>
    </row>
    <row r="3509">
      <c r="A3509" t="inlineStr">
        <is>
          <t>2025-02-12</t>
        </is>
      </c>
      <c r="B3509" t="inlineStr">
        <is>
          <t>CJ ENM</t>
        </is>
      </c>
      <c r="C3509" t="inlineStr">
        <is>
          <t>035760</t>
        </is>
      </c>
      <c r="D3509" t="inlineStr">
        <is>
          <t>연결</t>
        </is>
      </c>
      <c r="E3509" t="inlineStr">
        <is>
          <t>2024Q4</t>
        </is>
      </c>
      <c r="F3509" s="2" t="n">
        <v>1787936</v>
      </c>
      <c r="G3509" t="inlineStr"/>
      <c r="H3509" t="inlineStr"/>
      <c r="I3509" s="2" t="n">
        <v>40985</v>
      </c>
      <c r="J3509" t="inlineStr"/>
      <c r="K3509" t="inlineStr"/>
      <c r="L3509" s="2" t="n">
        <v>-24172</v>
      </c>
      <c r="M3509" t="inlineStr"/>
      <c r="N3509" t="inlineStr">
        <is>
          <t>20250212900341</t>
        </is>
      </c>
      <c r="O3509">
        <f>HYPERLINK("https://dart.fss.or.kr/dsaf001/main.do?rcpNo=20250212900341", "공시열람")</f>
        <v/>
      </c>
    </row>
    <row r="3510">
      <c r="A3510" t="inlineStr">
        <is>
          <t>2025-02-12</t>
        </is>
      </c>
      <c r="B3510" t="inlineStr">
        <is>
          <t>스튜디오드래곤</t>
        </is>
      </c>
      <c r="C3510" t="inlineStr">
        <is>
          <t>253450</t>
        </is>
      </c>
      <c r="D3510" t="inlineStr">
        <is>
          <t>연결</t>
        </is>
      </c>
      <c r="E3510" t="inlineStr">
        <is>
          <t>2024Q4</t>
        </is>
      </c>
      <c r="F3510" s="2" t="n">
        <v>130570</v>
      </c>
      <c r="G3510" t="inlineStr"/>
      <c r="H3510" t="inlineStr"/>
      <c r="I3510" s="2" t="n">
        <v>5351</v>
      </c>
      <c r="J3510" t="inlineStr"/>
      <c r="K3510" t="inlineStr"/>
      <c r="L3510" s="2" t="n">
        <v>11268</v>
      </c>
      <c r="M3510" t="inlineStr"/>
      <c r="N3510" t="inlineStr">
        <is>
          <t>20250212900303</t>
        </is>
      </c>
      <c r="O3510">
        <f>HYPERLINK("https://dart.fss.or.kr/dsaf001/main.do?rcpNo=20250212900303", "공시열람")</f>
        <v/>
      </c>
    </row>
    <row r="3511">
      <c r="A3511" t="inlineStr">
        <is>
          <t>2025-02-12</t>
        </is>
      </c>
      <c r="B3511" t="inlineStr">
        <is>
          <t>에이블씨엔씨</t>
        </is>
      </c>
      <c r="C3511" t="inlineStr">
        <is>
          <t>078520</t>
        </is>
      </c>
      <c r="D3511" t="inlineStr">
        <is>
          <t>연결</t>
        </is>
      </c>
      <c r="E3511" t="inlineStr">
        <is>
          <t>2024Q4</t>
        </is>
      </c>
      <c r="F3511" s="2" t="n">
        <v>69083</v>
      </c>
      <c r="G3511" t="n">
        <v>9.800000000000001</v>
      </c>
      <c r="H3511" t="n">
        <v>-2.2</v>
      </c>
      <c r="I3511" s="2" t="n">
        <v>6181</v>
      </c>
      <c r="J3511" t="n">
        <v>60.1</v>
      </c>
      <c r="K3511" t="n">
        <v>180.6</v>
      </c>
      <c r="L3511" s="2" t="n">
        <v>3963</v>
      </c>
      <c r="M3511" t="n">
        <v>974.9</v>
      </c>
      <c r="N3511" t="inlineStr">
        <is>
          <t>20250212801246</t>
        </is>
      </c>
      <c r="O3511">
        <f>HYPERLINK("https://dart.fss.or.kr/dsaf001/main.do?rcpNo=20250212801246", "공시열람")</f>
        <v/>
      </c>
    </row>
    <row r="3512">
      <c r="A3512" t="inlineStr">
        <is>
          <t>2025-02-12</t>
        </is>
      </c>
      <c r="B3512" t="inlineStr">
        <is>
          <t>GKL</t>
        </is>
      </c>
      <c r="C3512" t="inlineStr">
        <is>
          <t>114090</t>
        </is>
      </c>
      <c r="D3512" t="inlineStr">
        <is>
          <t>연결</t>
        </is>
      </c>
      <c r="E3512" t="inlineStr">
        <is>
          <t>2024Q4</t>
        </is>
      </c>
      <c r="F3512" s="2" t="n">
        <v>105851</v>
      </c>
      <c r="G3512" t="inlineStr"/>
      <c r="H3512" t="inlineStr"/>
      <c r="I3512" s="2" t="n">
        <v>5470</v>
      </c>
      <c r="J3512" t="inlineStr"/>
      <c r="K3512" t="inlineStr"/>
      <c r="L3512" s="2" t="n">
        <v>5489</v>
      </c>
      <c r="M3512" t="inlineStr"/>
      <c r="N3512" t="inlineStr">
        <is>
          <t>20250212801160</t>
        </is>
      </c>
      <c r="O3512">
        <f>HYPERLINK("https://dart.fss.or.kr/dsaf001/main.do?rcpNo=20250212801160", "공시열람")</f>
        <v/>
      </c>
    </row>
    <row r="3513">
      <c r="A3513" t="inlineStr">
        <is>
          <t>2025-02-12</t>
        </is>
      </c>
      <c r="B3513" t="inlineStr">
        <is>
          <t>LS</t>
        </is>
      </c>
      <c r="C3513" t="inlineStr">
        <is>
          <t>006260</t>
        </is>
      </c>
      <c r="D3513" t="inlineStr">
        <is>
          <t>연결</t>
        </is>
      </c>
      <c r="E3513" t="inlineStr">
        <is>
          <t>2024Q4</t>
        </is>
      </c>
      <c r="F3513" s="2" t="n">
        <v>7100600</v>
      </c>
      <c r="G3513" t="n">
        <v>0.2</v>
      </c>
      <c r="H3513" t="n">
        <v>21.2</v>
      </c>
      <c r="I3513" s="2" t="n">
        <v>299000</v>
      </c>
      <c r="J3513" t="n">
        <v>90.3</v>
      </c>
      <c r="K3513" t="n">
        <v>94.59999999999999</v>
      </c>
      <c r="L3513" s="2" t="n">
        <v>2600</v>
      </c>
      <c r="M3513" t="n">
        <v>-99</v>
      </c>
      <c r="N3513" t="inlineStr">
        <is>
          <t>20250212801082</t>
        </is>
      </c>
      <c r="O3513">
        <f>HYPERLINK("https://dart.fss.or.kr/dsaf001/main.do?rcpNo=20250212801082", "공시열람")</f>
        <v/>
      </c>
    </row>
    <row r="3514">
      <c r="A3514" t="inlineStr">
        <is>
          <t>2025-02-12</t>
        </is>
      </c>
      <c r="B3514" t="inlineStr">
        <is>
          <t>가비아</t>
        </is>
      </c>
      <c r="C3514" t="inlineStr">
        <is>
          <t>079940</t>
        </is>
      </c>
      <c r="D3514" t="inlineStr">
        <is>
          <t>연결</t>
        </is>
      </c>
      <c r="E3514" t="inlineStr">
        <is>
          <t>2024Q4</t>
        </is>
      </c>
      <c r="F3514" s="2" t="n">
        <v>89984</v>
      </c>
      <c r="G3514" t="inlineStr"/>
      <c r="H3514" t="inlineStr"/>
      <c r="I3514" s="2" t="n">
        <v>14423</v>
      </c>
      <c r="J3514" t="inlineStr"/>
      <c r="K3514" t="inlineStr"/>
      <c r="L3514" s="2" t="n">
        <v>14251</v>
      </c>
      <c r="M3514" t="inlineStr"/>
      <c r="N3514" t="inlineStr">
        <is>
          <t>20250212900777</t>
        </is>
      </c>
      <c r="O3514">
        <f>HYPERLINK("https://dart.fss.or.kr/dsaf001/main.do?rcpNo=20250212900777", "공시열람")</f>
        <v/>
      </c>
    </row>
    <row r="3515">
      <c r="A3515" t="inlineStr">
        <is>
          <t>2025-02-12</t>
        </is>
      </c>
      <c r="B3515" t="inlineStr">
        <is>
          <t>교촌에프앤비</t>
        </is>
      </c>
      <c r="C3515" t="inlineStr">
        <is>
          <t>339770</t>
        </is>
      </c>
      <c r="D3515" t="inlineStr">
        <is>
          <t>연결</t>
        </is>
      </c>
      <c r="E3515" t="inlineStr">
        <is>
          <t>2024Q4</t>
        </is>
      </c>
      <c r="F3515" s="2" t="n">
        <v>125907</v>
      </c>
      <c r="G3515" t="n">
        <v>-1.3</v>
      </c>
      <c r="H3515" t="n">
        <v>13.2</v>
      </c>
      <c r="I3515" s="2" t="n">
        <v>5527</v>
      </c>
      <c r="J3515" t="n">
        <v>-27.7</v>
      </c>
      <c r="K3515" t="n">
        <v>-22.6</v>
      </c>
      <c r="L3515" s="2" t="n">
        <v>-3007</v>
      </c>
      <c r="M3515" t="inlineStr"/>
      <c r="N3515" t="inlineStr">
        <is>
          <t>20250212800798</t>
        </is>
      </c>
      <c r="O3515">
        <f>HYPERLINK("https://dart.fss.or.kr/dsaf001/main.do?rcpNo=20250212800798", "공시열람")</f>
        <v/>
      </c>
    </row>
    <row r="3516">
      <c r="A3516" t="inlineStr">
        <is>
          <t>2025-02-12</t>
        </is>
      </c>
      <c r="B3516" t="inlineStr">
        <is>
          <t>더블유게임즈</t>
        </is>
      </c>
      <c r="C3516" t="inlineStr">
        <is>
          <t>192080</t>
        </is>
      </c>
      <c r="D3516" t="inlineStr">
        <is>
          <t>별도</t>
        </is>
      </c>
      <c r="E3516" t="inlineStr">
        <is>
          <t>2024Q4</t>
        </is>
      </c>
      <c r="F3516" s="2" t="n">
        <v>44390</v>
      </c>
      <c r="G3516" t="n">
        <v>4.1</v>
      </c>
      <c r="H3516" t="n">
        <v>-4.5</v>
      </c>
      <c r="I3516" s="2" t="n">
        <v>13176</v>
      </c>
      <c r="J3516" t="n">
        <v>-10.5</v>
      </c>
      <c r="K3516" t="n">
        <v>-16.5</v>
      </c>
      <c r="L3516" s="2" t="n">
        <v>22953</v>
      </c>
      <c r="M3516" t="n">
        <v>71</v>
      </c>
      <c r="N3516" t="inlineStr">
        <is>
          <t>20250212800014</t>
        </is>
      </c>
      <c r="O3516">
        <f>HYPERLINK("https://dart.fss.or.kr/dsaf001/main.do?rcpNo=20250212800014", "공시열람")</f>
        <v/>
      </c>
    </row>
    <row r="3517">
      <c r="A3517" t="inlineStr">
        <is>
          <t>2025-02-12</t>
        </is>
      </c>
      <c r="B3517" t="inlineStr">
        <is>
          <t>더블유게임즈</t>
        </is>
      </c>
      <c r="C3517" t="inlineStr">
        <is>
          <t>192080</t>
        </is>
      </c>
      <c r="D3517" t="inlineStr">
        <is>
          <t>연결</t>
        </is>
      </c>
      <c r="E3517" t="inlineStr">
        <is>
          <t>2024Q4</t>
        </is>
      </c>
      <c r="F3517" s="2" t="n">
        <v>155798</v>
      </c>
      <c r="G3517" t="n">
        <v>1.1</v>
      </c>
      <c r="H3517" t="n">
        <v>1.5</v>
      </c>
      <c r="I3517" s="2" t="n">
        <v>60508</v>
      </c>
      <c r="J3517" t="n">
        <v>1.7</v>
      </c>
      <c r="K3517" t="n">
        <v>-3.7</v>
      </c>
      <c r="L3517" s="2" t="n">
        <v>72295</v>
      </c>
      <c r="M3517" t="n">
        <v>52.5</v>
      </c>
      <c r="N3517" t="inlineStr">
        <is>
          <t>20250212800016</t>
        </is>
      </c>
      <c r="O3517">
        <f>HYPERLINK("https://dart.fss.or.kr/dsaf001/main.do?rcpNo=20250212800016", "공시열람")</f>
        <v/>
      </c>
    </row>
    <row r="3518">
      <c r="A3518" t="inlineStr">
        <is>
          <t>2025-02-12</t>
        </is>
      </c>
      <c r="B3518" t="inlineStr">
        <is>
          <t>드림어스컴퍼니</t>
        </is>
      </c>
      <c r="C3518" t="inlineStr">
        <is>
          <t>060570</t>
        </is>
      </c>
      <c r="D3518" t="inlineStr">
        <is>
          <t>연결</t>
        </is>
      </c>
      <c r="E3518" t="inlineStr">
        <is>
          <t>2024Q4</t>
        </is>
      </c>
      <c r="F3518" s="2" t="n">
        <v>225063</v>
      </c>
      <c r="G3518" t="inlineStr"/>
      <c r="H3518" t="inlineStr"/>
      <c r="I3518" s="2" t="n">
        <v>-3154</v>
      </c>
      <c r="J3518" t="inlineStr"/>
      <c r="K3518" t="inlineStr"/>
      <c r="L3518" s="2" t="n">
        <v>-17773</v>
      </c>
      <c r="M3518" t="inlineStr"/>
      <c r="N3518" t="inlineStr">
        <is>
          <t>20250212900952</t>
        </is>
      </c>
      <c r="O3518">
        <f>HYPERLINK("https://dart.fss.or.kr/dsaf001/main.do?rcpNo=20250212900952", "공시열람")</f>
        <v/>
      </c>
    </row>
    <row r="3519">
      <c r="A3519" t="inlineStr">
        <is>
          <t>2025-02-12</t>
        </is>
      </c>
      <c r="B3519" t="inlineStr">
        <is>
          <t>SOOP</t>
        </is>
      </c>
      <c r="C3519" t="inlineStr">
        <is>
          <t>067160</t>
        </is>
      </c>
      <c r="D3519" t="inlineStr">
        <is>
          <t>연결</t>
        </is>
      </c>
      <c r="E3519" t="inlineStr">
        <is>
          <t>2024Q4</t>
        </is>
      </c>
      <c r="F3519" s="2" t="n">
        <v>117603</v>
      </c>
      <c r="G3519" t="inlineStr"/>
      <c r="H3519" t="inlineStr"/>
      <c r="I3519" s="2" t="n">
        <v>28627</v>
      </c>
      <c r="J3519" t="inlineStr"/>
      <c r="K3519" t="inlineStr"/>
      <c r="L3519" s="2" t="n">
        <v>22696</v>
      </c>
      <c r="M3519" t="inlineStr"/>
      <c r="N3519" t="inlineStr">
        <is>
          <t>20250212900050</t>
        </is>
      </c>
      <c r="O3519">
        <f>HYPERLINK("https://dart.fss.or.kr/dsaf001/main.do?rcpNo=20250212900050", "공시열람")</f>
        <v/>
      </c>
    </row>
    <row r="3520">
      <c r="A3520" t="inlineStr">
        <is>
          <t>2025-02-12</t>
        </is>
      </c>
      <c r="B3520" t="inlineStr">
        <is>
          <t>위메이드</t>
        </is>
      </c>
      <c r="C3520" t="inlineStr">
        <is>
          <t>112040</t>
        </is>
      </c>
      <c r="D3520" t="inlineStr">
        <is>
          <t>연결</t>
        </is>
      </c>
      <c r="E3520" t="inlineStr">
        <is>
          <t>2024Q4</t>
        </is>
      </c>
      <c r="F3520" s="2" t="n">
        <v>164956</v>
      </c>
      <c r="G3520" t="inlineStr"/>
      <c r="H3520" t="inlineStr"/>
      <c r="I3520" s="2" t="n">
        <v>18090</v>
      </c>
      <c r="J3520" t="inlineStr"/>
      <c r="K3520" t="inlineStr"/>
      <c r="L3520" s="2" t="n">
        <v>109574</v>
      </c>
      <c r="M3520" t="inlineStr"/>
      <c r="N3520" t="inlineStr">
        <is>
          <t>20250212900115</t>
        </is>
      </c>
      <c r="O3520">
        <f>HYPERLINK("https://dart.fss.or.kr/dsaf001/main.do?rcpNo=20250212900115", "공시열람")</f>
        <v/>
      </c>
    </row>
    <row r="3521">
      <c r="A3521" t="inlineStr">
        <is>
          <t>2025-02-12</t>
        </is>
      </c>
      <c r="B3521" t="inlineStr">
        <is>
          <t>SK텔레콤</t>
        </is>
      </c>
      <c r="C3521" t="inlineStr">
        <is>
          <t>017670</t>
        </is>
      </c>
      <c r="D3521" t="inlineStr">
        <is>
          <t>별도</t>
        </is>
      </c>
      <c r="E3521" t="inlineStr">
        <is>
          <t>2024Q4</t>
        </is>
      </c>
      <c r="F3521" s="2" t="n">
        <v>3190600</v>
      </c>
      <c r="G3521" t="n">
        <v>-0.39</v>
      </c>
      <c r="H3521" t="n">
        <v>-0.43</v>
      </c>
      <c r="I3521" s="2" t="n">
        <v>179300</v>
      </c>
      <c r="J3521" t="n">
        <v>-60.76</v>
      </c>
      <c r="K3521" t="n">
        <v>-29.39</v>
      </c>
      <c r="L3521" s="2" t="n">
        <v>337400</v>
      </c>
      <c r="M3521" t="n">
        <v>194.97</v>
      </c>
      <c r="N3521" t="inlineStr">
        <is>
          <t>20250212800122</t>
        </is>
      </c>
      <c r="O3521">
        <f>HYPERLINK("https://dart.fss.or.kr/dsaf001/main.do?rcpNo=20250212800122", "공시열람")</f>
        <v/>
      </c>
    </row>
    <row r="3522">
      <c r="A3522" t="inlineStr">
        <is>
          <t>2025-02-12</t>
        </is>
      </c>
      <c r="B3522" t="inlineStr">
        <is>
          <t>SK텔레콤</t>
        </is>
      </c>
      <c r="C3522" t="inlineStr">
        <is>
          <t>017670</t>
        </is>
      </c>
      <c r="D3522" t="inlineStr">
        <is>
          <t>연결</t>
        </is>
      </c>
      <c r="E3522" t="inlineStr">
        <is>
          <t>2024Q4</t>
        </is>
      </c>
      <c r="F3522" s="2" t="n">
        <v>4511500</v>
      </c>
      <c r="G3522" t="n">
        <v>-0.45</v>
      </c>
      <c r="H3522" t="n">
        <v>-0.35</v>
      </c>
      <c r="I3522" s="2" t="n">
        <v>254100</v>
      </c>
      <c r="J3522" t="n">
        <v>-52.34</v>
      </c>
      <c r="K3522" t="n">
        <v>-14.44</v>
      </c>
      <c r="L3522" s="2" t="n">
        <v>446500</v>
      </c>
      <c r="M3522" t="n">
        <v>138.21</v>
      </c>
      <c r="N3522" t="inlineStr">
        <is>
          <t>20250212800125</t>
        </is>
      </c>
      <c r="O3522">
        <f>HYPERLINK("https://dart.fss.or.kr/dsaf001/main.do?rcpNo=20250212800125", "공시열람")</f>
        <v/>
      </c>
    </row>
    <row r="3523">
      <c r="A3523" t="inlineStr">
        <is>
          <t>2025-02-12</t>
        </is>
      </c>
      <c r="B3523" t="inlineStr">
        <is>
          <t>에이블씨엔씨</t>
        </is>
      </c>
      <c r="C3523" t="inlineStr">
        <is>
          <t>078520</t>
        </is>
      </c>
      <c r="D3523" t="inlineStr">
        <is>
          <t>연결</t>
        </is>
      </c>
      <c r="E3523" t="inlineStr">
        <is>
          <t>2024Q4</t>
        </is>
      </c>
      <c r="F3523" s="2" t="n">
        <v>69083</v>
      </c>
      <c r="G3523" t="n">
        <v>9.800000000000001</v>
      </c>
      <c r="H3523" t="n">
        <v>-2.2</v>
      </c>
      <c r="I3523" s="2" t="n">
        <v>6181</v>
      </c>
      <c r="J3523" t="n">
        <v>60.1</v>
      </c>
      <c r="K3523" t="n">
        <v>180.6</v>
      </c>
      <c r="L3523" s="2" t="n">
        <v>3963</v>
      </c>
      <c r="M3523" t="n">
        <v>974.9</v>
      </c>
      <c r="N3523" t="inlineStr">
        <is>
          <t>20250212800755</t>
        </is>
      </c>
      <c r="O3523">
        <f>HYPERLINK("https://dart.fss.or.kr/dsaf001/main.do?rcpNo=20250212800755", "공시열람")</f>
        <v/>
      </c>
    </row>
    <row r="3524">
      <c r="A3524" t="inlineStr">
        <is>
          <t>2025-02-12</t>
        </is>
      </c>
      <c r="B3524" t="inlineStr">
        <is>
          <t>GKL</t>
        </is>
      </c>
      <c r="C3524" t="inlineStr">
        <is>
          <t>114090</t>
        </is>
      </c>
      <c r="D3524" t="inlineStr">
        <is>
          <t>연결</t>
        </is>
      </c>
      <c r="E3524" t="inlineStr">
        <is>
          <t>2024Q4</t>
        </is>
      </c>
      <c r="F3524" s="2" t="n">
        <v>105851</v>
      </c>
      <c r="G3524" t="inlineStr"/>
      <c r="H3524" t="inlineStr"/>
      <c r="I3524" s="2" t="n">
        <v>5470</v>
      </c>
      <c r="J3524" t="inlineStr"/>
      <c r="K3524" t="inlineStr"/>
      <c r="L3524" s="2" t="n">
        <v>5489</v>
      </c>
      <c r="M3524" t="inlineStr"/>
      <c r="N3524" t="inlineStr">
        <is>
          <t>20250212800691</t>
        </is>
      </c>
      <c r="O3524">
        <f>HYPERLINK("https://dart.fss.or.kr/dsaf001/main.do?rcpNo=20250212800691", "공시열람")</f>
        <v/>
      </c>
    </row>
    <row r="3525">
      <c r="A3525" t="inlineStr">
        <is>
          <t>2025-02-12</t>
        </is>
      </c>
      <c r="B3525" t="inlineStr">
        <is>
          <t>롯데웰푸드</t>
        </is>
      </c>
      <c r="C3525" t="inlineStr">
        <is>
          <t>280360</t>
        </is>
      </c>
      <c r="D3525" t="inlineStr">
        <is>
          <t>연결</t>
        </is>
      </c>
      <c r="E3525" t="inlineStr">
        <is>
          <t>2024Q4</t>
        </is>
      </c>
      <c r="F3525" s="2" t="n">
        <v>970531</v>
      </c>
      <c r="G3525" t="n">
        <v>-10</v>
      </c>
      <c r="H3525" t="n">
        <v>-0.9</v>
      </c>
      <c r="I3525" s="2" t="n">
        <v>-19567</v>
      </c>
      <c r="J3525" t="inlineStr"/>
      <c r="K3525" t="inlineStr"/>
      <c r="L3525" s="2" t="n">
        <v>-24974</v>
      </c>
      <c r="M3525" t="n">
        <v>-56.1</v>
      </c>
      <c r="N3525" t="inlineStr">
        <is>
          <t>20250212800669</t>
        </is>
      </c>
      <c r="O3525">
        <f>HYPERLINK("https://dart.fss.or.kr/dsaf001/main.do?rcpNo=20250212800669", "공시열람")</f>
        <v/>
      </c>
    </row>
    <row r="3526">
      <c r="A3526" t="inlineStr">
        <is>
          <t>2025-02-12</t>
        </is>
      </c>
      <c r="B3526" t="inlineStr">
        <is>
          <t>파라다이스</t>
        </is>
      </c>
      <c r="C3526" t="inlineStr">
        <is>
          <t>034230</t>
        </is>
      </c>
      <c r="D3526" t="inlineStr">
        <is>
          <t>연결</t>
        </is>
      </c>
      <c r="E3526" t="inlineStr">
        <is>
          <t>2024Q4</t>
        </is>
      </c>
      <c r="F3526" s="2" t="n">
        <v>265800</v>
      </c>
      <c r="G3526" t="n">
        <v>-0.9</v>
      </c>
      <c r="H3526" t="n">
        <v>9.9</v>
      </c>
      <c r="I3526" s="2" t="n">
        <v>19500</v>
      </c>
      <c r="J3526" t="n">
        <v>-46.3</v>
      </c>
      <c r="K3526" t="n">
        <v>32.1</v>
      </c>
      <c r="L3526" s="2" t="n">
        <v>30100</v>
      </c>
      <c r="M3526" t="inlineStr"/>
      <c r="N3526" t="inlineStr">
        <is>
          <t>20250212800635</t>
        </is>
      </c>
      <c r="O3526">
        <f>HYPERLINK("https://dart.fss.or.kr/dsaf001/main.do?rcpNo=20250212800635", "공시열람")</f>
        <v/>
      </c>
    </row>
    <row r="3527">
      <c r="A3527" t="inlineStr">
        <is>
          <t>2025-02-12</t>
        </is>
      </c>
      <c r="B3527" t="inlineStr">
        <is>
          <t>네오위즈</t>
        </is>
      </c>
      <c r="C3527" t="inlineStr">
        <is>
          <t>095660</t>
        </is>
      </c>
      <c r="D3527" t="inlineStr">
        <is>
          <t>연결</t>
        </is>
      </c>
      <c r="E3527" t="inlineStr">
        <is>
          <t>2024Q4</t>
        </is>
      </c>
      <c r="F3527" s="2" t="n">
        <v>89749</v>
      </c>
      <c r="G3527" t="inlineStr"/>
      <c r="H3527" t="inlineStr"/>
      <c r="I3527" s="2" t="n">
        <v>7212</v>
      </c>
      <c r="J3527" t="inlineStr"/>
      <c r="K3527" t="inlineStr"/>
      <c r="L3527" s="2" t="n">
        <v>-27321</v>
      </c>
      <c r="M3527" t="inlineStr"/>
      <c r="N3527" t="inlineStr">
        <is>
          <t>20250212900059</t>
        </is>
      </c>
      <c r="O3527">
        <f>HYPERLINK("https://dart.fss.or.kr/dsaf001/main.do?rcpNo=20250212900059", "공시열람")</f>
        <v/>
      </c>
    </row>
    <row r="3528">
      <c r="A3528" t="inlineStr">
        <is>
          <t>2025-02-12</t>
        </is>
      </c>
      <c r="B3528" t="inlineStr">
        <is>
          <t>엠앤씨솔루션</t>
        </is>
      </c>
      <c r="C3528" t="inlineStr">
        <is>
          <t>484870</t>
        </is>
      </c>
      <c r="D3528" t="inlineStr">
        <is>
          <t>연결</t>
        </is>
      </c>
      <c r="E3528" t="inlineStr">
        <is>
          <t>2024Q4</t>
        </is>
      </c>
      <c r="F3528" s="2" t="n">
        <v>94315</v>
      </c>
      <c r="G3528" t="n">
        <v>50.11</v>
      </c>
      <c r="H3528" t="n">
        <v>21.44</v>
      </c>
      <c r="I3528" s="2" t="n">
        <v>17620</v>
      </c>
      <c r="J3528" t="n">
        <v>163.98</v>
      </c>
      <c r="K3528" t="n">
        <v>51.82</v>
      </c>
      <c r="L3528" s="2" t="n">
        <v>13592</v>
      </c>
      <c r="M3528" t="n">
        <v>15.89</v>
      </c>
      <c r="N3528" t="inlineStr">
        <is>
          <t>20250212800300</t>
        </is>
      </c>
      <c r="O3528">
        <f>HYPERLINK("https://dart.fss.or.kr/dsaf001/main.do?rcpNo=20250212800300", "공시열람")</f>
        <v/>
      </c>
    </row>
    <row r="3529">
      <c r="A3529" t="inlineStr">
        <is>
          <t>2025-02-11</t>
        </is>
      </c>
      <c r="B3529" t="inlineStr">
        <is>
          <t>KT지니뮤직</t>
        </is>
      </c>
      <c r="C3529" t="inlineStr">
        <is>
          <t>043610</t>
        </is>
      </c>
      <c r="D3529" t="inlineStr">
        <is>
          <t>연결</t>
        </is>
      </c>
      <c r="E3529" t="inlineStr">
        <is>
          <t>2024Q4</t>
        </is>
      </c>
      <c r="F3529" s="2" t="n">
        <v>73891</v>
      </c>
      <c r="G3529" t="inlineStr"/>
      <c r="H3529" t="inlineStr"/>
      <c r="I3529" s="2" t="n">
        <v>1102</v>
      </c>
      <c r="J3529" t="inlineStr"/>
      <c r="K3529" t="inlineStr"/>
      <c r="L3529" s="2" t="n">
        <v>-19259</v>
      </c>
      <c r="M3529" t="inlineStr"/>
      <c r="N3529" t="inlineStr">
        <is>
          <t>20250211900862</t>
        </is>
      </c>
      <c r="O3529">
        <f>HYPERLINK("https://dart.fss.or.kr/dsaf001/main.do?rcpNo=20250211900862", "공시열람")</f>
        <v/>
      </c>
    </row>
    <row r="3530">
      <c r="A3530" t="inlineStr">
        <is>
          <t>2025-02-11</t>
        </is>
      </c>
      <c r="B3530" t="inlineStr">
        <is>
          <t>SK네트웍스</t>
        </is>
      </c>
      <c r="C3530" t="inlineStr">
        <is>
          <t>001740</t>
        </is>
      </c>
      <c r="D3530" t="inlineStr">
        <is>
          <t>연결</t>
        </is>
      </c>
      <c r="E3530" t="inlineStr">
        <is>
          <t>2024Q4</t>
        </is>
      </c>
      <c r="F3530" s="2" t="n">
        <v>1848883</v>
      </c>
      <c r="G3530" t="n">
        <v>-9.5</v>
      </c>
      <c r="H3530" t="n">
        <v>-8.800000000000001</v>
      </c>
      <c r="I3530" s="2" t="n">
        <v>36661</v>
      </c>
      <c r="J3530" t="n">
        <v>28</v>
      </c>
      <c r="K3530" t="n">
        <v>60.5</v>
      </c>
      <c r="L3530" s="2" t="n">
        <v>-48100</v>
      </c>
      <c r="M3530" t="n">
        <v>-107.4</v>
      </c>
      <c r="N3530" t="inlineStr">
        <is>
          <t>20250211800770</t>
        </is>
      </c>
      <c r="O3530">
        <f>HYPERLINK("https://dart.fss.or.kr/dsaf001/main.do?rcpNo=20250211800770", "공시열람")</f>
        <v/>
      </c>
    </row>
    <row r="3531">
      <c r="A3531" t="inlineStr">
        <is>
          <t>2025-02-11</t>
        </is>
      </c>
      <c r="B3531" t="inlineStr">
        <is>
          <t>롯데렌탈</t>
        </is>
      </c>
      <c r="C3531" t="inlineStr">
        <is>
          <t>089860</t>
        </is>
      </c>
      <c r="D3531" t="inlineStr">
        <is>
          <t>연결</t>
        </is>
      </c>
      <c r="E3531" t="inlineStr">
        <is>
          <t>2024Q4</t>
        </is>
      </c>
      <c r="F3531" s="2" t="n">
        <v>731283</v>
      </c>
      <c r="G3531" t="inlineStr"/>
      <c r="H3531" t="inlineStr"/>
      <c r="I3531" s="2" t="n">
        <v>71641</v>
      </c>
      <c r="J3531" t="inlineStr"/>
      <c r="K3531" t="inlineStr"/>
      <c r="L3531" s="2" t="n">
        <v>22782</v>
      </c>
      <c r="M3531" t="inlineStr"/>
      <c r="N3531" t="inlineStr">
        <is>
          <t>20250211800744</t>
        </is>
      </c>
      <c r="O3531">
        <f>HYPERLINK("https://dart.fss.or.kr/dsaf001/main.do?rcpNo=20250211800744", "공시열람")</f>
        <v/>
      </c>
    </row>
    <row r="3532">
      <c r="A3532" t="inlineStr">
        <is>
          <t>2025-02-11</t>
        </is>
      </c>
      <c r="B3532" t="inlineStr">
        <is>
          <t>BGF리테일</t>
        </is>
      </c>
      <c r="C3532" t="inlineStr">
        <is>
          <t>282330</t>
        </is>
      </c>
      <c r="D3532" t="inlineStr">
        <is>
          <t>연결</t>
        </is>
      </c>
      <c r="E3532" t="inlineStr">
        <is>
          <t>2024Q4</t>
        </is>
      </c>
      <c r="F3532" s="2" t="n">
        <v>2216500</v>
      </c>
      <c r="G3532" t="n">
        <v>-4.7</v>
      </c>
      <c r="H3532" t="n">
        <v>8.6</v>
      </c>
      <c r="I3532" s="2" t="n">
        <v>51600</v>
      </c>
      <c r="J3532" t="n">
        <v>-43.4</v>
      </c>
      <c r="K3532" t="n">
        <v>1</v>
      </c>
      <c r="L3532" s="2" t="n">
        <v>43400</v>
      </c>
      <c r="M3532" t="n">
        <v>12.4</v>
      </c>
      <c r="N3532" t="inlineStr">
        <is>
          <t>20250211800774</t>
        </is>
      </c>
      <c r="O3532">
        <f>HYPERLINK("https://dart.fss.or.kr/dsaf001/main.do?rcpNo=20250211800774", "공시열람")</f>
        <v/>
      </c>
    </row>
    <row r="3533">
      <c r="A3533" t="inlineStr">
        <is>
          <t>2025-02-11</t>
        </is>
      </c>
      <c r="B3533" t="inlineStr">
        <is>
          <t>BGF에코머티리얼즈</t>
        </is>
      </c>
      <c r="C3533" t="inlineStr">
        <is>
          <t>126600</t>
        </is>
      </c>
      <c r="D3533" t="inlineStr">
        <is>
          <t>연결</t>
        </is>
      </c>
      <c r="E3533" t="inlineStr">
        <is>
          <t>2024Q4</t>
        </is>
      </c>
      <c r="F3533" s="2" t="n">
        <v>98035</v>
      </c>
      <c r="G3533" t="inlineStr"/>
      <c r="H3533" t="inlineStr"/>
      <c r="I3533" s="2" t="n">
        <v>1476</v>
      </c>
      <c r="J3533" t="inlineStr"/>
      <c r="K3533" t="inlineStr"/>
      <c r="L3533" s="2" t="n">
        <v>5378</v>
      </c>
      <c r="M3533" t="inlineStr"/>
      <c r="N3533" t="inlineStr">
        <is>
          <t>20250211900752</t>
        </is>
      </c>
      <c r="O3533">
        <f>HYPERLINK("https://dart.fss.or.kr/dsaf001/main.do?rcpNo=20250211900752", "공시열람")</f>
        <v/>
      </c>
    </row>
    <row r="3534">
      <c r="A3534" t="inlineStr">
        <is>
          <t>2025-02-11</t>
        </is>
      </c>
      <c r="B3534" t="inlineStr">
        <is>
          <t>KT나스미디어</t>
        </is>
      </c>
      <c r="C3534" t="inlineStr">
        <is>
          <t>089600</t>
        </is>
      </c>
      <c r="D3534" t="inlineStr">
        <is>
          <t>별도</t>
        </is>
      </c>
      <c r="E3534" t="inlineStr">
        <is>
          <t>2024Q4</t>
        </is>
      </c>
      <c r="F3534" s="2" t="n">
        <v>29209</v>
      </c>
      <c r="G3534" t="inlineStr"/>
      <c r="H3534" t="inlineStr"/>
      <c r="I3534" s="2" t="n">
        <v>4102</v>
      </c>
      <c r="J3534" t="inlineStr"/>
      <c r="K3534" t="inlineStr"/>
      <c r="L3534" s="2" t="n">
        <v>-12901</v>
      </c>
      <c r="M3534" t="inlineStr"/>
      <c r="N3534" t="inlineStr">
        <is>
          <t>20250211901517</t>
        </is>
      </c>
      <c r="O3534">
        <f>HYPERLINK("https://dart.fss.or.kr/dsaf001/main.do?rcpNo=20250211901517", "공시열람")</f>
        <v/>
      </c>
    </row>
    <row r="3535">
      <c r="A3535" t="inlineStr">
        <is>
          <t>2025-02-11</t>
        </is>
      </c>
      <c r="B3535" t="inlineStr">
        <is>
          <t>BGF</t>
        </is>
      </c>
      <c r="C3535" t="inlineStr">
        <is>
          <t>027410</t>
        </is>
      </c>
      <c r="D3535" t="inlineStr">
        <is>
          <t>연결</t>
        </is>
      </c>
      <c r="E3535" t="inlineStr">
        <is>
          <t>2024Q4</t>
        </is>
      </c>
      <c r="F3535" s="2" t="n">
        <v>112700</v>
      </c>
      <c r="G3535" t="n">
        <v>1.6</v>
      </c>
      <c r="H3535" t="n">
        <v>11.1</v>
      </c>
      <c r="I3535" s="2" t="n">
        <v>8700</v>
      </c>
      <c r="J3535" t="n">
        <v>-58.8</v>
      </c>
      <c r="K3535" t="n">
        <v>-38.3</v>
      </c>
      <c r="L3535" s="2" t="n">
        <v>13300</v>
      </c>
      <c r="M3535" t="n">
        <v>-8.300000000000001</v>
      </c>
      <c r="N3535" t="inlineStr">
        <is>
          <t>20250211800861</t>
        </is>
      </c>
      <c r="O3535">
        <f>HYPERLINK("https://dart.fss.or.kr/dsaf001/main.do?rcpNo=20250211800861", "공시열람")</f>
        <v/>
      </c>
    </row>
    <row r="3536">
      <c r="A3536" t="inlineStr">
        <is>
          <t>2025-02-11</t>
        </is>
      </c>
      <c r="B3536" t="inlineStr">
        <is>
          <t>하나투어</t>
        </is>
      </c>
      <c r="C3536" t="inlineStr">
        <is>
          <t>039130</t>
        </is>
      </c>
      <c r="D3536" t="inlineStr">
        <is>
          <t>연결</t>
        </is>
      </c>
      <c r="E3536" t="inlineStr">
        <is>
          <t>2024Q4</t>
        </is>
      </c>
      <c r="F3536" s="2" t="n">
        <v>142210</v>
      </c>
      <c r="G3536" t="n">
        <v>-10.78</v>
      </c>
      <c r="H3536" t="n">
        <v>18.97</v>
      </c>
      <c r="I3536" s="2" t="n">
        <v>13565</v>
      </c>
      <c r="J3536" t="n">
        <v>12.8</v>
      </c>
      <c r="K3536" t="n">
        <v>21.59</v>
      </c>
      <c r="L3536" s="2" t="n">
        <v>49454</v>
      </c>
      <c r="M3536" t="n">
        <v>260.64</v>
      </c>
      <c r="N3536" t="inlineStr">
        <is>
          <t>20250211801048</t>
        </is>
      </c>
      <c r="O3536">
        <f>HYPERLINK("https://dart.fss.or.kr/dsaf001/main.do?rcpNo=20250211801048", "공시열람")</f>
        <v/>
      </c>
    </row>
    <row r="3537">
      <c r="A3537" t="inlineStr">
        <is>
          <t>2025-02-11</t>
        </is>
      </c>
      <c r="B3537" t="inlineStr">
        <is>
          <t>한전KPS</t>
        </is>
      </c>
      <c r="C3537" t="inlineStr">
        <is>
          <t>051600</t>
        </is>
      </c>
      <c r="D3537" t="inlineStr">
        <is>
          <t>연결</t>
        </is>
      </c>
      <c r="E3537" t="inlineStr">
        <is>
          <t>2024Q4</t>
        </is>
      </c>
      <c r="F3537" s="2" t="n">
        <v>431205</v>
      </c>
      <c r="G3537" t="n">
        <v>21.7</v>
      </c>
      <c r="H3537" t="n">
        <v>-2.1</v>
      </c>
      <c r="I3537" s="2" t="n">
        <v>40875</v>
      </c>
      <c r="J3537" t="n">
        <v>-2.7</v>
      </c>
      <c r="K3537" t="n">
        <v>-31</v>
      </c>
      <c r="L3537" s="2" t="n">
        <v>35458</v>
      </c>
      <c r="M3537" t="n">
        <v>-23.1</v>
      </c>
      <c r="N3537" t="inlineStr">
        <is>
          <t>20250211801213</t>
        </is>
      </c>
      <c r="O3537">
        <f>HYPERLINK("https://dart.fss.or.kr/dsaf001/main.do?rcpNo=20250211801213", "공시열람")</f>
        <v/>
      </c>
    </row>
    <row r="3538">
      <c r="A3538" t="inlineStr">
        <is>
          <t>2025-02-11</t>
        </is>
      </c>
      <c r="B3538" t="inlineStr">
        <is>
          <t>한진칼</t>
        </is>
      </c>
      <c r="C3538" t="inlineStr">
        <is>
          <t>180640</t>
        </is>
      </c>
      <c r="D3538" t="inlineStr">
        <is>
          <t>연결</t>
        </is>
      </c>
      <c r="E3538" t="inlineStr">
        <is>
          <t>2024Q4</t>
        </is>
      </c>
      <c r="F3538" s="2" t="n">
        <v>292157</v>
      </c>
      <c r="G3538" t="n">
        <v>5.96</v>
      </c>
      <c r="H3538" t="inlineStr"/>
      <c r="I3538" s="2" t="n">
        <v>49193</v>
      </c>
      <c r="J3538" t="n">
        <v>14.82</v>
      </c>
      <c r="K3538" t="inlineStr"/>
      <c r="L3538" s="2" t="n">
        <v>518029</v>
      </c>
      <c r="M3538" t="inlineStr"/>
      <c r="N3538" t="inlineStr">
        <is>
          <t>20250211801325</t>
        </is>
      </c>
      <c r="O3538">
        <f>HYPERLINK("https://dart.fss.or.kr/dsaf001/main.do?rcpNo=20250211801325", "공시열람")</f>
        <v/>
      </c>
    </row>
    <row r="3539">
      <c r="A3539" t="inlineStr">
        <is>
          <t>2025-02-11</t>
        </is>
      </c>
      <c r="B3539" t="inlineStr">
        <is>
          <t>KT나스미디어</t>
        </is>
      </c>
      <c r="C3539" t="inlineStr">
        <is>
          <t>089600</t>
        </is>
      </c>
      <c r="D3539" t="inlineStr">
        <is>
          <t>연결</t>
        </is>
      </c>
      <c r="E3539" t="inlineStr">
        <is>
          <t>2024Q4</t>
        </is>
      </c>
      <c r="F3539" s="2" t="n">
        <v>39102</v>
      </c>
      <c r="G3539" t="inlineStr"/>
      <c r="H3539" t="inlineStr"/>
      <c r="I3539" s="2" t="n">
        <v>4692</v>
      </c>
      <c r="J3539" t="inlineStr"/>
      <c r="K3539" t="inlineStr"/>
      <c r="L3539" s="2" t="n">
        <v>-21122</v>
      </c>
      <c r="M3539" t="inlineStr"/>
      <c r="N3539" t="inlineStr">
        <is>
          <t>20250211901519</t>
        </is>
      </c>
      <c r="O3539">
        <f>HYPERLINK("https://dart.fss.or.kr/dsaf001/main.do?rcpNo=20250211901519", "공시열람")</f>
        <v/>
      </c>
    </row>
    <row r="3540">
      <c r="A3540" t="inlineStr">
        <is>
          <t>2025-02-11</t>
        </is>
      </c>
      <c r="B3540" t="inlineStr">
        <is>
          <t>크래프톤</t>
        </is>
      </c>
      <c r="C3540" t="inlineStr">
        <is>
          <t>259960</t>
        </is>
      </c>
      <c r="D3540" t="inlineStr">
        <is>
          <t>연결</t>
        </is>
      </c>
      <c r="E3540" t="inlineStr">
        <is>
          <t>2024Q4</t>
        </is>
      </c>
      <c r="F3540" s="2" t="n">
        <v>617600</v>
      </c>
      <c r="G3540" t="n">
        <v>-14.1</v>
      </c>
      <c r="H3540" t="n">
        <v>15.5</v>
      </c>
      <c r="I3540" s="2" t="n">
        <v>215500</v>
      </c>
      <c r="J3540" t="n">
        <v>-33.6</v>
      </c>
      <c r="K3540" t="n">
        <v>31.1</v>
      </c>
      <c r="L3540" s="2" t="n">
        <v>491200</v>
      </c>
      <c r="M3540" t="inlineStr"/>
      <c r="N3540" t="inlineStr">
        <is>
          <t>20250211800717</t>
        </is>
      </c>
      <c r="O3540">
        <f>HYPERLINK("https://dart.fss.or.kr/dsaf001/main.do?rcpNo=20250211800717", "공시열람")</f>
        <v/>
      </c>
    </row>
    <row r="3541">
      <c r="A3541" t="inlineStr">
        <is>
          <t>2025-02-11</t>
        </is>
      </c>
      <c r="B3541" t="inlineStr">
        <is>
          <t>SKC</t>
        </is>
      </c>
      <c r="C3541" t="inlineStr">
        <is>
          <t>011790</t>
        </is>
      </c>
      <c r="D3541" t="inlineStr">
        <is>
          <t>연결</t>
        </is>
      </c>
      <c r="E3541" t="inlineStr">
        <is>
          <t>2024Q4</t>
        </is>
      </c>
      <c r="F3541" s="2" t="n">
        <v>425000</v>
      </c>
      <c r="G3541" t="inlineStr"/>
      <c r="H3541" t="inlineStr"/>
      <c r="I3541" s="2" t="n">
        <v>-82600</v>
      </c>
      <c r="J3541" t="inlineStr"/>
      <c r="K3541" t="inlineStr"/>
      <c r="L3541" s="2" t="n">
        <v>-262200</v>
      </c>
      <c r="M3541" t="inlineStr"/>
      <c r="N3541" t="inlineStr">
        <is>
          <t>20250211800734</t>
        </is>
      </c>
      <c r="O3541">
        <f>HYPERLINK("https://dart.fss.or.kr/dsaf001/main.do?rcpNo=20250211800734", "공시열람")</f>
        <v/>
      </c>
    </row>
    <row r="3542">
      <c r="A3542" t="inlineStr">
        <is>
          <t>2025-02-11</t>
        </is>
      </c>
      <c r="B3542" t="inlineStr">
        <is>
          <t>펄어비스</t>
        </is>
      </c>
      <c r="C3542" t="inlineStr">
        <is>
          <t>263750</t>
        </is>
      </c>
      <c r="D3542" t="inlineStr">
        <is>
          <t>연결</t>
        </is>
      </c>
      <c r="E3542" t="inlineStr">
        <is>
          <t>2024Q4</t>
        </is>
      </c>
      <c r="F3542" s="2" t="n">
        <v>95730</v>
      </c>
      <c r="G3542" t="inlineStr"/>
      <c r="H3542" t="inlineStr"/>
      <c r="I3542" s="2" t="n">
        <v>2354</v>
      </c>
      <c r="J3542" t="inlineStr"/>
      <c r="K3542" t="inlineStr"/>
      <c r="L3542" s="2" t="n">
        <v>46832</v>
      </c>
      <c r="M3542" t="inlineStr"/>
      <c r="N3542" t="inlineStr">
        <is>
          <t>20250211900004</t>
        </is>
      </c>
      <c r="O3542">
        <f>HYPERLINK("https://dart.fss.or.kr/dsaf001/main.do?rcpNo=20250211900004", "공시열람")</f>
        <v/>
      </c>
    </row>
    <row r="3543">
      <c r="A3543" t="inlineStr">
        <is>
          <t>2025-02-11</t>
        </is>
      </c>
      <c r="B3543" t="inlineStr">
        <is>
          <t>휴온스</t>
        </is>
      </c>
      <c r="C3543" t="inlineStr">
        <is>
          <t>243070</t>
        </is>
      </c>
      <c r="D3543" t="inlineStr">
        <is>
          <t>연결</t>
        </is>
      </c>
      <c r="E3543" t="inlineStr">
        <is>
          <t>2024Q4</t>
        </is>
      </c>
      <c r="F3543" s="2" t="n">
        <v>146623</v>
      </c>
      <c r="G3543" t="inlineStr"/>
      <c r="H3543" t="inlineStr"/>
      <c r="I3543" s="2" t="n">
        <v>11221</v>
      </c>
      <c r="J3543" t="inlineStr"/>
      <c r="K3543" t="inlineStr"/>
      <c r="L3543" s="2" t="n">
        <v>8009</v>
      </c>
      <c r="M3543" t="inlineStr"/>
      <c r="N3543" t="inlineStr">
        <is>
          <t>20250211900662</t>
        </is>
      </c>
      <c r="O3543">
        <f>HYPERLINK("https://dart.fss.or.kr/dsaf001/main.do?rcpNo=20250211900662", "공시열람")</f>
        <v/>
      </c>
    </row>
    <row r="3544">
      <c r="A3544" t="inlineStr">
        <is>
          <t>2025-02-11</t>
        </is>
      </c>
      <c r="B3544" t="inlineStr">
        <is>
          <t>안랩</t>
        </is>
      </c>
      <c r="C3544" t="inlineStr">
        <is>
          <t>053800</t>
        </is>
      </c>
      <c r="D3544" t="inlineStr">
        <is>
          <t>별도</t>
        </is>
      </c>
      <c r="E3544" t="inlineStr">
        <is>
          <t>2024Q4</t>
        </is>
      </c>
      <c r="F3544" s="2" t="n">
        <v>73043</v>
      </c>
      <c r="G3544" t="inlineStr"/>
      <c r="H3544" t="inlineStr"/>
      <c r="I3544" s="2" t="n">
        <v>17244</v>
      </c>
      <c r="J3544" t="inlineStr"/>
      <c r="K3544" t="inlineStr"/>
      <c r="L3544" s="2" t="n">
        <v>19570</v>
      </c>
      <c r="M3544" t="inlineStr"/>
      <c r="N3544" t="inlineStr">
        <is>
          <t>20250211900160</t>
        </is>
      </c>
      <c r="O3544">
        <f>HYPERLINK("https://dart.fss.or.kr/dsaf001/main.do?rcpNo=20250211900160", "공시열람")</f>
        <v/>
      </c>
    </row>
    <row r="3545">
      <c r="A3545" t="inlineStr">
        <is>
          <t>2025-02-11</t>
        </is>
      </c>
      <c r="B3545" t="inlineStr">
        <is>
          <t>카카오게임즈</t>
        </is>
      </c>
      <c r="C3545" t="inlineStr">
        <is>
          <t>293490</t>
        </is>
      </c>
      <c r="D3545" t="inlineStr">
        <is>
          <t>연결</t>
        </is>
      </c>
      <c r="E3545" t="inlineStr">
        <is>
          <t>2024Q4</t>
        </is>
      </c>
      <c r="F3545" s="2" t="n">
        <v>160071</v>
      </c>
      <c r="G3545" t="inlineStr"/>
      <c r="H3545" t="inlineStr"/>
      <c r="I3545" s="2" t="n">
        <v>-6268</v>
      </c>
      <c r="J3545" t="inlineStr"/>
      <c r="K3545" t="inlineStr"/>
      <c r="L3545" s="2" t="n">
        <v>-102340</v>
      </c>
      <c r="M3545" t="inlineStr"/>
      <c r="N3545" t="inlineStr">
        <is>
          <t>20250211900040</t>
        </is>
      </c>
      <c r="O3545">
        <f>HYPERLINK("https://dart.fss.or.kr/dsaf001/main.do?rcpNo=20250211900040", "공시열람")</f>
        <v/>
      </c>
    </row>
    <row r="3546">
      <c r="A3546" t="inlineStr">
        <is>
          <t>2025-02-11</t>
        </is>
      </c>
      <c r="B3546" t="inlineStr">
        <is>
          <t>에코프로머티</t>
        </is>
      </c>
      <c r="C3546" t="inlineStr">
        <is>
          <t>450080</t>
        </is>
      </c>
      <c r="D3546" t="inlineStr">
        <is>
          <t>별도</t>
        </is>
      </c>
      <c r="E3546" t="inlineStr">
        <is>
          <t>2024Q4</t>
        </is>
      </c>
      <c r="F3546" s="2" t="n">
        <v>88095</v>
      </c>
      <c r="G3546" t="n">
        <v>33.7</v>
      </c>
      <c r="H3546" t="n">
        <v>-53.2</v>
      </c>
      <c r="I3546" s="2" t="n">
        <v>-7829</v>
      </c>
      <c r="J3546" t="n">
        <v>79.7</v>
      </c>
      <c r="K3546" t="inlineStr"/>
      <c r="L3546" s="2" t="n">
        <v>-3815</v>
      </c>
      <c r="M3546" t="inlineStr"/>
      <c r="N3546" t="inlineStr">
        <is>
          <t>20250211800077</t>
        </is>
      </c>
      <c r="O3546">
        <f>HYPERLINK("https://dart.fss.or.kr/dsaf001/main.do?rcpNo=20250211800077", "공시열람")</f>
        <v/>
      </c>
    </row>
    <row r="3547">
      <c r="A3547" t="inlineStr">
        <is>
          <t>2025-02-11</t>
        </is>
      </c>
      <c r="B3547" t="inlineStr">
        <is>
          <t>에코프로에이치엔</t>
        </is>
      </c>
      <c r="C3547" t="inlineStr">
        <is>
          <t>383310</t>
        </is>
      </c>
      <c r="D3547" t="inlineStr">
        <is>
          <t>연결</t>
        </is>
      </c>
      <c r="E3547" t="inlineStr">
        <is>
          <t>2024Q4</t>
        </is>
      </c>
      <c r="F3547" s="2" t="n">
        <v>80045</v>
      </c>
      <c r="G3547" t="inlineStr"/>
      <c r="H3547" t="inlineStr"/>
      <c r="I3547" s="2" t="n">
        <v>7605</v>
      </c>
      <c r="J3547" t="inlineStr"/>
      <c r="K3547" t="inlineStr"/>
      <c r="L3547" s="2" t="n">
        <v>6978</v>
      </c>
      <c r="M3547" t="inlineStr"/>
      <c r="N3547" t="inlineStr">
        <is>
          <t>20250211900081</t>
        </is>
      </c>
      <c r="O3547">
        <f>HYPERLINK("https://dart.fss.or.kr/dsaf001/main.do?rcpNo=20250211900081", "공시열람")</f>
        <v/>
      </c>
    </row>
    <row r="3548">
      <c r="A3548" t="inlineStr">
        <is>
          <t>2025-02-11</t>
        </is>
      </c>
      <c r="B3548" t="inlineStr">
        <is>
          <t>에코프로</t>
        </is>
      </c>
      <c r="C3548" t="inlineStr">
        <is>
          <t>086520</t>
        </is>
      </c>
      <c r="D3548" t="inlineStr">
        <is>
          <t>연결</t>
        </is>
      </c>
      <c r="E3548" t="inlineStr">
        <is>
          <t>2024Q4</t>
        </is>
      </c>
      <c r="F3548" s="2" t="n">
        <v>631302</v>
      </c>
      <c r="G3548" t="inlineStr"/>
      <c r="H3548" t="inlineStr"/>
      <c r="I3548" s="2" t="n">
        <v>-121268</v>
      </c>
      <c r="J3548" t="inlineStr"/>
      <c r="K3548" t="inlineStr"/>
      <c r="L3548" s="2" t="n">
        <v>-70244</v>
      </c>
      <c r="M3548" t="inlineStr"/>
      <c r="N3548" t="inlineStr">
        <is>
          <t>20250211900082</t>
        </is>
      </c>
      <c r="O3548">
        <f>HYPERLINK("https://dart.fss.or.kr/dsaf001/main.do?rcpNo=20250211900082", "공시열람")</f>
        <v/>
      </c>
    </row>
    <row r="3549">
      <c r="A3549" t="inlineStr">
        <is>
          <t>2025-02-11</t>
        </is>
      </c>
      <c r="B3549" t="inlineStr">
        <is>
          <t>에코프로비엠</t>
        </is>
      </c>
      <c r="C3549" t="inlineStr">
        <is>
          <t>247540</t>
        </is>
      </c>
      <c r="D3549" t="inlineStr">
        <is>
          <t>연결</t>
        </is>
      </c>
      <c r="E3549" t="inlineStr">
        <is>
          <t>2024Q4</t>
        </is>
      </c>
      <c r="F3549" s="2" t="n">
        <v>464925</v>
      </c>
      <c r="G3549" t="inlineStr"/>
      <c r="H3549" t="inlineStr"/>
      <c r="I3549" s="2" t="n">
        <v>-9552</v>
      </c>
      <c r="J3549" t="inlineStr"/>
      <c r="K3549" t="inlineStr"/>
      <c r="L3549" s="2" t="n">
        <v>6135</v>
      </c>
      <c r="M3549" t="inlineStr"/>
      <c r="N3549" t="inlineStr">
        <is>
          <t>20250211900089</t>
        </is>
      </c>
      <c r="O3549">
        <f>HYPERLINK("https://dart.fss.or.kr/dsaf001/main.do?rcpNo=20250211900089", "공시열람")</f>
        <v/>
      </c>
    </row>
    <row r="3550">
      <c r="A3550" t="inlineStr">
        <is>
          <t>2025-02-11</t>
        </is>
      </c>
      <c r="B3550" t="inlineStr">
        <is>
          <t>CJ대한통운</t>
        </is>
      </c>
      <c r="C3550" t="inlineStr">
        <is>
          <t>000120</t>
        </is>
      </c>
      <c r="D3550" t="inlineStr">
        <is>
          <t>연결</t>
        </is>
      </c>
      <c r="E3550" t="inlineStr">
        <is>
          <t>2024Q4</t>
        </is>
      </c>
      <c r="F3550" s="2" t="n">
        <v>3160340</v>
      </c>
      <c r="G3550" t="n">
        <v>6.2</v>
      </c>
      <c r="H3550" t="n">
        <v>3.3</v>
      </c>
      <c r="I3550" s="2" t="n">
        <v>154326</v>
      </c>
      <c r="J3550" t="n">
        <v>9</v>
      </c>
      <c r="K3550" t="n">
        <v>7.2</v>
      </c>
      <c r="L3550" s="2" t="n">
        <v>91613</v>
      </c>
      <c r="M3550" t="n">
        <v>19.5</v>
      </c>
      <c r="N3550" t="inlineStr">
        <is>
          <t>20250211800079</t>
        </is>
      </c>
      <c r="O3550">
        <f>HYPERLINK("https://dart.fss.or.kr/dsaf001/main.do?rcpNo=20250211800079", "공시열람")</f>
        <v/>
      </c>
    </row>
    <row r="3551">
      <c r="A3551" t="inlineStr">
        <is>
          <t>2025-02-11</t>
        </is>
      </c>
      <c r="B3551" t="inlineStr">
        <is>
          <t>풍산</t>
        </is>
      </c>
      <c r="C3551" t="inlineStr">
        <is>
          <t>103140</t>
        </is>
      </c>
      <c r="D3551" t="inlineStr">
        <is>
          <t>별도</t>
        </is>
      </c>
      <c r="E3551" t="inlineStr">
        <is>
          <t>2024Q4</t>
        </is>
      </c>
      <c r="F3551" s="2" t="n">
        <v>980335</v>
      </c>
      <c r="G3551" t="n">
        <v>18.2</v>
      </c>
      <c r="H3551" t="n">
        <v>11.3</v>
      </c>
      <c r="I3551" s="2" t="n">
        <v>67300</v>
      </c>
      <c r="J3551" t="n">
        <v>-4.7</v>
      </c>
      <c r="K3551" t="n">
        <v>17.9</v>
      </c>
      <c r="L3551" s="2" t="n">
        <v>39770</v>
      </c>
      <c r="M3551" t="n">
        <v>8.6</v>
      </c>
      <c r="N3551" t="inlineStr">
        <is>
          <t>20250211800093</t>
        </is>
      </c>
      <c r="O3551">
        <f>HYPERLINK("https://dart.fss.or.kr/dsaf001/main.do?rcpNo=20250211800093", "공시열람")</f>
        <v/>
      </c>
    </row>
    <row r="3552">
      <c r="A3552" t="inlineStr">
        <is>
          <t>2025-02-11</t>
        </is>
      </c>
      <c r="B3552" t="inlineStr">
        <is>
          <t>풍산</t>
        </is>
      </c>
      <c r="C3552" t="inlineStr">
        <is>
          <t>103140</t>
        </is>
      </c>
      <c r="D3552" t="inlineStr">
        <is>
          <t>연결</t>
        </is>
      </c>
      <c r="E3552" t="inlineStr">
        <is>
          <t>2024Q4</t>
        </is>
      </c>
      <c r="F3552" s="2" t="n">
        <v>1228017</v>
      </c>
      <c r="G3552" t="n">
        <v>8.699999999999999</v>
      </c>
      <c r="H3552" t="n">
        <v>10.3</v>
      </c>
      <c r="I3552" s="2" t="n">
        <v>33869</v>
      </c>
      <c r="J3552" t="n">
        <v>-54.4</v>
      </c>
      <c r="K3552" t="n">
        <v>-41.6</v>
      </c>
      <c r="L3552" s="2" t="n">
        <v>40256</v>
      </c>
      <c r="M3552" t="n">
        <v>9.5</v>
      </c>
      <c r="N3552" t="inlineStr">
        <is>
          <t>20250211800098</t>
        </is>
      </c>
      <c r="O3552">
        <f>HYPERLINK("https://dart.fss.or.kr/dsaf001/main.do?rcpNo=20250211800098", "공시열람")</f>
        <v/>
      </c>
    </row>
    <row r="3553">
      <c r="A3553" t="inlineStr">
        <is>
          <t>2025-02-11</t>
        </is>
      </c>
      <c r="B3553" t="inlineStr">
        <is>
          <t>풍산홀딩스</t>
        </is>
      </c>
      <c r="C3553" t="inlineStr">
        <is>
          <t>005810</t>
        </is>
      </c>
      <c r="D3553" t="inlineStr">
        <is>
          <t>연결</t>
        </is>
      </c>
      <c r="E3553" t="inlineStr">
        <is>
          <t>2024Q4</t>
        </is>
      </c>
      <c r="F3553" s="2" t="n">
        <v>121549</v>
      </c>
      <c r="G3553" t="n">
        <v>11</v>
      </c>
      <c r="H3553" t="n">
        <v>14.3</v>
      </c>
      <c r="I3553" s="2" t="n">
        <v>16649</v>
      </c>
      <c r="J3553" t="n">
        <v>-30.3</v>
      </c>
      <c r="K3553" t="n">
        <v>25.4</v>
      </c>
      <c r="L3553" s="2" t="n">
        <v>17471</v>
      </c>
      <c r="M3553" t="n">
        <v>-42.7</v>
      </c>
      <c r="N3553" t="inlineStr">
        <is>
          <t>20250211800107</t>
        </is>
      </c>
      <c r="O3553">
        <f>HYPERLINK("https://dart.fss.or.kr/dsaf001/main.do?rcpNo=20250211800107", "공시열람")</f>
        <v/>
      </c>
    </row>
    <row r="3554">
      <c r="A3554" t="inlineStr">
        <is>
          <t>2025-02-11</t>
        </is>
      </c>
      <c r="B3554" t="inlineStr">
        <is>
          <t>풍산홀딩스</t>
        </is>
      </c>
      <c r="C3554" t="inlineStr">
        <is>
          <t>005810</t>
        </is>
      </c>
      <c r="D3554" t="inlineStr">
        <is>
          <t>별도</t>
        </is>
      </c>
      <c r="E3554" t="inlineStr">
        <is>
          <t>2024Q4</t>
        </is>
      </c>
      <c r="F3554" s="2" t="n">
        <v>47981</v>
      </c>
      <c r="G3554" t="n">
        <v>27.1</v>
      </c>
      <c r="H3554" t="n">
        <v>32.8</v>
      </c>
      <c r="I3554" s="2" t="n">
        <v>2869</v>
      </c>
      <c r="J3554" t="n">
        <v>-24.5</v>
      </c>
      <c r="K3554" t="n">
        <v>545</v>
      </c>
      <c r="L3554" s="2" t="n">
        <v>1846</v>
      </c>
      <c r="M3554" t="inlineStr"/>
      <c r="N3554" t="inlineStr">
        <is>
          <t>20250211800114</t>
        </is>
      </c>
      <c r="O3554">
        <f>HYPERLINK("https://dart.fss.or.kr/dsaf001/main.do?rcpNo=20250211800114", "공시열람")</f>
        <v/>
      </c>
    </row>
    <row r="3555">
      <c r="A3555" t="inlineStr">
        <is>
          <t>2025-02-11</t>
        </is>
      </c>
      <c r="B3555" t="inlineStr">
        <is>
          <t>안랩</t>
        </is>
      </c>
      <c r="C3555" t="inlineStr">
        <is>
          <t>053800</t>
        </is>
      </c>
      <c r="D3555" t="inlineStr">
        <is>
          <t>연결</t>
        </is>
      </c>
      <c r="E3555" t="inlineStr">
        <is>
          <t>2024Q4</t>
        </is>
      </c>
      <c r="F3555" s="2" t="n">
        <v>82631</v>
      </c>
      <c r="G3555" t="inlineStr"/>
      <c r="H3555" t="inlineStr"/>
      <c r="I3555" s="2" t="n">
        <v>15561</v>
      </c>
      <c r="J3555" t="inlineStr"/>
      <c r="K3555" t="inlineStr"/>
      <c r="L3555" s="2" t="n">
        <v>17551</v>
      </c>
      <c r="M3555" t="inlineStr"/>
      <c r="N3555" t="inlineStr">
        <is>
          <t>20250211900164</t>
        </is>
      </c>
      <c r="O3555">
        <f>HYPERLINK("https://dart.fss.or.kr/dsaf001/main.do?rcpNo=20250211900164", "공시열람")</f>
        <v/>
      </c>
    </row>
    <row r="3556">
      <c r="A3556" t="inlineStr">
        <is>
          <t>2025-02-11</t>
        </is>
      </c>
      <c r="B3556" t="inlineStr">
        <is>
          <t>KG스틸</t>
        </is>
      </c>
      <c r="C3556" t="inlineStr">
        <is>
          <t>016380</t>
        </is>
      </c>
      <c r="D3556" t="inlineStr">
        <is>
          <t>연결</t>
        </is>
      </c>
      <c r="E3556" t="inlineStr">
        <is>
          <t>2024Q4</t>
        </is>
      </c>
      <c r="F3556" s="2" t="n">
        <v>790300</v>
      </c>
      <c r="G3556" t="n">
        <v>-5.35</v>
      </c>
      <c r="H3556" t="n">
        <v>-5.73</v>
      </c>
      <c r="I3556" s="2" t="n">
        <v>38800</v>
      </c>
      <c r="J3556" t="n">
        <v>-9.07</v>
      </c>
      <c r="K3556" t="n">
        <v>14.52</v>
      </c>
      <c r="L3556" s="2" t="n">
        <v>53800</v>
      </c>
      <c r="M3556" t="n">
        <v>-19.89</v>
      </c>
      <c r="N3556" t="inlineStr">
        <is>
          <t>20250211800618</t>
        </is>
      </c>
      <c r="O3556">
        <f>HYPERLINK("https://dart.fss.or.kr/dsaf001/main.do?rcpNo=20250211800618", "공시열람")</f>
        <v/>
      </c>
    </row>
    <row r="3557">
      <c r="A3557" t="inlineStr">
        <is>
          <t>2025-02-11</t>
        </is>
      </c>
      <c r="B3557" t="inlineStr">
        <is>
          <t>동원시스템즈</t>
        </is>
      </c>
      <c r="C3557" t="inlineStr">
        <is>
          <t>014820</t>
        </is>
      </c>
      <c r="D3557" t="inlineStr">
        <is>
          <t>연결</t>
        </is>
      </c>
      <c r="E3557" t="inlineStr">
        <is>
          <t>2024Q4</t>
        </is>
      </c>
      <c r="F3557" s="2" t="n">
        <v>332271</v>
      </c>
      <c r="G3557" t="n">
        <v>-4.66</v>
      </c>
      <c r="H3557" t="n">
        <v>11.02</v>
      </c>
      <c r="I3557" s="2" t="n">
        <v>17351</v>
      </c>
      <c r="J3557" t="n">
        <v>-38.42</v>
      </c>
      <c r="K3557" t="n">
        <v>21.85</v>
      </c>
      <c r="L3557" s="2" t="n">
        <v>16673</v>
      </c>
      <c r="M3557" t="n">
        <v>34.09</v>
      </c>
      <c r="N3557" t="inlineStr">
        <is>
          <t>20250211800204</t>
        </is>
      </c>
      <c r="O3557">
        <f>HYPERLINK("https://dart.fss.or.kr/dsaf001/main.do?rcpNo=20250211800204", "공시열람")</f>
        <v/>
      </c>
    </row>
    <row r="3558">
      <c r="A3558" t="inlineStr">
        <is>
          <t>2025-02-11</t>
        </is>
      </c>
      <c r="B3558" t="inlineStr">
        <is>
          <t>동원시스템즈</t>
        </is>
      </c>
      <c r="C3558" t="inlineStr">
        <is>
          <t>014820</t>
        </is>
      </c>
      <c r="D3558" t="inlineStr">
        <is>
          <t>별도</t>
        </is>
      </c>
      <c r="E3558" t="inlineStr">
        <is>
          <t>2024Q4</t>
        </is>
      </c>
      <c r="F3558" s="2" t="n">
        <v>303273</v>
      </c>
      <c r="G3558" t="n">
        <v>-5.66</v>
      </c>
      <c r="H3558" t="n">
        <v>13.53</v>
      </c>
      <c r="I3558" s="2" t="n">
        <v>14998</v>
      </c>
      <c r="J3558" t="n">
        <v>-38.79</v>
      </c>
      <c r="K3558" t="n">
        <v>27.49</v>
      </c>
      <c r="L3558" s="2" t="n">
        <v>11544</v>
      </c>
      <c r="M3558" t="n">
        <v>43.71</v>
      </c>
      <c r="N3558" t="inlineStr">
        <is>
          <t>20250211800206</t>
        </is>
      </c>
      <c r="O3558">
        <f>HYPERLINK("https://dart.fss.or.kr/dsaf001/main.do?rcpNo=20250211800206", "공시열람")</f>
        <v/>
      </c>
    </row>
    <row r="3559">
      <c r="A3559" t="inlineStr">
        <is>
          <t>2025-02-11</t>
        </is>
      </c>
      <c r="B3559" t="inlineStr">
        <is>
          <t>오리온</t>
        </is>
      </c>
      <c r="C3559" t="inlineStr">
        <is>
          <t>271560</t>
        </is>
      </c>
      <c r="D3559" t="inlineStr">
        <is>
          <t>연결</t>
        </is>
      </c>
      <c r="E3559" t="inlineStr">
        <is>
          <t>2024Q4</t>
        </is>
      </c>
      <c r="F3559" s="2" t="inlineStr"/>
      <c r="G3559" t="inlineStr"/>
      <c r="H3559" t="inlineStr"/>
      <c r="I3559" s="2" t="inlineStr"/>
      <c r="J3559" t="inlineStr"/>
      <c r="K3559" t="inlineStr"/>
      <c r="L3559" s="2" t="inlineStr"/>
      <c r="M3559" t="inlineStr"/>
      <c r="N3559" t="inlineStr">
        <is>
          <t>20250211800294</t>
        </is>
      </c>
      <c r="O3559">
        <f>HYPERLINK("https://dart.fss.or.kr/dsaf001/main.do?rcpNo=20250211800294", "공시열람")</f>
        <v/>
      </c>
    </row>
    <row r="3560">
      <c r="A3560" t="inlineStr">
        <is>
          <t>2025-02-11</t>
        </is>
      </c>
      <c r="B3560" t="inlineStr">
        <is>
          <t>NC</t>
        </is>
      </c>
      <c r="C3560" t="inlineStr">
        <is>
          <t>036570</t>
        </is>
      </c>
      <c r="D3560" t="inlineStr">
        <is>
          <t>연결</t>
        </is>
      </c>
      <c r="E3560" t="inlineStr">
        <is>
          <t>2024Q4</t>
        </is>
      </c>
      <c r="F3560" s="2" t="n">
        <v>409407</v>
      </c>
      <c r="G3560" t="inlineStr"/>
      <c r="H3560" t="inlineStr"/>
      <c r="I3560" s="2" t="n">
        <v>-129491</v>
      </c>
      <c r="J3560" t="inlineStr"/>
      <c r="K3560" t="inlineStr"/>
      <c r="L3560" s="2" t="n">
        <v>-7588</v>
      </c>
      <c r="M3560" t="inlineStr"/>
      <c r="N3560" t="inlineStr">
        <is>
          <t>20250211801514</t>
        </is>
      </c>
      <c r="O3560">
        <f>HYPERLINK("https://dart.fss.or.kr/dsaf001/main.do?rcpNo=20250211801514", "공시열람")</f>
        <v/>
      </c>
    </row>
    <row r="3561">
      <c r="A3561" t="inlineStr">
        <is>
          <t>2025-02-11</t>
        </is>
      </c>
      <c r="B3561" t="inlineStr">
        <is>
          <t>이마트</t>
        </is>
      </c>
      <c r="C3561" t="inlineStr">
        <is>
          <t>139480</t>
        </is>
      </c>
      <c r="D3561" t="inlineStr">
        <is>
          <t>연결</t>
        </is>
      </c>
      <c r="E3561" t="inlineStr">
        <is>
          <t>2024Q4</t>
        </is>
      </c>
      <c r="F3561" s="2" t="n">
        <v>7249700</v>
      </c>
      <c r="G3561" t="n">
        <v>-3.4</v>
      </c>
      <c r="H3561" t="n">
        <v>-1.4</v>
      </c>
      <c r="I3561" s="2" t="n">
        <v>-77100</v>
      </c>
      <c r="J3561" t="inlineStr"/>
      <c r="K3561" t="n">
        <v>9.800000000000001</v>
      </c>
      <c r="L3561" s="2" t="n">
        <v>-596300</v>
      </c>
      <c r="M3561" t="n">
        <v>-456.9</v>
      </c>
      <c r="N3561" t="inlineStr">
        <is>
          <t>20250211800350</t>
        </is>
      </c>
      <c r="O3561">
        <f>HYPERLINK("https://dart.fss.or.kr/dsaf001/main.do?rcpNo=20250211800350", "공시열람")</f>
        <v/>
      </c>
    </row>
    <row r="3562">
      <c r="A3562" t="inlineStr">
        <is>
          <t>2025-02-11</t>
        </is>
      </c>
      <c r="B3562" t="inlineStr">
        <is>
          <t>GS</t>
        </is>
      </c>
      <c r="C3562" t="inlineStr">
        <is>
          <t>078930</t>
        </is>
      </c>
      <c r="D3562" t="inlineStr">
        <is>
          <t>연결</t>
        </is>
      </c>
      <c r="E3562" t="inlineStr">
        <is>
          <t>2024Q4</t>
        </is>
      </c>
      <c r="F3562" s="2" t="n">
        <v>6343212</v>
      </c>
      <c r="G3562" t="n">
        <v>-0.85</v>
      </c>
      <c r="H3562" t="n">
        <v>-2.29</v>
      </c>
      <c r="I3562" s="2" t="n">
        <v>550102</v>
      </c>
      <c r="J3562" t="n">
        <v>-12.37</v>
      </c>
      <c r="K3562" t="n">
        <v>-25.89</v>
      </c>
      <c r="L3562" s="2" t="n">
        <v>52717</v>
      </c>
      <c r="M3562" t="n">
        <v>-56.61</v>
      </c>
      <c r="N3562" t="inlineStr">
        <is>
          <t>20250211800467</t>
        </is>
      </c>
      <c r="O3562">
        <f>HYPERLINK("https://dart.fss.or.kr/dsaf001/main.do?rcpNo=20250211800467", "공시열람")</f>
        <v/>
      </c>
    </row>
    <row r="3563">
      <c r="A3563" t="inlineStr">
        <is>
          <t>2025-02-11</t>
        </is>
      </c>
      <c r="B3563" t="inlineStr">
        <is>
          <t>현대백화점</t>
        </is>
      </c>
      <c r="C3563" t="inlineStr">
        <is>
          <t>069960</t>
        </is>
      </c>
      <c r="D3563" t="inlineStr">
        <is>
          <t>연결</t>
        </is>
      </c>
      <c r="E3563" t="inlineStr">
        <is>
          <t>2024Q4</t>
        </is>
      </c>
      <c r="F3563" s="2" t="n">
        <v>1175200</v>
      </c>
      <c r="G3563" t="n">
        <v>13.3</v>
      </c>
      <c r="H3563" t="n">
        <v>3.5</v>
      </c>
      <c r="I3563" s="2" t="n">
        <v>107900</v>
      </c>
      <c r="J3563" t="n">
        <v>67</v>
      </c>
      <c r="K3563" t="n">
        <v>12.4</v>
      </c>
      <c r="L3563" s="2" t="n">
        <v>45500</v>
      </c>
      <c r="M3563" t="inlineStr"/>
      <c r="N3563" t="inlineStr">
        <is>
          <t>20250211800521</t>
        </is>
      </c>
      <c r="O3563">
        <f>HYPERLINK("https://dart.fss.or.kr/dsaf001/main.do?rcpNo=20250211800521", "공시열람")</f>
        <v/>
      </c>
    </row>
    <row r="3564">
      <c r="A3564" t="inlineStr">
        <is>
          <t>2025-02-11</t>
        </is>
      </c>
      <c r="B3564" t="inlineStr">
        <is>
          <t>현대리바트</t>
        </is>
      </c>
      <c r="C3564" t="inlineStr">
        <is>
          <t>079430</t>
        </is>
      </c>
      <c r="D3564" t="inlineStr">
        <is>
          <t>연결</t>
        </is>
      </c>
      <c r="E3564" t="inlineStr">
        <is>
          <t>2024Q4</t>
        </is>
      </c>
      <c r="F3564" s="2" t="n">
        <v>414798</v>
      </c>
      <c r="G3564" t="n">
        <v>-8.699999999999999</v>
      </c>
      <c r="H3564" t="n">
        <v>-1.3</v>
      </c>
      <c r="I3564" s="2" t="n">
        <v>-696</v>
      </c>
      <c r="J3564" t="inlineStr"/>
      <c r="K3564" t="n">
        <v>95.90000000000001</v>
      </c>
      <c r="L3564" s="2" t="n">
        <v>523</v>
      </c>
      <c r="M3564" t="inlineStr"/>
      <c r="N3564" t="inlineStr">
        <is>
          <t>20250211800524</t>
        </is>
      </c>
      <c r="O3564">
        <f>HYPERLINK("https://dart.fss.or.kr/dsaf001/main.do?rcpNo=20250211800524", "공시열람")</f>
        <v/>
      </c>
    </row>
    <row r="3565">
      <c r="A3565" t="inlineStr">
        <is>
          <t>2025-02-11</t>
        </is>
      </c>
      <c r="B3565" t="inlineStr">
        <is>
          <t>케이엔더블유</t>
        </is>
      </c>
      <c r="C3565" t="inlineStr">
        <is>
          <t>105330</t>
        </is>
      </c>
      <c r="D3565" t="inlineStr">
        <is>
          <t>연결</t>
        </is>
      </c>
      <c r="E3565" t="inlineStr">
        <is>
          <t>2024Q4</t>
        </is>
      </c>
      <c r="F3565" s="2" t="n">
        <v>20127</v>
      </c>
      <c r="G3565" t="inlineStr"/>
      <c r="H3565" t="inlineStr"/>
      <c r="I3565" s="2" t="n">
        <v>-2486</v>
      </c>
      <c r="J3565" t="inlineStr"/>
      <c r="K3565" t="inlineStr"/>
      <c r="L3565" s="2" t="n">
        <v>2485</v>
      </c>
      <c r="M3565" t="inlineStr"/>
      <c r="N3565" t="inlineStr">
        <is>
          <t>20250211900629</t>
        </is>
      </c>
      <c r="O3565">
        <f>HYPERLINK("https://dart.fss.or.kr/dsaf001/main.do?rcpNo=20250211900629", "공시열람")</f>
        <v/>
      </c>
    </row>
    <row r="3566">
      <c r="A3566" t="inlineStr">
        <is>
          <t>2025-02-11</t>
        </is>
      </c>
      <c r="B3566" t="inlineStr">
        <is>
          <t>KG스틸</t>
        </is>
      </c>
      <c r="C3566" t="inlineStr">
        <is>
          <t>016380</t>
        </is>
      </c>
      <c r="D3566" t="inlineStr">
        <is>
          <t>별도</t>
        </is>
      </c>
      <c r="E3566" t="inlineStr">
        <is>
          <t>2024Q4</t>
        </is>
      </c>
      <c r="F3566" s="2" t="n">
        <v>747100</v>
      </c>
      <c r="G3566" t="n">
        <v>-5.45</v>
      </c>
      <c r="H3566" t="n">
        <v>-6.46</v>
      </c>
      <c r="I3566" s="2" t="n">
        <v>48800</v>
      </c>
      <c r="J3566" t="n">
        <v>22.5</v>
      </c>
      <c r="K3566" t="n">
        <v>4.11</v>
      </c>
      <c r="L3566" s="2" t="n">
        <v>59500</v>
      </c>
      <c r="M3566" t="n">
        <v>1032.57</v>
      </c>
      <c r="N3566" t="inlineStr">
        <is>
          <t>20250211800607</t>
        </is>
      </c>
      <c r="O3566">
        <f>HYPERLINK("https://dart.fss.or.kr/dsaf001/main.do?rcpNo=20250211800607", "공시열람")</f>
        <v/>
      </c>
    </row>
    <row r="3567">
      <c r="A3567" t="inlineStr">
        <is>
          <t>2025-02-11</t>
        </is>
      </c>
      <c r="B3567" t="inlineStr">
        <is>
          <t>HK이노엔</t>
        </is>
      </c>
      <c r="C3567" t="inlineStr">
        <is>
          <t>195940</t>
        </is>
      </c>
      <c r="D3567" t="inlineStr">
        <is>
          <t>별도</t>
        </is>
      </c>
      <c r="E3567" t="inlineStr">
        <is>
          <t>2024Q4</t>
        </is>
      </c>
      <c r="F3567" s="2" t="n">
        <v>235772</v>
      </c>
      <c r="G3567" t="inlineStr"/>
      <c r="H3567" t="inlineStr"/>
      <c r="I3567" s="2" t="n">
        <v>24382</v>
      </c>
      <c r="J3567" t="inlineStr"/>
      <c r="K3567" t="inlineStr"/>
      <c r="L3567" s="2" t="n">
        <v>19179</v>
      </c>
      <c r="M3567" t="inlineStr"/>
      <c r="N3567" t="inlineStr">
        <is>
          <t>20250211900558</t>
        </is>
      </c>
      <c r="O3567">
        <f>HYPERLINK("https://dart.fss.or.kr/dsaf001/main.do?rcpNo=20250211900558", "공시열람")</f>
        <v/>
      </c>
    </row>
    <row r="3568">
      <c r="A3568" t="inlineStr">
        <is>
          <t>2025-02-11</t>
        </is>
      </c>
      <c r="B3568" t="inlineStr">
        <is>
          <t>한화</t>
        </is>
      </c>
      <c r="C3568" t="inlineStr">
        <is>
          <t>000880</t>
        </is>
      </c>
      <c r="D3568" t="inlineStr">
        <is>
          <t>연결</t>
        </is>
      </c>
      <c r="E3568" t="inlineStr">
        <is>
          <t>2024Q4</t>
        </is>
      </c>
      <c r="F3568" s="2" t="n">
        <v>17995214</v>
      </c>
      <c r="G3568" t="n">
        <v>47.28</v>
      </c>
      <c r="H3568" t="n">
        <v>24.31</v>
      </c>
      <c r="I3568" s="2" t="n">
        <v>1128901</v>
      </c>
      <c r="J3568" t="n">
        <v>114.85</v>
      </c>
      <c r="K3568" t="n">
        <v>387.22</v>
      </c>
      <c r="L3568" s="2" t="n">
        <v>1952891</v>
      </c>
      <c r="M3568" t="n">
        <v>18770.34</v>
      </c>
      <c r="N3568" t="inlineStr">
        <is>
          <t>20250211801528</t>
        </is>
      </c>
      <c r="O3568">
        <f>HYPERLINK("https://dart.fss.or.kr/dsaf001/main.do?rcpNo=20250211801528", "공시열람")</f>
        <v/>
      </c>
    </row>
    <row r="3569">
      <c r="A3569" t="inlineStr">
        <is>
          <t>2025-02-10</t>
        </is>
      </c>
      <c r="B3569" t="inlineStr">
        <is>
          <t>한국앤컴퍼니</t>
        </is>
      </c>
      <c r="C3569" t="inlineStr">
        <is>
          <t>000240</t>
        </is>
      </c>
      <c r="D3569" t="inlineStr">
        <is>
          <t>연결</t>
        </is>
      </c>
      <c r="E3569" t="inlineStr">
        <is>
          <t>2024Q4</t>
        </is>
      </c>
      <c r="F3569" s="2" t="n">
        <v>293075</v>
      </c>
      <c r="G3569" t="inlineStr"/>
      <c r="H3569" t="inlineStr"/>
      <c r="I3569" s="2" t="n">
        <v>26088</v>
      </c>
      <c r="J3569" t="inlineStr"/>
      <c r="K3569" t="inlineStr"/>
      <c r="L3569" s="2" t="n">
        <v>6982</v>
      </c>
      <c r="M3569" t="inlineStr"/>
      <c r="N3569" t="inlineStr">
        <is>
          <t>20250210801000</t>
        </is>
      </c>
      <c r="O3569">
        <f>HYPERLINK("https://dart.fss.or.kr/dsaf001/main.do?rcpNo=20250210801000", "공시열람")</f>
        <v/>
      </c>
    </row>
    <row r="3570">
      <c r="A3570" t="inlineStr">
        <is>
          <t>2025-02-10</t>
        </is>
      </c>
      <c r="B3570" t="inlineStr">
        <is>
          <t>SM C&amp;C</t>
        </is>
      </c>
      <c r="C3570" t="inlineStr">
        <is>
          <t>048550</t>
        </is>
      </c>
      <c r="D3570" t="inlineStr">
        <is>
          <t>연결</t>
        </is>
      </c>
      <c r="E3570" t="inlineStr">
        <is>
          <t>2024Q4</t>
        </is>
      </c>
      <c r="F3570" s="2" t="n">
        <v>33380</v>
      </c>
      <c r="G3570" t="inlineStr"/>
      <c r="H3570" t="inlineStr"/>
      <c r="I3570" s="2" t="n">
        <v>2112</v>
      </c>
      <c r="J3570" t="inlineStr"/>
      <c r="K3570" t="inlineStr"/>
      <c r="L3570" s="2" t="n">
        <v>-16415</v>
      </c>
      <c r="M3570" t="inlineStr"/>
      <c r="N3570" t="inlineStr">
        <is>
          <t>20250210900974</t>
        </is>
      </c>
      <c r="O3570">
        <f>HYPERLINK("https://dart.fss.or.kr/dsaf001/main.do?rcpNo=20250210900974", "공시열람")</f>
        <v/>
      </c>
    </row>
    <row r="3571">
      <c r="A3571" t="inlineStr">
        <is>
          <t>2025-02-10</t>
        </is>
      </c>
      <c r="B3571" t="inlineStr">
        <is>
          <t>코아스</t>
        </is>
      </c>
      <c r="C3571" t="inlineStr">
        <is>
          <t>071950</t>
        </is>
      </c>
      <c r="D3571" t="inlineStr">
        <is>
          <t>연결</t>
        </is>
      </c>
      <c r="E3571" t="inlineStr">
        <is>
          <t>2024Q4</t>
        </is>
      </c>
      <c r="F3571" s="2" t="n">
        <v>21229</v>
      </c>
      <c r="G3571" t="n">
        <v>18.71</v>
      </c>
      <c r="H3571" t="n">
        <v>-0.5</v>
      </c>
      <c r="I3571" s="2" t="n">
        <v>-5200</v>
      </c>
      <c r="J3571" t="n">
        <v>-174.55</v>
      </c>
      <c r="K3571" t="n">
        <v>-136.79</v>
      </c>
      <c r="L3571" s="2" t="n">
        <v>-5399</v>
      </c>
      <c r="M3571" t="n">
        <v>-16.13</v>
      </c>
      <c r="N3571" t="inlineStr">
        <is>
          <t>20250210800764</t>
        </is>
      </c>
      <c r="O3571">
        <f>HYPERLINK("https://dart.fss.or.kr/dsaf001/main.do?rcpNo=20250210800764", "공시열람")</f>
        <v/>
      </c>
    </row>
    <row r="3572">
      <c r="A3572" t="inlineStr">
        <is>
          <t>2025-02-10</t>
        </is>
      </c>
      <c r="B3572" t="inlineStr">
        <is>
          <t>롯데칠성음료</t>
        </is>
      </c>
      <c r="C3572" t="inlineStr">
        <is>
          <t>005300</t>
        </is>
      </c>
      <c r="D3572" t="inlineStr">
        <is>
          <t>연결</t>
        </is>
      </c>
      <c r="E3572" t="inlineStr">
        <is>
          <t>2024Q4</t>
        </is>
      </c>
      <c r="F3572" s="2" t="n">
        <v>923322</v>
      </c>
      <c r="G3572" t="n">
        <v>-13.3</v>
      </c>
      <c r="H3572" t="n">
        <v>0.5</v>
      </c>
      <c r="I3572" s="2" t="n">
        <v>9204</v>
      </c>
      <c r="J3572" t="n">
        <v>-88.3</v>
      </c>
      <c r="K3572" t="n">
        <v>15.6</v>
      </c>
      <c r="L3572" s="2" t="n">
        <v>-21684</v>
      </c>
      <c r="M3572" t="inlineStr"/>
      <c r="N3572" t="inlineStr">
        <is>
          <t>20250210800738</t>
        </is>
      </c>
      <c r="O3572">
        <f>HYPERLINK("https://dart.fss.or.kr/dsaf001/main.do?rcpNo=20250210800738", "공시열람")</f>
        <v/>
      </c>
    </row>
    <row r="3573">
      <c r="A3573" t="inlineStr">
        <is>
          <t>2025-02-10</t>
        </is>
      </c>
      <c r="B3573" t="inlineStr">
        <is>
          <t>에스엠</t>
        </is>
      </c>
      <c r="C3573" t="inlineStr">
        <is>
          <t>041510</t>
        </is>
      </c>
      <c r="D3573" t="inlineStr">
        <is>
          <t>별도</t>
        </is>
      </c>
      <c r="E3573" t="inlineStr">
        <is>
          <t>2024Q4</t>
        </is>
      </c>
      <c r="F3573" s="2" t="n">
        <v>181764</v>
      </c>
      <c r="G3573" t="inlineStr"/>
      <c r="H3573" t="inlineStr"/>
      <c r="I3573" s="2" t="n">
        <v>35777</v>
      </c>
      <c r="J3573" t="inlineStr"/>
      <c r="K3573" t="inlineStr"/>
      <c r="L3573" s="2" t="n">
        <v>8349</v>
      </c>
      <c r="M3573" t="inlineStr"/>
      <c r="N3573" t="inlineStr">
        <is>
          <t>20250210900881</t>
        </is>
      </c>
      <c r="O3573">
        <f>HYPERLINK("https://dart.fss.or.kr/dsaf001/main.do?rcpNo=20250210900881", "공시열람")</f>
        <v/>
      </c>
    </row>
    <row r="3574">
      <c r="A3574" t="inlineStr">
        <is>
          <t>2025-02-10</t>
        </is>
      </c>
      <c r="B3574" t="inlineStr">
        <is>
          <t>고영</t>
        </is>
      </c>
      <c r="C3574" t="inlineStr">
        <is>
          <t>098460</t>
        </is>
      </c>
      <c r="D3574" t="inlineStr">
        <is>
          <t>연결</t>
        </is>
      </c>
      <c r="E3574" t="inlineStr">
        <is>
          <t>2024Q4</t>
        </is>
      </c>
      <c r="F3574" s="2" t="n">
        <v>50740</v>
      </c>
      <c r="G3574" t="inlineStr"/>
      <c r="H3574" t="inlineStr"/>
      <c r="I3574" s="2" t="n">
        <v>-2713</v>
      </c>
      <c r="J3574" t="inlineStr"/>
      <c r="K3574" t="inlineStr"/>
      <c r="L3574" s="2" t="n">
        <v>12143</v>
      </c>
      <c r="M3574" t="inlineStr"/>
      <c r="N3574" t="inlineStr">
        <is>
          <t>20250210900781</t>
        </is>
      </c>
      <c r="O3574">
        <f>HYPERLINK("https://dart.fss.or.kr/dsaf001/main.do?rcpNo=20250210900781", "공시열람")</f>
        <v/>
      </c>
    </row>
    <row r="3575">
      <c r="A3575" t="inlineStr">
        <is>
          <t>2025-02-10</t>
        </is>
      </c>
      <c r="B3575" t="inlineStr">
        <is>
          <t>레뷰코퍼레이션</t>
        </is>
      </c>
      <c r="C3575" t="inlineStr">
        <is>
          <t>443250</t>
        </is>
      </c>
      <c r="D3575" t="inlineStr">
        <is>
          <t>연결</t>
        </is>
      </c>
      <c r="E3575" t="inlineStr">
        <is>
          <t>2024Q4</t>
        </is>
      </c>
      <c r="F3575" s="2" t="n">
        <v>15593</v>
      </c>
      <c r="G3575" t="inlineStr"/>
      <c r="H3575" t="inlineStr"/>
      <c r="I3575" s="2" t="n">
        <v>2785</v>
      </c>
      <c r="J3575" t="inlineStr"/>
      <c r="K3575" t="inlineStr"/>
      <c r="L3575" s="2" t="n">
        <v>2889</v>
      </c>
      <c r="M3575" t="inlineStr"/>
      <c r="N3575" t="inlineStr">
        <is>
          <t>20250210900835</t>
        </is>
      </c>
      <c r="O3575">
        <f>HYPERLINK("https://dart.fss.or.kr/dsaf001/main.do?rcpNo=20250210900835", "공시열람")</f>
        <v/>
      </c>
    </row>
    <row r="3576">
      <c r="A3576" t="inlineStr">
        <is>
          <t>2025-02-10</t>
        </is>
      </c>
      <c r="B3576" t="inlineStr">
        <is>
          <t>아시아나항공</t>
        </is>
      </c>
      <c r="C3576" t="inlineStr">
        <is>
          <t>020560</t>
        </is>
      </c>
      <c r="D3576" t="inlineStr">
        <is>
          <t>별도</t>
        </is>
      </c>
      <c r="E3576" t="inlineStr">
        <is>
          <t>2024Q4</t>
        </is>
      </c>
      <c r="F3576" s="2" t="n">
        <v>1811114</v>
      </c>
      <c r="G3576" t="n">
        <v>-3.6</v>
      </c>
      <c r="H3576" t="n">
        <v>1.7</v>
      </c>
      <c r="I3576" s="2" t="n">
        <v>-4266</v>
      </c>
      <c r="J3576" t="inlineStr"/>
      <c r="K3576" t="inlineStr"/>
      <c r="L3576" s="2" t="n">
        <v>-298024</v>
      </c>
      <c r="M3576" t="inlineStr"/>
      <c r="N3576" t="inlineStr">
        <is>
          <t>20250210800907</t>
        </is>
      </c>
      <c r="O3576">
        <f>HYPERLINK("https://dart.fss.or.kr/dsaf001/main.do?rcpNo=20250210800907", "공시열람")</f>
        <v/>
      </c>
    </row>
    <row r="3577">
      <c r="A3577" t="inlineStr">
        <is>
          <t>2025-02-10</t>
        </is>
      </c>
      <c r="B3577" t="inlineStr">
        <is>
          <t>에이피알</t>
        </is>
      </c>
      <c r="C3577" t="inlineStr">
        <is>
          <t>278470</t>
        </is>
      </c>
      <c r="D3577" t="inlineStr">
        <is>
          <t>연결</t>
        </is>
      </c>
      <c r="E3577" t="inlineStr">
        <is>
          <t>2024Q4</t>
        </is>
      </c>
      <c r="F3577" s="2" t="n">
        <v>244215</v>
      </c>
      <c r="G3577" t="n">
        <v>40.3</v>
      </c>
      <c r="H3577" t="n">
        <v>60.6</v>
      </c>
      <c r="I3577" s="2" t="n">
        <v>39640</v>
      </c>
      <c r="J3577" t="n">
        <v>45.5</v>
      </c>
      <c r="K3577" t="n">
        <v>15.4</v>
      </c>
      <c r="L3577" s="2" t="n">
        <v>41984</v>
      </c>
      <c r="M3577" t="n">
        <v>74.2</v>
      </c>
      <c r="N3577" t="inlineStr">
        <is>
          <t>20250210800667</t>
        </is>
      </c>
      <c r="O3577">
        <f>HYPERLINK("https://dart.fss.or.kr/dsaf001/main.do?rcpNo=20250210800667", "공시열람")</f>
        <v/>
      </c>
    </row>
    <row r="3578">
      <c r="A3578" t="inlineStr">
        <is>
          <t>2025-02-10</t>
        </is>
      </c>
      <c r="B3578" t="inlineStr">
        <is>
          <t>에스티팜</t>
        </is>
      </c>
      <c r="C3578" t="inlineStr">
        <is>
          <t>237690</t>
        </is>
      </c>
      <c r="D3578" t="inlineStr">
        <is>
          <t>연결</t>
        </is>
      </c>
      <c r="E3578" t="inlineStr">
        <is>
          <t>2024Q4</t>
        </is>
      </c>
      <c r="F3578" s="2" t="n">
        <v>117916</v>
      </c>
      <c r="G3578" t="inlineStr"/>
      <c r="H3578" t="inlineStr"/>
      <c r="I3578" s="2" t="n">
        <v>25236</v>
      </c>
      <c r="J3578" t="inlineStr"/>
      <c r="K3578" t="inlineStr"/>
      <c r="L3578" s="2" t="n">
        <v>2831</v>
      </c>
      <c r="M3578" t="inlineStr"/>
      <c r="N3578" t="inlineStr">
        <is>
          <t>20250210900515</t>
        </is>
      </c>
      <c r="O3578">
        <f>HYPERLINK("https://dart.fss.or.kr/dsaf001/main.do?rcpNo=20250210900515", "공시열람")</f>
        <v/>
      </c>
    </row>
    <row r="3579">
      <c r="A3579" t="inlineStr">
        <is>
          <t>2025-02-10</t>
        </is>
      </c>
      <c r="B3579" t="inlineStr">
        <is>
          <t>동국씨엠</t>
        </is>
      </c>
      <c r="C3579" t="inlineStr">
        <is>
          <t>460850</t>
        </is>
      </c>
      <c r="D3579" t="inlineStr">
        <is>
          <t>별도</t>
        </is>
      </c>
      <c r="E3579" t="inlineStr">
        <is>
          <t>2024Q4</t>
        </is>
      </c>
      <c r="F3579" s="2" t="n">
        <v>506160</v>
      </c>
      <c r="G3579" t="n">
        <v>-5.98</v>
      </c>
      <c r="H3579" t="n">
        <v>-3.48</v>
      </c>
      <c r="I3579" s="2" t="n">
        <v>2867</v>
      </c>
      <c r="J3579" t="n">
        <v>-86.69</v>
      </c>
      <c r="K3579" t="inlineStr"/>
      <c r="L3579" s="2" t="n">
        <v>7321</v>
      </c>
      <c r="M3579" t="inlineStr"/>
      <c r="N3579" t="inlineStr">
        <is>
          <t>20250210800559</t>
        </is>
      </c>
      <c r="O3579">
        <f>HYPERLINK("https://dart.fss.or.kr/dsaf001/main.do?rcpNo=20250210800559", "공시열람")</f>
        <v/>
      </c>
    </row>
    <row r="3580">
      <c r="A3580" t="inlineStr">
        <is>
          <t>2025-02-10</t>
        </is>
      </c>
      <c r="B3580" t="inlineStr">
        <is>
          <t>OCI홀딩스</t>
        </is>
      </c>
      <c r="C3580" t="inlineStr">
        <is>
          <t>010060</t>
        </is>
      </c>
      <c r="D3580" t="inlineStr">
        <is>
          <t>연결</t>
        </is>
      </c>
      <c r="E3580" t="inlineStr">
        <is>
          <t>2024Q4</t>
        </is>
      </c>
      <c r="F3580" s="2" t="n">
        <v>853916</v>
      </c>
      <c r="G3580" t="n">
        <v>-6</v>
      </c>
      <c r="H3580" t="n">
        <v>32.3</v>
      </c>
      <c r="I3580" s="2" t="n">
        <v>-107803</v>
      </c>
      <c r="J3580" t="inlineStr"/>
      <c r="K3580" t="inlineStr"/>
      <c r="L3580" s="2" t="n">
        <v>-81935</v>
      </c>
      <c r="M3580" t="n">
        <v>-1130.8</v>
      </c>
      <c r="N3580" t="inlineStr">
        <is>
          <t>20250210800597</t>
        </is>
      </c>
      <c r="O3580">
        <f>HYPERLINK("https://dart.fss.or.kr/dsaf001/main.do?rcpNo=20250210800597", "공시열람")</f>
        <v/>
      </c>
    </row>
    <row r="3581">
      <c r="A3581" t="inlineStr">
        <is>
          <t>2025-02-10</t>
        </is>
      </c>
      <c r="B3581" t="inlineStr">
        <is>
          <t>빅텍</t>
        </is>
      </c>
      <c r="C3581" t="inlineStr">
        <is>
          <t>065450</t>
        </is>
      </c>
      <c r="D3581" t="inlineStr">
        <is>
          <t>연결</t>
        </is>
      </c>
      <c r="E3581" t="inlineStr">
        <is>
          <t>2024Q4</t>
        </is>
      </c>
      <c r="F3581" s="2" t="n">
        <v>25990</v>
      </c>
      <c r="G3581" t="inlineStr"/>
      <c r="H3581" t="inlineStr"/>
      <c r="I3581" s="2" t="n">
        <v>2262</v>
      </c>
      <c r="J3581" t="inlineStr"/>
      <c r="K3581" t="inlineStr"/>
      <c r="L3581" s="2" t="n">
        <v>2331</v>
      </c>
      <c r="M3581" t="inlineStr"/>
      <c r="N3581" t="inlineStr">
        <is>
          <t>20250210900612</t>
        </is>
      </c>
      <c r="O3581">
        <f>HYPERLINK("https://dart.fss.or.kr/dsaf001/main.do?rcpNo=20250210900612", "공시열람")</f>
        <v/>
      </c>
    </row>
    <row r="3582">
      <c r="A3582" t="inlineStr">
        <is>
          <t>2025-02-10</t>
        </is>
      </c>
      <c r="B3582" t="inlineStr">
        <is>
          <t>레이크머티리얼즈</t>
        </is>
      </c>
      <c r="C3582" t="inlineStr">
        <is>
          <t>281740</t>
        </is>
      </c>
      <c r="D3582" t="inlineStr">
        <is>
          <t>연결</t>
        </is>
      </c>
      <c r="E3582" t="inlineStr">
        <is>
          <t>2024Q4</t>
        </is>
      </c>
      <c r="F3582" s="2" t="n">
        <v>44725</v>
      </c>
      <c r="G3582" t="inlineStr"/>
      <c r="H3582" t="inlineStr"/>
      <c r="I3582" s="2" t="n">
        <v>8228</v>
      </c>
      <c r="J3582" t="inlineStr"/>
      <c r="K3582" t="inlineStr"/>
      <c r="L3582" s="2" t="n">
        <v>8924</v>
      </c>
      <c r="M3582" t="inlineStr"/>
      <c r="N3582" t="inlineStr">
        <is>
          <t>20250210900599</t>
        </is>
      </c>
      <c r="O3582">
        <f>HYPERLINK("https://dart.fss.or.kr/dsaf001/main.do?rcpNo=20250210900599", "공시열람")</f>
        <v/>
      </c>
    </row>
    <row r="3583">
      <c r="A3583" t="inlineStr">
        <is>
          <t>2025-02-10</t>
        </is>
      </c>
      <c r="B3583" t="inlineStr">
        <is>
          <t>한국석유공업</t>
        </is>
      </c>
      <c r="C3583" t="inlineStr">
        <is>
          <t>004090</t>
        </is>
      </c>
      <c r="D3583" t="inlineStr">
        <is>
          <t>연결</t>
        </is>
      </c>
      <c r="E3583" t="inlineStr">
        <is>
          <t>2024Q4</t>
        </is>
      </c>
      <c r="F3583" s="2" t="n">
        <v>188742</v>
      </c>
      <c r="G3583" t="n">
        <v>8.1</v>
      </c>
      <c r="H3583" t="n">
        <v>9.5</v>
      </c>
      <c r="I3583" s="2" t="n">
        <v>3195</v>
      </c>
      <c r="J3583" t="n">
        <v>26.4</v>
      </c>
      <c r="K3583" t="n">
        <v>5</v>
      </c>
      <c r="L3583" s="2" t="n">
        <v>2697</v>
      </c>
      <c r="M3583" t="n">
        <v>-60.4</v>
      </c>
      <c r="N3583" t="inlineStr">
        <is>
          <t>20250210800658</t>
        </is>
      </c>
      <c r="O3583">
        <f>HYPERLINK("https://dart.fss.or.kr/dsaf001/main.do?rcpNo=20250210800658", "공시열람")</f>
        <v/>
      </c>
    </row>
    <row r="3584">
      <c r="A3584" t="inlineStr">
        <is>
          <t>2025-02-10</t>
        </is>
      </c>
      <c r="B3584" t="inlineStr">
        <is>
          <t>SK이터닉스</t>
        </is>
      </c>
      <c r="C3584" t="inlineStr">
        <is>
          <t>475150</t>
        </is>
      </c>
      <c r="D3584" t="inlineStr">
        <is>
          <t>연결</t>
        </is>
      </c>
      <c r="E3584" t="inlineStr">
        <is>
          <t>2024Q4</t>
        </is>
      </c>
      <c r="F3584" s="2" t="n">
        <v>154100</v>
      </c>
      <c r="G3584" t="n">
        <v>-3.9</v>
      </c>
      <c r="H3584" t="inlineStr"/>
      <c r="I3584" s="2" t="n">
        <v>25100</v>
      </c>
      <c r="J3584" t="n">
        <v>74.3</v>
      </c>
      <c r="K3584" t="inlineStr"/>
      <c r="L3584" s="2" t="n">
        <v>19800</v>
      </c>
      <c r="M3584" t="inlineStr"/>
      <c r="N3584" t="inlineStr">
        <is>
          <t>20250210800993</t>
        </is>
      </c>
      <c r="O3584">
        <f>HYPERLINK("https://dart.fss.or.kr/dsaf001/main.do?rcpNo=20250210800993", "공시열람")</f>
        <v/>
      </c>
    </row>
    <row r="3585">
      <c r="A3585" t="inlineStr">
        <is>
          <t>2025-02-10</t>
        </is>
      </c>
      <c r="B3585" t="inlineStr">
        <is>
          <t>시프트업</t>
        </is>
      </c>
      <c r="C3585" t="inlineStr">
        <is>
          <t>462870</t>
        </is>
      </c>
      <c r="D3585" t="inlineStr">
        <is>
          <t>별도</t>
        </is>
      </c>
      <c r="E3585" t="inlineStr">
        <is>
          <t>2024Q4</t>
        </is>
      </c>
      <c r="F3585" s="2" t="n">
        <v>59258</v>
      </c>
      <c r="G3585" t="n">
        <v>2.1</v>
      </c>
      <c r="H3585" t="n">
        <v>29.3</v>
      </c>
      <c r="I3585" s="2" t="n">
        <v>42062</v>
      </c>
      <c r="J3585" t="n">
        <v>18.2</v>
      </c>
      <c r="K3585" t="n">
        <v>29.9</v>
      </c>
      <c r="L3585" s="2" t="n">
        <v>54168</v>
      </c>
      <c r="M3585" t="n">
        <v>66.09999999999999</v>
      </c>
      <c r="N3585" t="inlineStr">
        <is>
          <t>20250210800921</t>
        </is>
      </c>
      <c r="O3585">
        <f>HYPERLINK("https://dart.fss.or.kr/dsaf001/main.do?rcpNo=20250210800921", "공시열람")</f>
        <v/>
      </c>
    </row>
    <row r="3586">
      <c r="A3586" t="inlineStr">
        <is>
          <t>2025-02-10</t>
        </is>
      </c>
      <c r="B3586" t="inlineStr">
        <is>
          <t>동아에스티</t>
        </is>
      </c>
      <c r="C3586" t="inlineStr">
        <is>
          <t>170900</t>
        </is>
      </c>
      <c r="D3586" t="inlineStr">
        <is>
          <t>별도</t>
        </is>
      </c>
      <c r="E3586" t="inlineStr">
        <is>
          <t>2024Q4</t>
        </is>
      </c>
      <c r="F3586" s="2" t="n">
        <v>163489</v>
      </c>
      <c r="G3586" t="n">
        <v>-8.9</v>
      </c>
      <c r="H3586" t="n">
        <v>-1.3</v>
      </c>
      <c r="I3586" s="2" t="n">
        <v>4836</v>
      </c>
      <c r="J3586" t="n">
        <v>-75.59999999999999</v>
      </c>
      <c r="K3586" t="n">
        <v>15.2</v>
      </c>
      <c r="L3586" s="2" t="n">
        <v>5420</v>
      </c>
      <c r="M3586" t="inlineStr"/>
      <c r="N3586" t="inlineStr">
        <is>
          <t>20250210800449</t>
        </is>
      </c>
      <c r="O3586">
        <f>HYPERLINK("https://dart.fss.or.kr/dsaf001/main.do?rcpNo=20250210800449", "공시열람")</f>
        <v/>
      </c>
    </row>
    <row r="3587">
      <c r="A3587" t="inlineStr">
        <is>
          <t>2025-02-10</t>
        </is>
      </c>
      <c r="B3587" t="inlineStr">
        <is>
          <t>CJ제일제당</t>
        </is>
      </c>
      <c r="C3587" t="inlineStr">
        <is>
          <t>097950</t>
        </is>
      </c>
      <c r="D3587" t="inlineStr">
        <is>
          <t>연결</t>
        </is>
      </c>
      <c r="E3587" t="inlineStr">
        <is>
          <t>2024Q4</t>
        </is>
      </c>
      <c r="F3587" s="2" t="n">
        <v>7490168</v>
      </c>
      <c r="G3587" t="n">
        <v>1</v>
      </c>
      <c r="H3587" t="n">
        <v>2.8</v>
      </c>
      <c r="I3587" s="2" t="n">
        <v>377320</v>
      </c>
      <c r="J3587" t="n">
        <v>-9.300000000000001</v>
      </c>
      <c r="K3587" t="n">
        <v>26.5</v>
      </c>
      <c r="L3587" s="2" t="n">
        <v>-152837</v>
      </c>
      <c r="M3587" t="inlineStr"/>
      <c r="N3587" t="inlineStr">
        <is>
          <t>20250210801057</t>
        </is>
      </c>
      <c r="O3587">
        <f>HYPERLINK("https://dart.fss.or.kr/dsaf001/main.do?rcpNo=20250210801057", "공시열람")</f>
        <v/>
      </c>
    </row>
    <row r="3588">
      <c r="A3588" t="inlineStr">
        <is>
          <t>2025-02-10</t>
        </is>
      </c>
      <c r="B3588" t="inlineStr">
        <is>
          <t>KTis</t>
        </is>
      </c>
      <c r="C3588" t="inlineStr">
        <is>
          <t>058860</t>
        </is>
      </c>
      <c r="D3588" t="inlineStr">
        <is>
          <t>별도</t>
        </is>
      </c>
      <c r="E3588" t="inlineStr">
        <is>
          <t>2024Q4</t>
        </is>
      </c>
      <c r="F3588" s="2" t="n">
        <v>150864</v>
      </c>
      <c r="G3588" t="inlineStr"/>
      <c r="H3588" t="inlineStr"/>
      <c r="I3588" s="2" t="n">
        <v>5033</v>
      </c>
      <c r="J3588" t="inlineStr"/>
      <c r="K3588" t="inlineStr"/>
      <c r="L3588" s="2" t="n">
        <v>2039</v>
      </c>
      <c r="M3588" t="inlineStr"/>
      <c r="N3588" t="inlineStr">
        <is>
          <t>20250210801096</t>
        </is>
      </c>
      <c r="O3588">
        <f>HYPERLINK("https://dart.fss.or.kr/dsaf001/main.do?rcpNo=20250210801096", "공시열람")</f>
        <v/>
      </c>
    </row>
    <row r="3589">
      <c r="A3589" t="inlineStr">
        <is>
          <t>2025-02-10</t>
        </is>
      </c>
      <c r="B3589" t="inlineStr">
        <is>
          <t>아이에스동서</t>
        </is>
      </c>
      <c r="C3589" t="inlineStr">
        <is>
          <t>010780</t>
        </is>
      </c>
      <c r="D3589" t="inlineStr">
        <is>
          <t>연결</t>
        </is>
      </c>
      <c r="E3589" t="inlineStr">
        <is>
          <t>2024Q4</t>
        </is>
      </c>
      <c r="F3589" s="2" t="n">
        <v>299520</v>
      </c>
      <c r="G3589" t="n">
        <v>-23.7</v>
      </c>
      <c r="H3589" t="n">
        <v>-39</v>
      </c>
      <c r="I3589" s="2" t="n">
        <v>13274</v>
      </c>
      <c r="J3589" t="n">
        <v>-45.7</v>
      </c>
      <c r="K3589" t="n">
        <v>-84.5</v>
      </c>
      <c r="L3589" s="2" t="n">
        <v>-211736</v>
      </c>
      <c r="M3589" t="n">
        <v>-322.4</v>
      </c>
      <c r="N3589" t="inlineStr">
        <is>
          <t>20250210801268</t>
        </is>
      </c>
      <c r="O3589">
        <f>HYPERLINK("https://dart.fss.or.kr/dsaf001/main.do?rcpNo=20250210801268", "공시열람")</f>
        <v/>
      </c>
    </row>
    <row r="3590">
      <c r="A3590" t="inlineStr">
        <is>
          <t>2025-02-10</t>
        </is>
      </c>
      <c r="B3590" t="inlineStr">
        <is>
          <t>한화에어로스페이스</t>
        </is>
      </c>
      <c r="C3590" t="inlineStr">
        <is>
          <t>012450</t>
        </is>
      </c>
      <c r="D3590" t="inlineStr">
        <is>
          <t>연결</t>
        </is>
      </c>
      <c r="E3590" t="inlineStr">
        <is>
          <t>2024Q4</t>
        </is>
      </c>
      <c r="F3590" s="2" t="n">
        <v>4831100</v>
      </c>
      <c r="G3590" t="n">
        <v>83.59999999999999</v>
      </c>
      <c r="H3590" t="n">
        <v>56</v>
      </c>
      <c r="I3590" s="2" t="n">
        <v>892500</v>
      </c>
      <c r="J3590" t="n">
        <v>87</v>
      </c>
      <c r="K3590" t="n">
        <v>222.1</v>
      </c>
      <c r="L3590" s="2" t="n">
        <v>2052300</v>
      </c>
      <c r="M3590" t="n">
        <v>937.6</v>
      </c>
      <c r="N3590" t="inlineStr">
        <is>
          <t>20250210801475</t>
        </is>
      </c>
      <c r="O3590">
        <f>HYPERLINK("https://dart.fss.or.kr/dsaf001/main.do?rcpNo=20250210801475", "공시열람")</f>
        <v/>
      </c>
    </row>
    <row r="3591">
      <c r="A3591" t="inlineStr">
        <is>
          <t>2025-02-10</t>
        </is>
      </c>
      <c r="B3591" t="inlineStr">
        <is>
          <t>한진</t>
        </is>
      </c>
      <c r="C3591" t="inlineStr">
        <is>
          <t>002320</t>
        </is>
      </c>
      <c r="D3591" t="inlineStr">
        <is>
          <t>연결</t>
        </is>
      </c>
      <c r="E3591" t="inlineStr">
        <is>
          <t>2024Q4</t>
        </is>
      </c>
      <c r="F3591" s="2" t="n">
        <v>812600</v>
      </c>
      <c r="G3591" t="n">
        <v>7.4</v>
      </c>
      <c r="H3591" t="n">
        <v>8.5</v>
      </c>
      <c r="I3591" s="2" t="n">
        <v>-100</v>
      </c>
      <c r="J3591" t="inlineStr"/>
      <c r="K3591" t="inlineStr"/>
      <c r="L3591" s="2" t="n">
        <v>-22700</v>
      </c>
      <c r="M3591" t="inlineStr"/>
      <c r="N3591" t="inlineStr">
        <is>
          <t>20250210801510</t>
        </is>
      </c>
      <c r="O3591">
        <f>HYPERLINK("https://dart.fss.or.kr/dsaf001/main.do?rcpNo=20250210801510", "공시열람")</f>
        <v/>
      </c>
    </row>
    <row r="3592">
      <c r="A3592" t="inlineStr">
        <is>
          <t>2025-02-10</t>
        </is>
      </c>
      <c r="B3592" t="inlineStr">
        <is>
          <t>LX홀딩스</t>
        </is>
      </c>
      <c r="C3592" t="inlineStr">
        <is>
          <t>383800</t>
        </is>
      </c>
      <c r="D3592" t="inlineStr">
        <is>
          <t>연결</t>
        </is>
      </c>
      <c r="E3592" t="inlineStr">
        <is>
          <t>2024Q4</t>
        </is>
      </c>
      <c r="F3592" s="2" t="n">
        <v>9852</v>
      </c>
      <c r="G3592" t="n">
        <v>-10.4</v>
      </c>
      <c r="H3592" t="n">
        <v>0.1</v>
      </c>
      <c r="I3592" s="2" t="n">
        <v>-6099</v>
      </c>
      <c r="J3592" t="inlineStr"/>
      <c r="K3592" t="n">
        <v>32.8</v>
      </c>
      <c r="L3592" s="2" t="n">
        <v>-3112</v>
      </c>
      <c r="M3592" t="n">
        <v>42</v>
      </c>
      <c r="N3592" t="inlineStr">
        <is>
          <t>20250210801365</t>
        </is>
      </c>
      <c r="O3592">
        <f>HYPERLINK("https://dart.fss.or.kr/dsaf001/main.do?rcpNo=20250210801365", "공시열람")</f>
        <v/>
      </c>
    </row>
    <row r="3593">
      <c r="A3593" t="inlineStr">
        <is>
          <t>2025-02-10</t>
        </is>
      </c>
      <c r="B3593" t="inlineStr">
        <is>
          <t>아이크래프트</t>
        </is>
      </c>
      <c r="C3593" t="inlineStr">
        <is>
          <t>052460</t>
        </is>
      </c>
      <c r="D3593" t="inlineStr">
        <is>
          <t>연결</t>
        </is>
      </c>
      <c r="E3593" t="inlineStr">
        <is>
          <t>2024Q4</t>
        </is>
      </c>
      <c r="F3593" s="2" t="n">
        <v>29945</v>
      </c>
      <c r="G3593" t="inlineStr"/>
      <c r="H3593" t="inlineStr"/>
      <c r="I3593" s="2" t="n">
        <v>902</v>
      </c>
      <c r="J3593" t="inlineStr"/>
      <c r="K3593" t="inlineStr"/>
      <c r="L3593" s="2" t="n">
        <v>-656</v>
      </c>
      <c r="M3593" t="inlineStr"/>
      <c r="N3593" t="inlineStr">
        <is>
          <t>20250210901376</t>
        </is>
      </c>
      <c r="O3593">
        <f>HYPERLINK("https://dart.fss.or.kr/dsaf001/main.do?rcpNo=20250210901376", "공시열람")</f>
        <v/>
      </c>
    </row>
    <row r="3594">
      <c r="A3594" t="inlineStr">
        <is>
          <t>2025-02-10</t>
        </is>
      </c>
      <c r="B3594" t="inlineStr">
        <is>
          <t>아이크래프트</t>
        </is>
      </c>
      <c r="C3594" t="inlineStr">
        <is>
          <t>052460</t>
        </is>
      </c>
      <c r="D3594" t="inlineStr">
        <is>
          <t>별도</t>
        </is>
      </c>
      <c r="E3594" t="inlineStr">
        <is>
          <t>2024Q4</t>
        </is>
      </c>
      <c r="F3594" s="2" t="n">
        <v>21101</v>
      </c>
      <c r="G3594" t="inlineStr"/>
      <c r="H3594" t="inlineStr"/>
      <c r="I3594" s="2" t="n">
        <v>363</v>
      </c>
      <c r="J3594" t="inlineStr"/>
      <c r="K3594" t="inlineStr"/>
      <c r="L3594" s="2" t="n">
        <v>-262</v>
      </c>
      <c r="M3594" t="inlineStr"/>
      <c r="N3594" t="inlineStr">
        <is>
          <t>20250210901370</t>
        </is>
      </c>
      <c r="O3594">
        <f>HYPERLINK("https://dart.fss.or.kr/dsaf001/main.do?rcpNo=20250210901370", "공시열람")</f>
        <v/>
      </c>
    </row>
    <row r="3595">
      <c r="A3595" t="inlineStr">
        <is>
          <t>2025-02-10</t>
        </is>
      </c>
      <c r="B3595" t="inlineStr">
        <is>
          <t>칩스앤미디어</t>
        </is>
      </c>
      <c r="C3595" t="inlineStr">
        <is>
          <t>094360</t>
        </is>
      </c>
      <c r="D3595" t="inlineStr">
        <is>
          <t>연결</t>
        </is>
      </c>
      <c r="E3595" t="inlineStr">
        <is>
          <t>2024Q4</t>
        </is>
      </c>
      <c r="F3595" s="2" t="n">
        <v>9087</v>
      </c>
      <c r="G3595" t="inlineStr"/>
      <c r="H3595" t="inlineStr"/>
      <c r="I3595" s="2" t="n">
        <v>2918</v>
      </c>
      <c r="J3595" t="inlineStr"/>
      <c r="K3595" t="inlineStr"/>
      <c r="L3595" s="2" t="n">
        <v>6287</v>
      </c>
      <c r="M3595" t="inlineStr"/>
      <c r="N3595" t="inlineStr">
        <is>
          <t>20250210900294</t>
        </is>
      </c>
      <c r="O3595">
        <f>HYPERLINK("https://dart.fss.or.kr/dsaf001/main.do?rcpNo=20250210900294", "공시열람")</f>
        <v/>
      </c>
    </row>
    <row r="3596">
      <c r="A3596" t="inlineStr">
        <is>
          <t>2025-02-10</t>
        </is>
      </c>
      <c r="B3596" t="inlineStr">
        <is>
          <t>대웅제약</t>
        </is>
      </c>
      <c r="C3596" t="inlineStr">
        <is>
          <t>069620</t>
        </is>
      </c>
      <c r="D3596" t="inlineStr">
        <is>
          <t>별도</t>
        </is>
      </c>
      <c r="E3596" t="inlineStr">
        <is>
          <t>2024Q4</t>
        </is>
      </c>
      <c r="F3596" s="2" t="n">
        <v>327346</v>
      </c>
      <c r="G3596" t="n">
        <v>3.61</v>
      </c>
      <c r="H3596" t="n">
        <v>2.44</v>
      </c>
      <c r="I3596" s="2" t="n">
        <v>41778</v>
      </c>
      <c r="J3596" t="n">
        <v>1.54</v>
      </c>
      <c r="K3596" t="n">
        <v>30.36</v>
      </c>
      <c r="L3596" s="2" t="n">
        <v>-6192</v>
      </c>
      <c r="M3596" t="inlineStr"/>
      <c r="N3596" t="inlineStr">
        <is>
          <t>20250210800655</t>
        </is>
      </c>
      <c r="O3596">
        <f>HYPERLINK("https://dart.fss.or.kr/dsaf001/main.do?rcpNo=20250210800655", "공시열람")</f>
        <v/>
      </c>
    </row>
    <row r="3597">
      <c r="A3597" t="inlineStr">
        <is>
          <t>2025-02-10</t>
        </is>
      </c>
      <c r="B3597" t="inlineStr">
        <is>
          <t>동아쏘시오홀딩스</t>
        </is>
      </c>
      <c r="C3597" t="inlineStr">
        <is>
          <t>000640</t>
        </is>
      </c>
      <c r="D3597" t="inlineStr">
        <is>
          <t>연결</t>
        </is>
      </c>
      <c r="E3597" t="inlineStr">
        <is>
          <t>2024Q4</t>
        </is>
      </c>
      <c r="F3597" s="2" t="n">
        <v>346926</v>
      </c>
      <c r="G3597" t="n">
        <v>-2.79</v>
      </c>
      <c r="H3597" t="n">
        <v>14.74</v>
      </c>
      <c r="I3597" s="2" t="n">
        <v>21729</v>
      </c>
      <c r="J3597" t="n">
        <v>-3.62</v>
      </c>
      <c r="K3597" t="n">
        <v>35.73</v>
      </c>
      <c r="L3597" s="2" t="inlineStr"/>
      <c r="M3597" t="inlineStr"/>
      <c r="N3597" t="inlineStr">
        <is>
          <t>20250210800448</t>
        </is>
      </c>
      <c r="O3597">
        <f>HYPERLINK("https://dart.fss.or.kr/dsaf001/main.do?rcpNo=20250210800448", "공시열람")</f>
        <v/>
      </c>
    </row>
    <row r="3598">
      <c r="A3598" t="inlineStr">
        <is>
          <t>2025-02-10</t>
        </is>
      </c>
      <c r="B3598" t="inlineStr">
        <is>
          <t>케어젠</t>
        </is>
      </c>
      <c r="C3598" t="inlineStr">
        <is>
          <t>214370</t>
        </is>
      </c>
      <c r="D3598" t="inlineStr">
        <is>
          <t>연결</t>
        </is>
      </c>
      <c r="E3598" t="inlineStr">
        <is>
          <t>2024Q4</t>
        </is>
      </c>
      <c r="F3598" s="2" t="n">
        <v>21358</v>
      </c>
      <c r="G3598" t="inlineStr"/>
      <c r="H3598" t="inlineStr"/>
      <c r="I3598" s="2" t="n">
        <v>8194</v>
      </c>
      <c r="J3598" t="inlineStr"/>
      <c r="K3598" t="inlineStr"/>
      <c r="L3598" s="2" t="n">
        <v>6466</v>
      </c>
      <c r="M3598" t="inlineStr"/>
      <c r="N3598" t="inlineStr">
        <is>
          <t>20250210900382</t>
        </is>
      </c>
      <c r="O3598">
        <f>HYPERLINK("https://dart.fss.or.kr/dsaf001/main.do?rcpNo=20250210900382", "공시열람")</f>
        <v/>
      </c>
    </row>
    <row r="3599">
      <c r="A3599" t="inlineStr">
        <is>
          <t>2025-02-07</t>
        </is>
      </c>
      <c r="B3599" t="inlineStr">
        <is>
          <t>제닉스로보틱스</t>
        </is>
      </c>
      <c r="C3599" t="inlineStr">
        <is>
          <t>381620</t>
        </is>
      </c>
      <c r="D3599" t="inlineStr">
        <is>
          <t>별도</t>
        </is>
      </c>
      <c r="E3599" t="inlineStr">
        <is>
          <t>2024Q4</t>
        </is>
      </c>
      <c r="F3599" s="2" t="n">
        <v>20365</v>
      </c>
      <c r="G3599" t="inlineStr"/>
      <c r="H3599" t="inlineStr"/>
      <c r="I3599" s="2" t="n">
        <v>522</v>
      </c>
      <c r="J3599" t="inlineStr"/>
      <c r="K3599" t="inlineStr"/>
      <c r="L3599" s="2" t="n">
        <v>2193</v>
      </c>
      <c r="M3599" t="inlineStr"/>
      <c r="N3599" t="inlineStr">
        <is>
          <t>20250207900583</t>
        </is>
      </c>
      <c r="O3599">
        <f>HYPERLINK("https://dart.fss.or.kr/dsaf001/main.do?rcpNo=20250207900583", "공시열람")</f>
        <v/>
      </c>
    </row>
    <row r="3600">
      <c r="A3600" t="inlineStr">
        <is>
          <t>2025-02-07</t>
        </is>
      </c>
      <c r="B3600" t="inlineStr">
        <is>
          <t>현대그린푸드</t>
        </is>
      </c>
      <c r="C3600" t="inlineStr">
        <is>
          <t>453340</t>
        </is>
      </c>
      <c r="D3600" t="inlineStr">
        <is>
          <t>연결</t>
        </is>
      </c>
      <c r="E3600" t="inlineStr">
        <is>
          <t>2024Q4</t>
        </is>
      </c>
      <c r="F3600" s="2" t="n">
        <v>566900</v>
      </c>
      <c r="G3600" t="n">
        <v>-5.77</v>
      </c>
      <c r="H3600" t="n">
        <v>1.7</v>
      </c>
      <c r="I3600" s="2" t="n">
        <v>-5300</v>
      </c>
      <c r="J3600" t="inlineStr"/>
      <c r="K3600" t="n">
        <v>-178.64</v>
      </c>
      <c r="L3600" s="2" t="n">
        <v>-4000</v>
      </c>
      <c r="M3600" t="n">
        <v>68.5</v>
      </c>
      <c r="N3600" t="inlineStr">
        <is>
          <t>20250207800522</t>
        </is>
      </c>
      <c r="O3600">
        <f>HYPERLINK("https://dart.fss.or.kr/dsaf001/main.do?rcpNo=20250207800522", "공시열람")</f>
        <v/>
      </c>
    </row>
    <row r="3601">
      <c r="A3601" t="inlineStr">
        <is>
          <t>2025-02-07</t>
        </is>
      </c>
      <c r="B3601" t="inlineStr">
        <is>
          <t>OCI</t>
        </is>
      </c>
      <c r="C3601" t="inlineStr">
        <is>
          <t>456040</t>
        </is>
      </c>
      <c r="D3601" t="inlineStr">
        <is>
          <t>연결</t>
        </is>
      </c>
      <c r="E3601" t="inlineStr">
        <is>
          <t>2024Q4</t>
        </is>
      </c>
      <c r="F3601" s="2" t="n">
        <v>519769</v>
      </c>
      <c r="G3601" t="n">
        <v>-11.7</v>
      </c>
      <c r="H3601" t="n">
        <v>5.1</v>
      </c>
      <c r="I3601" s="2" t="n">
        <v>20387</v>
      </c>
      <c r="J3601" t="n">
        <v>15.1</v>
      </c>
      <c r="K3601" t="n">
        <v>0.8</v>
      </c>
      <c r="L3601" s="2" t="n">
        <v>12387</v>
      </c>
      <c r="M3601" t="n">
        <v>-24.1</v>
      </c>
      <c r="N3601" t="inlineStr">
        <is>
          <t>20250207800506</t>
        </is>
      </c>
      <c r="O3601">
        <f>HYPERLINK("https://dart.fss.or.kr/dsaf001/main.do?rcpNo=20250207800506", "공시열람")</f>
        <v/>
      </c>
    </row>
    <row r="3602">
      <c r="A3602" t="inlineStr">
        <is>
          <t>2025-02-07</t>
        </is>
      </c>
      <c r="B3602" t="inlineStr">
        <is>
          <t>넥센타이어</t>
        </is>
      </c>
      <c r="C3602" t="inlineStr">
        <is>
          <t>002350</t>
        </is>
      </c>
      <c r="D3602" t="inlineStr">
        <is>
          <t>연결</t>
        </is>
      </c>
      <c r="E3602" t="inlineStr">
        <is>
          <t>2024Q4</t>
        </is>
      </c>
      <c r="F3602" s="2" t="n">
        <v>697579</v>
      </c>
      <c r="G3602" t="inlineStr"/>
      <c r="H3602" t="inlineStr"/>
      <c r="I3602" s="2" t="n">
        <v>15462</v>
      </c>
      <c r="J3602" t="inlineStr"/>
      <c r="K3602" t="inlineStr"/>
      <c r="L3602" s="2" t="n">
        <v>47782</v>
      </c>
      <c r="M3602" t="inlineStr"/>
      <c r="N3602" t="inlineStr">
        <is>
          <t>20250207800485</t>
        </is>
      </c>
      <c r="O3602">
        <f>HYPERLINK("https://dart.fss.or.kr/dsaf001/main.do?rcpNo=20250207800485", "공시열람")</f>
        <v/>
      </c>
    </row>
    <row r="3603">
      <c r="A3603" t="inlineStr">
        <is>
          <t>2025-02-07</t>
        </is>
      </c>
      <c r="B3603" t="inlineStr">
        <is>
          <t>케이아이엔엑스</t>
        </is>
      </c>
      <c r="C3603" t="inlineStr">
        <is>
          <t>093320</t>
        </is>
      </c>
      <c r="D3603" t="inlineStr">
        <is>
          <t>연결</t>
        </is>
      </c>
      <c r="E3603" t="inlineStr">
        <is>
          <t>2024Q4</t>
        </is>
      </c>
      <c r="F3603" s="2" t="n">
        <v>42014</v>
      </c>
      <c r="G3603" t="inlineStr"/>
      <c r="H3603" t="inlineStr"/>
      <c r="I3603" s="2" t="n">
        <v>5992</v>
      </c>
      <c r="J3603" t="inlineStr"/>
      <c r="K3603" t="inlineStr"/>
      <c r="L3603" s="2" t="n">
        <v>7241</v>
      </c>
      <c r="M3603" t="inlineStr"/>
      <c r="N3603" t="inlineStr">
        <is>
          <t>20250207900493</t>
        </is>
      </c>
      <c r="O3603">
        <f>HYPERLINK("https://dart.fss.or.kr/dsaf001/main.do?rcpNo=20250207900493", "공시열람")</f>
        <v/>
      </c>
    </row>
    <row r="3604">
      <c r="A3604" t="inlineStr">
        <is>
          <t>2025-02-07</t>
        </is>
      </c>
      <c r="B3604" t="inlineStr">
        <is>
          <t>한섬</t>
        </is>
      </c>
      <c r="C3604" t="inlineStr">
        <is>
          <t>020000</t>
        </is>
      </c>
      <c r="D3604" t="inlineStr">
        <is>
          <t>연결</t>
        </is>
      </c>
      <c r="E3604" t="inlineStr">
        <is>
          <t>2024Q4</t>
        </is>
      </c>
      <c r="F3604" s="2" t="n">
        <v>435704</v>
      </c>
      <c r="G3604" t="n">
        <v>38.7</v>
      </c>
      <c r="H3604" t="n">
        <v>-3.8</v>
      </c>
      <c r="I3604" s="2" t="n">
        <v>20903</v>
      </c>
      <c r="J3604" t="n">
        <v>246.7</v>
      </c>
      <c r="K3604" t="n">
        <v>-33.8</v>
      </c>
      <c r="L3604" s="2" t="n">
        <v>13012</v>
      </c>
      <c r="M3604" t="n">
        <v>-42.6</v>
      </c>
      <c r="N3604" t="inlineStr">
        <is>
          <t>20250207800463</t>
        </is>
      </c>
      <c r="O3604">
        <f>HYPERLINK("https://dart.fss.or.kr/dsaf001/main.do?rcpNo=20250207800463", "공시열람")</f>
        <v/>
      </c>
    </row>
    <row r="3605">
      <c r="A3605" t="inlineStr">
        <is>
          <t>2025-02-07</t>
        </is>
      </c>
      <c r="B3605" t="inlineStr">
        <is>
          <t>케이아이엔엑스</t>
        </is>
      </c>
      <c r="C3605" t="inlineStr">
        <is>
          <t>093320</t>
        </is>
      </c>
      <c r="D3605" t="inlineStr">
        <is>
          <t>별도</t>
        </is>
      </c>
      <c r="E3605" t="inlineStr">
        <is>
          <t>2024Q4</t>
        </is>
      </c>
      <c r="F3605" s="2" t="n">
        <v>25545</v>
      </c>
      <c r="G3605" t="inlineStr"/>
      <c r="H3605" t="inlineStr"/>
      <c r="I3605" s="2" t="n">
        <v>4482</v>
      </c>
      <c r="J3605" t="inlineStr"/>
      <c r="K3605" t="inlineStr"/>
      <c r="L3605" s="2" t="n">
        <v>3833</v>
      </c>
      <c r="M3605" t="inlineStr"/>
      <c r="N3605" t="inlineStr">
        <is>
          <t>20250207900488</t>
        </is>
      </c>
      <c r="O3605">
        <f>HYPERLINK("https://dart.fss.or.kr/dsaf001/main.do?rcpNo=20250207900488", "공시열람")</f>
        <v/>
      </c>
    </row>
    <row r="3606">
      <c r="A3606" t="inlineStr">
        <is>
          <t>2025-02-07</t>
        </is>
      </c>
      <c r="B3606" t="inlineStr">
        <is>
          <t>제닉스로보틱스</t>
        </is>
      </c>
      <c r="C3606" t="inlineStr">
        <is>
          <t>381620</t>
        </is>
      </c>
      <c r="D3606" t="inlineStr">
        <is>
          <t>별도</t>
        </is>
      </c>
      <c r="E3606" t="inlineStr">
        <is>
          <t>2024Q4</t>
        </is>
      </c>
      <c r="F3606" s="2" t="n">
        <v>20365</v>
      </c>
      <c r="G3606" t="inlineStr"/>
      <c r="H3606" t="inlineStr"/>
      <c r="I3606" s="2" t="n">
        <v>522</v>
      </c>
      <c r="J3606" t="inlineStr"/>
      <c r="K3606" t="inlineStr"/>
      <c r="L3606" s="2" t="n">
        <v>2193</v>
      </c>
      <c r="M3606" t="inlineStr"/>
      <c r="N3606" t="inlineStr">
        <is>
          <t>20250207900622</t>
        </is>
      </c>
      <c r="O3606">
        <f>HYPERLINK("https://dart.fss.or.kr/dsaf001/main.do?rcpNo=20250207900622", "공시열람")</f>
        <v/>
      </c>
    </row>
    <row r="3607">
      <c r="A3607" t="inlineStr">
        <is>
          <t>2025-02-07</t>
        </is>
      </c>
      <c r="B3607" t="inlineStr">
        <is>
          <t>우리금융지주</t>
        </is>
      </c>
      <c r="C3607" t="inlineStr">
        <is>
          <t>316140</t>
        </is>
      </c>
      <c r="D3607" t="inlineStr">
        <is>
          <t>연결</t>
        </is>
      </c>
      <c r="E3607" t="inlineStr">
        <is>
          <t>2024Q4</t>
        </is>
      </c>
      <c r="F3607" s="2" t="n">
        <v>46680933</v>
      </c>
      <c r="G3607" t="n">
        <v>11.06</v>
      </c>
      <c r="H3607" t="inlineStr"/>
      <c r="I3607" s="2" t="n">
        <v>4255190</v>
      </c>
      <c r="J3607" t="n">
        <v>21.61</v>
      </c>
      <c r="K3607" t="inlineStr"/>
      <c r="L3607" s="2" t="n">
        <v>3171469</v>
      </c>
      <c r="M3607" t="inlineStr"/>
      <c r="N3607" t="inlineStr">
        <is>
          <t>20250207800589</t>
        </is>
      </c>
      <c r="O3607">
        <f>HYPERLINK("https://dart.fss.or.kr/dsaf001/main.do?rcpNo=20250207800589", "공시열람")</f>
        <v/>
      </c>
    </row>
    <row r="3608">
      <c r="A3608" t="inlineStr">
        <is>
          <t>2025-02-07</t>
        </is>
      </c>
      <c r="B3608" t="inlineStr">
        <is>
          <t>우리금융지주</t>
        </is>
      </c>
      <c r="C3608" t="inlineStr">
        <is>
          <t>316140</t>
        </is>
      </c>
      <c r="D3608" t="inlineStr">
        <is>
          <t>연결</t>
        </is>
      </c>
      <c r="E3608" t="inlineStr">
        <is>
          <t>2024Q4</t>
        </is>
      </c>
      <c r="F3608" s="2" t="n">
        <v>41881143</v>
      </c>
      <c r="G3608" t="n">
        <v>11.03</v>
      </c>
      <c r="H3608" t="inlineStr"/>
      <c r="I3608" s="2" t="n">
        <v>4069308</v>
      </c>
      <c r="J3608" t="n">
        <v>22.68</v>
      </c>
      <c r="K3608" t="inlineStr"/>
      <c r="L3608" s="2" t="n">
        <v>3046936</v>
      </c>
      <c r="M3608" t="inlineStr"/>
      <c r="N3608" t="inlineStr">
        <is>
          <t>20250207800595</t>
        </is>
      </c>
      <c r="O3608">
        <f>HYPERLINK("https://dart.fss.or.kr/dsaf001/main.do?rcpNo=20250207800595", "공시열람")</f>
        <v/>
      </c>
    </row>
    <row r="3609">
      <c r="A3609" t="inlineStr">
        <is>
          <t>2025-02-07</t>
        </is>
      </c>
      <c r="B3609" t="inlineStr">
        <is>
          <t>한국항공우주</t>
        </is>
      </c>
      <c r="C3609" t="inlineStr">
        <is>
          <t>047810</t>
        </is>
      </c>
      <c r="D3609" t="inlineStr">
        <is>
          <t>연결</t>
        </is>
      </c>
      <c r="E3609" t="inlineStr">
        <is>
          <t>2024Q4</t>
        </is>
      </c>
      <c r="F3609" s="2" t="n">
        <v>1094800</v>
      </c>
      <c r="G3609" t="n">
        <v>20.7</v>
      </c>
      <c r="H3609" t="n">
        <v>-27.5</v>
      </c>
      <c r="I3609" s="2" t="n">
        <v>42100</v>
      </c>
      <c r="J3609" t="n">
        <v>-44.8</v>
      </c>
      <c r="K3609" t="n">
        <v>-72.7</v>
      </c>
      <c r="L3609" s="2" t="n">
        <v>12400</v>
      </c>
      <c r="M3609" t="n">
        <v>-90.40000000000001</v>
      </c>
      <c r="N3609" t="inlineStr">
        <is>
          <t>20250207800621</t>
        </is>
      </c>
      <c r="O3609">
        <f>HYPERLINK("https://dart.fss.or.kr/dsaf001/main.do?rcpNo=20250207800621", "공시열람")</f>
        <v/>
      </c>
    </row>
    <row r="3610">
      <c r="A3610" t="inlineStr">
        <is>
          <t>2025-02-07</t>
        </is>
      </c>
      <c r="B3610" t="inlineStr">
        <is>
          <t>사이냅소프트</t>
        </is>
      </c>
      <c r="C3610" t="inlineStr">
        <is>
          <t>466410</t>
        </is>
      </c>
      <c r="D3610" t="inlineStr">
        <is>
          <t>별도</t>
        </is>
      </c>
      <c r="E3610" t="inlineStr">
        <is>
          <t>2024Q4</t>
        </is>
      </c>
      <c r="F3610" s="2" t="n">
        <v>13253</v>
      </c>
      <c r="G3610" t="inlineStr"/>
      <c r="H3610" t="inlineStr"/>
      <c r="I3610" s="2" t="n">
        <v>5074</v>
      </c>
      <c r="J3610" t="inlineStr"/>
      <c r="K3610" t="inlineStr"/>
      <c r="L3610" s="2" t="n">
        <v>5993</v>
      </c>
      <c r="M3610" t="inlineStr"/>
      <c r="N3610" t="inlineStr">
        <is>
          <t>20250207900352</t>
        </is>
      </c>
      <c r="O3610">
        <f>HYPERLINK("https://dart.fss.or.kr/dsaf001/main.do?rcpNo=20250207900352", "공시열람")</f>
        <v/>
      </c>
    </row>
    <row r="3611">
      <c r="A3611" t="inlineStr">
        <is>
          <t>2025-02-07</t>
        </is>
      </c>
      <c r="B3611" t="inlineStr">
        <is>
          <t>코나아이</t>
        </is>
      </c>
      <c r="C3611" t="inlineStr">
        <is>
          <t>052400</t>
        </is>
      </c>
      <c r="D3611" t="inlineStr">
        <is>
          <t>연결</t>
        </is>
      </c>
      <c r="E3611" t="inlineStr">
        <is>
          <t>2024Q4</t>
        </is>
      </c>
      <c r="F3611" s="2" t="n">
        <v>68966</v>
      </c>
      <c r="G3611" t="n">
        <v>24.1</v>
      </c>
      <c r="H3611" t="n">
        <v>5.6</v>
      </c>
      <c r="I3611" s="2" t="n">
        <v>3682</v>
      </c>
      <c r="J3611" t="n">
        <v>-63.6</v>
      </c>
      <c r="K3611" t="n">
        <v>361.5</v>
      </c>
      <c r="L3611" s="2" t="n">
        <v>6238</v>
      </c>
      <c r="M3611" t="n">
        <v>65.2</v>
      </c>
      <c r="N3611" t="inlineStr">
        <is>
          <t>20250207900632</t>
        </is>
      </c>
      <c r="O3611">
        <f>HYPERLINK("https://dart.fss.or.kr/dsaf001/main.do?rcpNo=20250207900632", "공시열람")</f>
        <v/>
      </c>
    </row>
    <row r="3612">
      <c r="A3612" t="inlineStr">
        <is>
          <t>2025-02-07</t>
        </is>
      </c>
      <c r="B3612" t="inlineStr">
        <is>
          <t>CJ프레시웨이</t>
        </is>
      </c>
      <c r="C3612" t="inlineStr">
        <is>
          <t>051500</t>
        </is>
      </c>
      <c r="D3612" t="inlineStr">
        <is>
          <t>연결</t>
        </is>
      </c>
      <c r="E3612" t="inlineStr">
        <is>
          <t>2024Q4</t>
        </is>
      </c>
      <c r="F3612" s="2" t="n">
        <v>850159</v>
      </c>
      <c r="G3612" t="inlineStr"/>
      <c r="H3612" t="inlineStr"/>
      <c r="I3612" s="2" t="n">
        <v>25172</v>
      </c>
      <c r="J3612" t="inlineStr"/>
      <c r="K3612" t="inlineStr"/>
      <c r="L3612" s="2" t="n">
        <v>18013</v>
      </c>
      <c r="M3612" t="inlineStr"/>
      <c r="N3612" t="inlineStr">
        <is>
          <t>20250207900638</t>
        </is>
      </c>
      <c r="O3612">
        <f>HYPERLINK("https://dart.fss.or.kr/dsaf001/main.do?rcpNo=20250207900638", "공시열람")</f>
        <v/>
      </c>
    </row>
    <row r="3613">
      <c r="A3613" t="inlineStr">
        <is>
          <t>2025-02-07</t>
        </is>
      </c>
      <c r="B3613" t="inlineStr">
        <is>
          <t>롯데케미칼</t>
        </is>
      </c>
      <c r="C3613" t="inlineStr">
        <is>
          <t>011170</t>
        </is>
      </c>
      <c r="D3613" t="inlineStr">
        <is>
          <t>연결</t>
        </is>
      </c>
      <c r="E3613" t="inlineStr">
        <is>
          <t>2024Q4</t>
        </is>
      </c>
      <c r="F3613" s="2" t="n">
        <v>4896062</v>
      </c>
      <c r="G3613" t="n">
        <v>-5.8</v>
      </c>
      <c r="H3613" t="n">
        <v>-0.2</v>
      </c>
      <c r="I3613" s="2" t="n">
        <v>-234756</v>
      </c>
      <c r="J3613" t="n">
        <v>43.2</v>
      </c>
      <c r="K3613" t="n">
        <v>25.7</v>
      </c>
      <c r="L3613" s="2" t="n">
        <v>-1120645</v>
      </c>
      <c r="M3613" t="n">
        <v>-627.6</v>
      </c>
      <c r="N3613" t="inlineStr">
        <is>
          <t>20250207800684</t>
        </is>
      </c>
      <c r="O3613">
        <f>HYPERLINK("https://dart.fss.or.kr/dsaf001/main.do?rcpNo=20250207800684", "공시열람")</f>
        <v/>
      </c>
    </row>
    <row r="3614">
      <c r="A3614" t="inlineStr">
        <is>
          <t>2025-02-07</t>
        </is>
      </c>
      <c r="B3614" t="inlineStr">
        <is>
          <t>현대홈쇼핑</t>
        </is>
      </c>
      <c r="C3614" t="inlineStr">
        <is>
          <t>057050</t>
        </is>
      </c>
      <c r="D3614" t="inlineStr">
        <is>
          <t>연결</t>
        </is>
      </c>
      <c r="E3614" t="inlineStr">
        <is>
          <t>2024Q4</t>
        </is>
      </c>
      <c r="F3614" s="2" t="n">
        <v>1004854</v>
      </c>
      <c r="G3614" t="inlineStr"/>
      <c r="H3614" t="inlineStr"/>
      <c r="I3614" s="2" t="n">
        <v>20388</v>
      </c>
      <c r="J3614" t="inlineStr"/>
      <c r="K3614" t="inlineStr"/>
      <c r="L3614" s="2" t="n">
        <v>473</v>
      </c>
      <c r="M3614" t="inlineStr"/>
      <c r="N3614" t="inlineStr">
        <is>
          <t>20250207800705</t>
        </is>
      </c>
      <c r="O3614">
        <f>HYPERLINK("https://dart.fss.or.kr/dsaf001/main.do?rcpNo=20250207800705", "공시열람")</f>
        <v/>
      </c>
    </row>
    <row r="3615">
      <c r="A3615" t="inlineStr">
        <is>
          <t>2025-02-07</t>
        </is>
      </c>
      <c r="B3615" t="inlineStr">
        <is>
          <t>iM금융지주</t>
        </is>
      </c>
      <c r="C3615" t="inlineStr">
        <is>
          <t>139130</t>
        </is>
      </c>
      <c r="D3615" t="inlineStr">
        <is>
          <t>연결</t>
        </is>
      </c>
      <c r="E3615" t="inlineStr">
        <is>
          <t>2024Q4</t>
        </is>
      </c>
      <c r="F3615" s="2" t="n">
        <v>1246379</v>
      </c>
      <c r="G3615" t="n">
        <v>16.5</v>
      </c>
      <c r="H3615" t="n">
        <v>9.199999999999999</v>
      </c>
      <c r="I3615" s="2" t="n">
        <v>34163</v>
      </c>
      <c r="J3615" t="n">
        <v>-78.3</v>
      </c>
      <c r="K3615" t="n">
        <v>90.90000000000001</v>
      </c>
      <c r="L3615" s="2" t="n">
        <v>28478</v>
      </c>
      <c r="M3615" t="n">
        <v>78.2</v>
      </c>
      <c r="N3615" t="inlineStr">
        <is>
          <t>20250207800738</t>
        </is>
      </c>
      <c r="O3615">
        <f>HYPERLINK("https://dart.fss.or.kr/dsaf001/main.do?rcpNo=20250207800738", "공시열람")</f>
        <v/>
      </c>
    </row>
    <row r="3616">
      <c r="A3616" t="inlineStr">
        <is>
          <t>2025-02-07</t>
        </is>
      </c>
      <c r="B3616" t="inlineStr">
        <is>
          <t>CJ CGV</t>
        </is>
      </c>
      <c r="C3616" t="inlineStr">
        <is>
          <t>079160</t>
        </is>
      </c>
      <c r="D3616" t="inlineStr">
        <is>
          <t>연결</t>
        </is>
      </c>
      <c r="E3616" t="inlineStr">
        <is>
          <t>2024Q4</t>
        </is>
      </c>
      <c r="F3616" s="2" t="n">
        <v>587998</v>
      </c>
      <c r="G3616" t="inlineStr"/>
      <c r="H3616" t="inlineStr"/>
      <c r="I3616" s="2" t="n">
        <v>16977</v>
      </c>
      <c r="J3616" t="inlineStr"/>
      <c r="K3616" t="inlineStr"/>
      <c r="L3616" s="2" t="n">
        <v>-134018</v>
      </c>
      <c r="M3616" t="inlineStr"/>
      <c r="N3616" t="inlineStr">
        <is>
          <t>20250207800782</t>
        </is>
      </c>
      <c r="O3616">
        <f>HYPERLINK("https://dart.fss.or.kr/dsaf001/main.do?rcpNo=20250207800782", "공시열람")</f>
        <v/>
      </c>
    </row>
    <row r="3617">
      <c r="A3617" t="inlineStr">
        <is>
          <t>2025-02-07</t>
        </is>
      </c>
      <c r="B3617" t="inlineStr">
        <is>
          <t>SK케미칼</t>
        </is>
      </c>
      <c r="C3617" t="inlineStr">
        <is>
          <t>285130</t>
        </is>
      </c>
      <c r="D3617" t="inlineStr">
        <is>
          <t>연결</t>
        </is>
      </c>
      <c r="E3617" t="inlineStr">
        <is>
          <t>2024Q4</t>
        </is>
      </c>
      <c r="F3617" s="2" t="n">
        <v>514268</v>
      </c>
      <c r="G3617" t="n">
        <v>20.6</v>
      </c>
      <c r="H3617" t="n">
        <v>19.2</v>
      </c>
      <c r="I3617" s="2" t="n">
        <v>-28517</v>
      </c>
      <c r="J3617" t="inlineStr"/>
      <c r="K3617" t="inlineStr"/>
      <c r="L3617" s="2" t="n">
        <v>10921</v>
      </c>
      <c r="M3617" t="inlineStr"/>
      <c r="N3617" t="inlineStr">
        <is>
          <t>20250207800808</t>
        </is>
      </c>
      <c r="O3617">
        <f>HYPERLINK("https://dart.fss.or.kr/dsaf001/main.do?rcpNo=20250207800808", "공시열람")</f>
        <v/>
      </c>
    </row>
    <row r="3618">
      <c r="A3618" t="inlineStr">
        <is>
          <t>2025-02-07</t>
        </is>
      </c>
      <c r="B3618" t="inlineStr">
        <is>
          <t>SK케미칼</t>
        </is>
      </c>
      <c r="C3618" t="inlineStr">
        <is>
          <t>285130</t>
        </is>
      </c>
      <c r="D3618" t="inlineStr">
        <is>
          <t>별도</t>
        </is>
      </c>
      <c r="E3618" t="inlineStr">
        <is>
          <t>2024Q4</t>
        </is>
      </c>
      <c r="F3618" s="2" t="n">
        <v>346571</v>
      </c>
      <c r="G3618" t="n">
        <v>4.4</v>
      </c>
      <c r="H3618" t="n">
        <v>7.3</v>
      </c>
      <c r="I3618" s="2" t="n">
        <v>31719</v>
      </c>
      <c r="J3618" t="n">
        <v>7.6</v>
      </c>
      <c r="K3618" t="n">
        <v>93.40000000000001</v>
      </c>
      <c r="L3618" s="2" t="n">
        <v>22962</v>
      </c>
      <c r="M3618" t="n">
        <v>238.7</v>
      </c>
      <c r="N3618" t="inlineStr">
        <is>
          <t>20250207800820</t>
        </is>
      </c>
      <c r="O3618">
        <f>HYPERLINK("https://dart.fss.or.kr/dsaf001/main.do?rcpNo=20250207800820", "공시열람")</f>
        <v/>
      </c>
    </row>
    <row r="3619">
      <c r="A3619" t="inlineStr">
        <is>
          <t>2025-02-07</t>
        </is>
      </c>
      <c r="B3619" t="inlineStr">
        <is>
          <t>F&amp;F</t>
        </is>
      </c>
      <c r="C3619" t="inlineStr">
        <is>
          <t>383220</t>
        </is>
      </c>
      <c r="D3619" t="inlineStr">
        <is>
          <t>연결</t>
        </is>
      </c>
      <c r="E3619" t="inlineStr">
        <is>
          <t>2024Q4</t>
        </is>
      </c>
      <c r="F3619" s="2" t="n">
        <v>546544</v>
      </c>
      <c r="G3619" t="n">
        <v>21.2</v>
      </c>
      <c r="H3619" t="n">
        <v>-6.2</v>
      </c>
      <c r="I3619" s="2" t="n">
        <v>120420</v>
      </c>
      <c r="J3619" t="n">
        <v>11.2</v>
      </c>
      <c r="K3619" t="n">
        <v>-16.4</v>
      </c>
      <c r="L3619" s="2" t="n">
        <v>106096</v>
      </c>
      <c r="M3619" t="n">
        <v>6.4</v>
      </c>
      <c r="N3619" t="inlineStr">
        <is>
          <t>20250207800732</t>
        </is>
      </c>
      <c r="O3619">
        <f>HYPERLINK("https://dart.fss.or.kr/dsaf001/main.do?rcpNo=20250207800732", "공시열람")</f>
        <v/>
      </c>
    </row>
    <row r="3620">
      <c r="A3620" t="inlineStr">
        <is>
          <t>2025-02-07</t>
        </is>
      </c>
      <c r="B3620" t="inlineStr">
        <is>
          <t>RFHIC</t>
        </is>
      </c>
      <c r="C3620" t="inlineStr">
        <is>
          <t>218410</t>
        </is>
      </c>
      <c r="D3620" t="inlineStr">
        <is>
          <t>연결</t>
        </is>
      </c>
      <c r="E3620" t="inlineStr">
        <is>
          <t>2024Q4</t>
        </is>
      </c>
      <c r="F3620" s="2" t="n">
        <v>38653</v>
      </c>
      <c r="G3620" t="inlineStr"/>
      <c r="H3620" t="inlineStr"/>
      <c r="I3620" s="2" t="n">
        <v>2401</v>
      </c>
      <c r="J3620" t="inlineStr"/>
      <c r="K3620" t="inlineStr"/>
      <c r="L3620" s="2" t="n">
        <v>-3549</v>
      </c>
      <c r="M3620" t="inlineStr"/>
      <c r="N3620" t="inlineStr">
        <is>
          <t>20250207900425</t>
        </is>
      </c>
      <c r="O3620">
        <f>HYPERLINK("https://dart.fss.or.kr/dsaf001/main.do?rcpNo=20250207900425", "공시열람")</f>
        <v/>
      </c>
    </row>
    <row r="3621">
      <c r="A3621" t="inlineStr">
        <is>
          <t>2025-02-07</t>
        </is>
      </c>
      <c r="B3621" t="inlineStr">
        <is>
          <t>한화엔진</t>
        </is>
      </c>
      <c r="C3621" t="inlineStr">
        <is>
          <t>082740</t>
        </is>
      </c>
      <c r="D3621" t="inlineStr">
        <is>
          <t>별도</t>
        </is>
      </c>
      <c r="E3621" t="inlineStr">
        <is>
          <t>2024Q4</t>
        </is>
      </c>
      <c r="F3621" s="2" t="n">
        <v>1202205</v>
      </c>
      <c r="G3621" t="n">
        <v>40.7</v>
      </c>
      <c r="H3621" t="inlineStr"/>
      <c r="I3621" s="2" t="n">
        <v>71532</v>
      </c>
      <c r="J3621" t="n">
        <v>719.5</v>
      </c>
      <c r="K3621" t="inlineStr"/>
      <c r="L3621" s="2" t="n">
        <v>79160</v>
      </c>
      <c r="M3621" t="inlineStr"/>
      <c r="N3621" t="inlineStr">
        <is>
          <t>20250207801314</t>
        </is>
      </c>
      <c r="O3621">
        <f>HYPERLINK("https://dart.fss.or.kr/dsaf001/main.do?rcpNo=20250207801314", "공시열람")</f>
        <v/>
      </c>
    </row>
    <row r="3622">
      <c r="A3622" t="inlineStr">
        <is>
          <t>2025-02-07</t>
        </is>
      </c>
      <c r="B3622" t="inlineStr">
        <is>
          <t>한화시스템</t>
        </is>
      </c>
      <c r="C3622" t="inlineStr">
        <is>
          <t>272210</t>
        </is>
      </c>
      <c r="D3622" t="inlineStr">
        <is>
          <t>연결</t>
        </is>
      </c>
      <c r="E3622" t="inlineStr">
        <is>
          <t>2024Q4</t>
        </is>
      </c>
      <c r="F3622" s="2" t="n">
        <v>933478</v>
      </c>
      <c r="G3622" t="n">
        <v>46.09</v>
      </c>
      <c r="H3622" t="n">
        <v>19.37</v>
      </c>
      <c r="I3622" s="2" t="n">
        <v>29135</v>
      </c>
      <c r="J3622" t="n">
        <v>-51.71</v>
      </c>
      <c r="K3622" t="n">
        <v>60.35</v>
      </c>
      <c r="L3622" s="2" t="n">
        <v>359742</v>
      </c>
      <c r="M3622" t="n">
        <v>1729.44</v>
      </c>
      <c r="N3622" t="inlineStr">
        <is>
          <t>20250207800260</t>
        </is>
      </c>
      <c r="O3622">
        <f>HYPERLINK("https://dart.fss.or.kr/dsaf001/main.do?rcpNo=20250207800260", "공시열람")</f>
        <v/>
      </c>
    </row>
    <row r="3623">
      <c r="A3623" t="inlineStr">
        <is>
          <t>2025-02-07</t>
        </is>
      </c>
      <c r="B3623" t="inlineStr">
        <is>
          <t>HL홀딩스</t>
        </is>
      </c>
      <c r="C3623" t="inlineStr">
        <is>
          <t>060980</t>
        </is>
      </c>
      <c r="D3623" t="inlineStr">
        <is>
          <t>연결</t>
        </is>
      </c>
      <c r="E3623" t="inlineStr">
        <is>
          <t>2024Q4</t>
        </is>
      </c>
      <c r="F3623" s="2" t="n">
        <v>362102</v>
      </c>
      <c r="G3623" t="n">
        <v>15.6</v>
      </c>
      <c r="H3623" t="n">
        <v>13.3</v>
      </c>
      <c r="I3623" s="2" t="n">
        <v>23414</v>
      </c>
      <c r="J3623" t="inlineStr"/>
      <c r="K3623" t="n">
        <v>155</v>
      </c>
      <c r="L3623" s="2" t="n">
        <v>-15490</v>
      </c>
      <c r="M3623" t="n">
        <v>-99.59999999999999</v>
      </c>
      <c r="N3623" t="inlineStr">
        <is>
          <t>20250207801097</t>
        </is>
      </c>
      <c r="O3623">
        <f>HYPERLINK("https://dart.fss.or.kr/dsaf001/main.do?rcpNo=20250207801097", "공시열람")</f>
        <v/>
      </c>
    </row>
    <row r="3624">
      <c r="A3624" t="inlineStr">
        <is>
          <t>2025-02-07</t>
        </is>
      </c>
      <c r="B3624" t="inlineStr">
        <is>
          <t>LX인터내셔널</t>
        </is>
      </c>
      <c r="C3624" t="inlineStr">
        <is>
          <t>001120</t>
        </is>
      </c>
      <c r="D3624" t="inlineStr">
        <is>
          <t>연결</t>
        </is>
      </c>
      <c r="E3624" t="inlineStr">
        <is>
          <t>2024Q4</t>
        </is>
      </c>
      <c r="F3624" s="2" t="n">
        <v>4227600</v>
      </c>
      <c r="G3624" t="n">
        <v>-7.3</v>
      </c>
      <c r="H3624" t="n">
        <v>13.8</v>
      </c>
      <c r="I3624" s="2" t="n">
        <v>94200</v>
      </c>
      <c r="J3624" t="n">
        <v>-39.1</v>
      </c>
      <c r="K3624" t="n">
        <v>20</v>
      </c>
      <c r="L3624" s="2" t="n">
        <v>-62400</v>
      </c>
      <c r="M3624" t="n">
        <v>25.8</v>
      </c>
      <c r="N3624" t="inlineStr">
        <is>
          <t>20250207800243</t>
        </is>
      </c>
      <c r="O3624">
        <f>HYPERLINK("https://dart.fss.or.kr/dsaf001/main.do?rcpNo=20250207800243", "공시열람")</f>
        <v/>
      </c>
    </row>
    <row r="3625">
      <c r="A3625" t="inlineStr">
        <is>
          <t>2025-02-07</t>
        </is>
      </c>
      <c r="B3625" t="inlineStr">
        <is>
          <t>NAVER</t>
        </is>
      </c>
      <c r="C3625" t="inlineStr">
        <is>
          <t>035420</t>
        </is>
      </c>
      <c r="D3625" t="inlineStr">
        <is>
          <t>별도</t>
        </is>
      </c>
      <c r="E3625" t="inlineStr">
        <is>
          <t>2024Q4</t>
        </is>
      </c>
      <c r="F3625" s="2" t="n">
        <v>1694300</v>
      </c>
      <c r="G3625" t="n">
        <v>9.5</v>
      </c>
      <c r="H3625" t="n">
        <v>16.8</v>
      </c>
      <c r="I3625" s="2" t="n">
        <v>529400</v>
      </c>
      <c r="J3625" t="n">
        <v>12.2</v>
      </c>
      <c r="K3625" t="n">
        <v>19.8</v>
      </c>
      <c r="L3625" s="2" t="n">
        <v>379500</v>
      </c>
      <c r="M3625" t="n">
        <v>25.7</v>
      </c>
      <c r="N3625" t="inlineStr">
        <is>
          <t>20250207800004</t>
        </is>
      </c>
      <c r="O3625">
        <f>HYPERLINK("https://dart.fss.or.kr/dsaf001/main.do?rcpNo=20250207800004", "공시열람")</f>
        <v/>
      </c>
    </row>
    <row r="3626">
      <c r="A3626" t="inlineStr">
        <is>
          <t>2025-02-07</t>
        </is>
      </c>
      <c r="B3626" t="inlineStr">
        <is>
          <t>케이티스카이라이프</t>
        </is>
      </c>
      <c r="C3626" t="inlineStr">
        <is>
          <t>053210</t>
        </is>
      </c>
      <c r="D3626" t="inlineStr">
        <is>
          <t>별도</t>
        </is>
      </c>
      <c r="E3626" t="inlineStr">
        <is>
          <t>2024Q4</t>
        </is>
      </c>
      <c r="F3626" s="2" t="n">
        <v>174873</v>
      </c>
      <c r="G3626" t="n">
        <v>-1.4</v>
      </c>
      <c r="H3626" t="n">
        <v>-1.8</v>
      </c>
      <c r="I3626" s="2" t="n">
        <v>4628</v>
      </c>
      <c r="J3626" t="n">
        <v>-56.7</v>
      </c>
      <c r="K3626" t="n">
        <v>30.7</v>
      </c>
      <c r="L3626" s="2" t="n">
        <v>-165708</v>
      </c>
      <c r="M3626" t="n">
        <v>-36</v>
      </c>
      <c r="N3626" t="inlineStr">
        <is>
          <t>20250207800034</t>
        </is>
      </c>
      <c r="O3626">
        <f>HYPERLINK("https://dart.fss.or.kr/dsaf001/main.do?rcpNo=20250207800034", "공시열람")</f>
        <v/>
      </c>
    </row>
    <row r="3627">
      <c r="A3627" t="inlineStr">
        <is>
          <t>2025-02-07</t>
        </is>
      </c>
      <c r="B3627" t="inlineStr">
        <is>
          <t>케이티스카이라이프</t>
        </is>
      </c>
      <c r="C3627" t="inlineStr">
        <is>
          <t>053210</t>
        </is>
      </c>
      <c r="D3627" t="inlineStr">
        <is>
          <t>연결</t>
        </is>
      </c>
      <c r="E3627" t="inlineStr">
        <is>
          <t>2024Q4</t>
        </is>
      </c>
      <c r="F3627" s="2" t="n">
        <v>256987</v>
      </c>
      <c r="G3627" t="n">
        <v>0</v>
      </c>
      <c r="H3627" t="n">
        <v>-1.8</v>
      </c>
      <c r="I3627" s="2" t="n">
        <v>-5633</v>
      </c>
      <c r="J3627" t="inlineStr"/>
      <c r="K3627" t="n">
        <v>73.2</v>
      </c>
      <c r="L3627" s="2" t="n">
        <v>-157563</v>
      </c>
      <c r="M3627" t="n">
        <v>-16.7</v>
      </c>
      <c r="N3627" t="inlineStr">
        <is>
          <t>20250207800035</t>
        </is>
      </c>
      <c r="O3627">
        <f>HYPERLINK("https://dart.fss.or.kr/dsaf001/main.do?rcpNo=20250207800035", "공시열람")</f>
        <v/>
      </c>
    </row>
    <row r="3628">
      <c r="A3628" t="inlineStr">
        <is>
          <t>2025-02-07</t>
        </is>
      </c>
      <c r="B3628" t="inlineStr">
        <is>
          <t>신세계I&amp;C</t>
        </is>
      </c>
      <c r="C3628" t="inlineStr">
        <is>
          <t>035510</t>
        </is>
      </c>
      <c r="D3628" t="inlineStr">
        <is>
          <t>연결</t>
        </is>
      </c>
      <c r="E3628" t="inlineStr">
        <is>
          <t>2024Q4</t>
        </is>
      </c>
      <c r="F3628" s="2" t="n">
        <v>179726</v>
      </c>
      <c r="G3628" t="n">
        <v>24.73</v>
      </c>
      <c r="H3628" t="n">
        <v>11.94</v>
      </c>
      <c r="I3628" s="2" t="n">
        <v>13598</v>
      </c>
      <c r="J3628" t="n">
        <v>138.31</v>
      </c>
      <c r="K3628" t="n">
        <v>14.84</v>
      </c>
      <c r="L3628" s="2" t="n">
        <v>12376</v>
      </c>
      <c r="M3628" t="n">
        <v>93.04000000000001</v>
      </c>
      <c r="N3628" t="inlineStr">
        <is>
          <t>20250207800973</t>
        </is>
      </c>
      <c r="O3628">
        <f>HYPERLINK("https://dart.fss.or.kr/dsaf001/main.do?rcpNo=20250207800973", "공시열람")</f>
        <v/>
      </c>
    </row>
    <row r="3629">
      <c r="A3629" t="inlineStr">
        <is>
          <t>2025-02-07</t>
        </is>
      </c>
      <c r="B3629" t="inlineStr">
        <is>
          <t>대한항공</t>
        </is>
      </c>
      <c r="C3629" t="inlineStr">
        <is>
          <t>003490</t>
        </is>
      </c>
      <c r="D3629" t="inlineStr">
        <is>
          <t>별도</t>
        </is>
      </c>
      <c r="E3629" t="inlineStr">
        <is>
          <t>2024Q4</t>
        </is>
      </c>
      <c r="F3629" s="2" t="n">
        <v>4029610</v>
      </c>
      <c r="G3629" t="n">
        <v>-5</v>
      </c>
      <c r="H3629" t="n">
        <v>1.2</v>
      </c>
      <c r="I3629" s="2" t="n">
        <v>476511</v>
      </c>
      <c r="J3629" t="n">
        <v>-23</v>
      </c>
      <c r="K3629" t="n">
        <v>159.5</v>
      </c>
      <c r="L3629" s="2" t="n">
        <v>283345</v>
      </c>
      <c r="M3629" t="inlineStr"/>
      <c r="N3629" t="inlineStr">
        <is>
          <t>20250207801086</t>
        </is>
      </c>
      <c r="O3629">
        <f>HYPERLINK("https://dart.fss.or.kr/dsaf001/main.do?rcpNo=20250207801086", "공시열람")</f>
        <v/>
      </c>
    </row>
    <row r="3630">
      <c r="A3630" t="inlineStr">
        <is>
          <t>2025-02-07</t>
        </is>
      </c>
      <c r="B3630" t="inlineStr">
        <is>
          <t>NAVER</t>
        </is>
      </c>
      <c r="C3630" t="inlineStr">
        <is>
          <t>035420</t>
        </is>
      </c>
      <c r="D3630" t="inlineStr">
        <is>
          <t>연결</t>
        </is>
      </c>
      <c r="E3630" t="inlineStr">
        <is>
          <t>2024Q4</t>
        </is>
      </c>
      <c r="F3630" s="2" t="n">
        <v>2885600</v>
      </c>
      <c r="G3630" t="n">
        <v>6.3</v>
      </c>
      <c r="H3630" t="n">
        <v>13.7</v>
      </c>
      <c r="I3630" s="2" t="n">
        <v>542000</v>
      </c>
      <c r="J3630" t="n">
        <v>3.2</v>
      </c>
      <c r="K3630" t="n">
        <v>33.7</v>
      </c>
      <c r="L3630" s="2" t="n">
        <v>444100</v>
      </c>
      <c r="M3630" t="n">
        <v>48.8</v>
      </c>
      <c r="N3630" t="inlineStr">
        <is>
          <t>20250207800003</t>
        </is>
      </c>
      <c r="O3630">
        <f>HYPERLINK("https://dart.fss.or.kr/dsaf001/main.do?rcpNo=20250207800003", "공시열람")</f>
        <v/>
      </c>
    </row>
    <row r="3631">
      <c r="A3631" t="inlineStr">
        <is>
          <t>2025-02-07</t>
        </is>
      </c>
      <c r="B3631" t="inlineStr">
        <is>
          <t>일동홀딩스</t>
        </is>
      </c>
      <c r="C3631" t="inlineStr">
        <is>
          <t>000230</t>
        </is>
      </c>
      <c r="D3631" t="inlineStr">
        <is>
          <t>연결</t>
        </is>
      </c>
      <c r="E3631" t="inlineStr">
        <is>
          <t>2024Q4</t>
        </is>
      </c>
      <c r="F3631" s="2" t="n">
        <v>164614</v>
      </c>
      <c r="G3631" t="inlineStr"/>
      <c r="H3631" t="inlineStr"/>
      <c r="I3631" s="2" t="n">
        <v>6692</v>
      </c>
      <c r="J3631" t="inlineStr"/>
      <c r="K3631" t="inlineStr"/>
      <c r="L3631" s="2" t="n">
        <v>89736</v>
      </c>
      <c r="M3631" t="inlineStr"/>
      <c r="N3631" t="inlineStr">
        <is>
          <t>20250207801168</t>
        </is>
      </c>
      <c r="O3631">
        <f>HYPERLINK("https://dart.fss.or.kr/dsaf001/main.do?rcpNo=20250207801168", "공시열람")</f>
        <v/>
      </c>
    </row>
    <row r="3632">
      <c r="A3632" t="inlineStr">
        <is>
          <t>2025-02-07</t>
        </is>
      </c>
      <c r="B3632" t="inlineStr">
        <is>
          <t>일동제약</t>
        </is>
      </c>
      <c r="C3632" t="inlineStr">
        <is>
          <t>249420</t>
        </is>
      </c>
      <c r="D3632" t="inlineStr">
        <is>
          <t>별도</t>
        </is>
      </c>
      <c r="E3632" t="inlineStr">
        <is>
          <t>2024Q4</t>
        </is>
      </c>
      <c r="F3632" s="2" t="n">
        <v>154131</v>
      </c>
      <c r="G3632" t="inlineStr"/>
      <c r="H3632" t="inlineStr"/>
      <c r="I3632" s="2" t="n">
        <v>16069</v>
      </c>
      <c r="J3632" t="inlineStr"/>
      <c r="K3632" t="inlineStr"/>
      <c r="L3632" s="2" t="n">
        <v>-12447</v>
      </c>
      <c r="M3632" t="inlineStr"/>
      <c r="N3632" t="inlineStr">
        <is>
          <t>20250207801281</t>
        </is>
      </c>
      <c r="O3632">
        <f>HYPERLINK("https://dart.fss.or.kr/dsaf001/main.do?rcpNo=20250207801281", "공시열람")</f>
        <v/>
      </c>
    </row>
    <row r="3633">
      <c r="A3633" t="inlineStr">
        <is>
          <t>2025-02-07</t>
        </is>
      </c>
      <c r="B3633" t="inlineStr">
        <is>
          <t>삼성카드</t>
        </is>
      </c>
      <c r="C3633" t="inlineStr">
        <is>
          <t>029780</t>
        </is>
      </c>
      <c r="D3633" t="inlineStr">
        <is>
          <t>연결</t>
        </is>
      </c>
      <c r="E3633" t="inlineStr">
        <is>
          <t>2024Q4</t>
        </is>
      </c>
      <c r="F3633" s="2" t="n">
        <v>1304200</v>
      </c>
      <c r="G3633" t="n">
        <v>47.7</v>
      </c>
      <c r="H3633" t="n">
        <v>39.7</v>
      </c>
      <c r="I3633" s="2" t="n">
        <v>171800</v>
      </c>
      <c r="J3633" t="n">
        <v>-23.3</v>
      </c>
      <c r="K3633" t="n">
        <v>-28.1</v>
      </c>
      <c r="L3633" s="2" t="n">
        <v>133100</v>
      </c>
      <c r="M3633" t="n">
        <v>-25.8</v>
      </c>
      <c r="N3633" t="inlineStr">
        <is>
          <t>20250207800042</t>
        </is>
      </c>
      <c r="O3633">
        <f>HYPERLINK("https://dart.fss.or.kr/dsaf001/main.do?rcpNo=20250207800042", "공시열람")</f>
        <v/>
      </c>
    </row>
    <row r="3634">
      <c r="A3634" t="inlineStr">
        <is>
          <t>2025-02-07</t>
        </is>
      </c>
      <c r="B3634" t="inlineStr">
        <is>
          <t>케이씨씨</t>
        </is>
      </c>
      <c r="C3634" t="inlineStr">
        <is>
          <t>002380</t>
        </is>
      </c>
      <c r="D3634" t="inlineStr">
        <is>
          <t>연결</t>
        </is>
      </c>
      <c r="E3634" t="inlineStr">
        <is>
          <t>2024Q4</t>
        </is>
      </c>
      <c r="F3634" s="2" t="n">
        <v>1657455</v>
      </c>
      <c r="G3634" t="n">
        <v>1.4</v>
      </c>
      <c r="H3634" t="n">
        <v>4.7</v>
      </c>
      <c r="I3634" s="2" t="n">
        <v>98322</v>
      </c>
      <c r="J3634" t="n">
        <v>-21.5</v>
      </c>
      <c r="K3634" t="n">
        <v>69.8</v>
      </c>
      <c r="L3634" s="2" t="n">
        <v>-86468</v>
      </c>
      <c r="M3634" t="inlineStr"/>
      <c r="N3634" t="inlineStr">
        <is>
          <t>20250207800179</t>
        </is>
      </c>
      <c r="O3634">
        <f>HYPERLINK("https://dart.fss.or.kr/dsaf001/main.do?rcpNo=20250207800179", "공시열람")</f>
        <v/>
      </c>
    </row>
    <row r="3635">
      <c r="A3635" t="inlineStr">
        <is>
          <t>2025-02-07</t>
        </is>
      </c>
      <c r="B3635" t="inlineStr">
        <is>
          <t>일동제약</t>
        </is>
      </c>
      <c r="C3635" t="inlineStr">
        <is>
          <t>249420</t>
        </is>
      </c>
      <c r="D3635" t="inlineStr">
        <is>
          <t>연결</t>
        </is>
      </c>
      <c r="E3635" t="inlineStr">
        <is>
          <t>2024Q4</t>
        </is>
      </c>
      <c r="F3635" s="2" t="n">
        <v>155743</v>
      </c>
      <c r="G3635" t="inlineStr"/>
      <c r="H3635" t="inlineStr"/>
      <c r="I3635" s="2" t="n">
        <v>10714</v>
      </c>
      <c r="J3635" t="inlineStr"/>
      <c r="K3635" t="inlineStr"/>
      <c r="L3635" s="2" t="n">
        <v>4822</v>
      </c>
      <c r="M3635" t="inlineStr"/>
      <c r="N3635" t="inlineStr">
        <is>
          <t>20250207801293</t>
        </is>
      </c>
      <c r="O3635">
        <f>HYPERLINK("https://dart.fss.or.kr/dsaf001/main.do?rcpNo=20250207801293", "공시열람")</f>
        <v/>
      </c>
    </row>
    <row r="3636">
      <c r="A3636" t="inlineStr">
        <is>
          <t>2025-02-06</t>
        </is>
      </c>
      <c r="B3636" t="inlineStr">
        <is>
          <t>삼천리</t>
        </is>
      </c>
      <c r="C3636" t="inlineStr">
        <is>
          <t>004690</t>
        </is>
      </c>
      <c r="D3636" t="inlineStr">
        <is>
          <t>별도</t>
        </is>
      </c>
      <c r="E3636" t="inlineStr">
        <is>
          <t>2024Q4</t>
        </is>
      </c>
      <c r="F3636" s="2" t="n">
        <v>3572408</v>
      </c>
      <c r="G3636" t="n">
        <v>-7.9</v>
      </c>
      <c r="H3636" t="inlineStr"/>
      <c r="I3636" s="2" t="n">
        <v>26834</v>
      </c>
      <c r="J3636" t="n">
        <v>-65.8</v>
      </c>
      <c r="K3636" t="inlineStr"/>
      <c r="L3636" s="2" t="n">
        <v>52712</v>
      </c>
      <c r="M3636" t="inlineStr"/>
      <c r="N3636" t="inlineStr">
        <is>
          <t>20250206800979</t>
        </is>
      </c>
      <c r="O3636">
        <f>HYPERLINK("https://dart.fss.or.kr/dsaf001/main.do?rcpNo=20250206800979", "공시열람")</f>
        <v/>
      </c>
    </row>
    <row r="3637">
      <c r="A3637" t="inlineStr">
        <is>
          <t>2025-02-06</t>
        </is>
      </c>
      <c r="B3637" t="inlineStr">
        <is>
          <t>SK아이이테크놀로지</t>
        </is>
      </c>
      <c r="C3637" t="inlineStr">
        <is>
          <t>361610</t>
        </is>
      </c>
      <c r="D3637" t="inlineStr">
        <is>
          <t>연결</t>
        </is>
      </c>
      <c r="E3637" t="inlineStr">
        <is>
          <t>2024Q4</t>
        </is>
      </c>
      <c r="F3637" s="2" t="n">
        <v>59254</v>
      </c>
      <c r="G3637" t="n">
        <v>16.73</v>
      </c>
      <c r="H3637" t="n">
        <v>-65.65000000000001</v>
      </c>
      <c r="I3637" s="2" t="n">
        <v>-91914</v>
      </c>
      <c r="J3637" t="n">
        <v>-25.9</v>
      </c>
      <c r="K3637" t="inlineStr"/>
      <c r="L3637" s="2" t="n">
        <v>-100043</v>
      </c>
      <c r="M3637" t="inlineStr"/>
      <c r="N3637" t="inlineStr">
        <is>
          <t>20250206800554</t>
        </is>
      </c>
      <c r="O3637">
        <f>HYPERLINK("https://dart.fss.or.kr/dsaf001/main.do?rcpNo=20250206800554", "공시열람")</f>
        <v/>
      </c>
    </row>
    <row r="3638">
      <c r="A3638" t="inlineStr">
        <is>
          <t>2025-02-06</t>
        </is>
      </c>
      <c r="B3638" t="inlineStr">
        <is>
          <t>롯데쇼핑</t>
        </is>
      </c>
      <c r="C3638" t="inlineStr">
        <is>
          <t>023530</t>
        </is>
      </c>
      <c r="D3638" t="inlineStr">
        <is>
          <t>연결</t>
        </is>
      </c>
      <c r="E3638" t="inlineStr">
        <is>
          <t>2024Q4</t>
        </is>
      </c>
      <c r="F3638" s="2" t="n">
        <v>3477110</v>
      </c>
      <c r="G3638" t="n">
        <v>-2.6</v>
      </c>
      <c r="H3638" t="n">
        <v>-4.3</v>
      </c>
      <c r="I3638" s="2" t="n">
        <v>147201</v>
      </c>
      <c r="J3638" t="n">
        <v>-5</v>
      </c>
      <c r="K3638" t="n">
        <v>-27.3</v>
      </c>
      <c r="L3638" s="2" t="n">
        <v>-1006307</v>
      </c>
      <c r="M3638" t="n">
        <v>-1403.2</v>
      </c>
      <c r="N3638" t="inlineStr">
        <is>
          <t>20250206800587</t>
        </is>
      </c>
      <c r="O3638">
        <f>HYPERLINK("https://dart.fss.or.kr/dsaf001/main.do?rcpNo=20250206800587", "공시열람")</f>
        <v/>
      </c>
    </row>
    <row r="3639">
      <c r="A3639" t="inlineStr">
        <is>
          <t>2025-02-06</t>
        </is>
      </c>
      <c r="B3639" t="inlineStr">
        <is>
          <t>케이티앤지</t>
        </is>
      </c>
      <c r="C3639" t="inlineStr">
        <is>
          <t>033780</t>
        </is>
      </c>
      <c r="D3639" t="inlineStr">
        <is>
          <t>연결</t>
        </is>
      </c>
      <c r="E3639" t="inlineStr">
        <is>
          <t>2021Q4</t>
        </is>
      </c>
      <c r="F3639" s="2" t="n">
        <v>1557122</v>
      </c>
      <c r="G3639" t="n">
        <v>-4.8</v>
      </c>
      <c r="H3639" t="n">
        <v>8</v>
      </c>
      <c r="I3639" s="2" t="n">
        <v>208455</v>
      </c>
      <c r="J3639" t="n">
        <v>-50.1</v>
      </c>
      <c r="K3639" t="n">
        <v>5.3</v>
      </c>
      <c r="L3639" s="2" t="n">
        <v>301729</v>
      </c>
      <c r="M3639" t="n">
        <v>167.2</v>
      </c>
      <c r="N3639" t="inlineStr">
        <is>
          <t>20250206800563</t>
        </is>
      </c>
      <c r="O3639">
        <f>HYPERLINK("https://dart.fss.or.kr/dsaf001/main.do?rcpNo=20250206800563", "공시열람")</f>
        <v/>
      </c>
    </row>
    <row r="3640">
      <c r="A3640" t="inlineStr">
        <is>
          <t>2025-02-06</t>
        </is>
      </c>
      <c r="B3640" t="inlineStr">
        <is>
          <t>JB금융지주</t>
        </is>
      </c>
      <c r="C3640" t="inlineStr">
        <is>
          <t>175330</t>
        </is>
      </c>
      <c r="D3640" t="inlineStr">
        <is>
          <t>연결</t>
        </is>
      </c>
      <c r="E3640" t="inlineStr">
        <is>
          <t>2024Q4</t>
        </is>
      </c>
      <c r="F3640" s="2" t="n">
        <v>1160162</v>
      </c>
      <c r="G3640" t="n">
        <v>1.3</v>
      </c>
      <c r="H3640" t="n">
        <v>4.2</v>
      </c>
      <c r="I3640" s="2" t="n">
        <v>158281</v>
      </c>
      <c r="J3640" t="n">
        <v>-39.4</v>
      </c>
      <c r="K3640" t="n">
        <v>25.3</v>
      </c>
      <c r="L3640" s="2" t="n">
        <v>118681</v>
      </c>
      <c r="M3640" t="n">
        <v>23</v>
      </c>
      <c r="N3640" t="inlineStr">
        <is>
          <t>20250206800585</t>
        </is>
      </c>
      <c r="O3640">
        <f>HYPERLINK("https://dart.fss.or.kr/dsaf001/main.do?rcpNo=20250206800585", "공시열람")</f>
        <v/>
      </c>
    </row>
    <row r="3641">
      <c r="A3641" t="inlineStr">
        <is>
          <t>2025-02-06</t>
        </is>
      </c>
      <c r="B3641" t="inlineStr">
        <is>
          <t>DL</t>
        </is>
      </c>
      <c r="C3641" t="inlineStr">
        <is>
          <t>000210</t>
        </is>
      </c>
      <c r="D3641" t="inlineStr">
        <is>
          <t>연결</t>
        </is>
      </c>
      <c r="E3641" t="inlineStr">
        <is>
          <t>2024Q4</t>
        </is>
      </c>
      <c r="F3641" s="2" t="n">
        <v>1298444</v>
      </c>
      <c r="G3641" t="n">
        <v>-8.710000000000001</v>
      </c>
      <c r="H3641" t="n">
        <v>4.11</v>
      </c>
      <c r="I3641" s="2" t="n">
        <v>-22409</v>
      </c>
      <c r="J3641" t="inlineStr"/>
      <c r="K3641" t="inlineStr"/>
      <c r="L3641" s="2" t="n">
        <v>75922</v>
      </c>
      <c r="M3641" t="n">
        <v>74.87</v>
      </c>
      <c r="N3641" t="inlineStr">
        <is>
          <t>20250206800577</t>
        </is>
      </c>
      <c r="O3641">
        <f>HYPERLINK("https://dart.fss.or.kr/dsaf001/main.do?rcpNo=20250206800577", "공시열람")</f>
        <v/>
      </c>
    </row>
    <row r="3642">
      <c r="A3642" t="inlineStr">
        <is>
          <t>2025-02-06</t>
        </is>
      </c>
      <c r="B3642" t="inlineStr">
        <is>
          <t>HL만도</t>
        </is>
      </c>
      <c r="C3642" t="inlineStr">
        <is>
          <t>204320</t>
        </is>
      </c>
      <c r="D3642" t="inlineStr">
        <is>
          <t>연결</t>
        </is>
      </c>
      <c r="E3642" t="inlineStr">
        <is>
          <t>2024Q4</t>
        </is>
      </c>
      <c r="F3642" s="2" t="n">
        <v>2421756</v>
      </c>
      <c r="G3642" t="n">
        <v>11.5</v>
      </c>
      <c r="H3642" t="n">
        <v>10.6</v>
      </c>
      <c r="I3642" s="2" t="n">
        <v>112576</v>
      </c>
      <c r="J3642" t="n">
        <v>36.5</v>
      </c>
      <c r="K3642" t="n">
        <v>122.5</v>
      </c>
      <c r="L3642" s="2" t="n">
        <v>51830</v>
      </c>
      <c r="M3642" t="n">
        <v>27.6</v>
      </c>
      <c r="N3642" t="inlineStr">
        <is>
          <t>20250206800578</t>
        </is>
      </c>
      <c r="O3642">
        <f>HYPERLINK("https://dart.fss.or.kr/dsaf001/main.do?rcpNo=20250206800578", "공시열람")</f>
        <v/>
      </c>
    </row>
    <row r="3643">
      <c r="A3643" t="inlineStr">
        <is>
          <t>2025-02-06</t>
        </is>
      </c>
      <c r="B3643" t="inlineStr">
        <is>
          <t>제이브이엠</t>
        </is>
      </c>
      <c r="C3643" t="inlineStr">
        <is>
          <t>054950</t>
        </is>
      </c>
      <c r="D3643" t="inlineStr">
        <is>
          <t>연결</t>
        </is>
      </c>
      <c r="E3643" t="inlineStr">
        <is>
          <t>2024Q4</t>
        </is>
      </c>
      <c r="F3643" s="2" t="n">
        <v>159434</v>
      </c>
      <c r="G3643" t="inlineStr"/>
      <c r="H3643" t="inlineStr"/>
      <c r="I3643" s="2" t="n">
        <v>30675</v>
      </c>
      <c r="J3643" t="inlineStr"/>
      <c r="K3643" t="inlineStr"/>
      <c r="L3643" s="2" t="n">
        <v>28844</v>
      </c>
      <c r="M3643" t="inlineStr"/>
      <c r="N3643" t="inlineStr">
        <is>
          <t>20250206900613</t>
        </is>
      </c>
      <c r="O3643">
        <f>HYPERLINK("https://dart.fss.or.kr/dsaf001/main.do?rcpNo=20250206900613", "공시열람")</f>
        <v/>
      </c>
    </row>
    <row r="3644">
      <c r="A3644" t="inlineStr">
        <is>
          <t>2025-02-06</t>
        </is>
      </c>
      <c r="B3644" t="inlineStr">
        <is>
          <t>HL D&amp;I</t>
        </is>
      </c>
      <c r="C3644" t="inlineStr">
        <is>
          <t>014790</t>
        </is>
      </c>
      <c r="D3644" t="inlineStr">
        <is>
          <t>연결</t>
        </is>
      </c>
      <c r="E3644" t="inlineStr">
        <is>
          <t>2024Q4</t>
        </is>
      </c>
      <c r="F3644" s="2" t="n">
        <v>433772</v>
      </c>
      <c r="G3644" t="n">
        <v>22.8</v>
      </c>
      <c r="H3644" t="n">
        <v>0.1</v>
      </c>
      <c r="I3644" s="2" t="n">
        <v>15149</v>
      </c>
      <c r="J3644" t="n">
        <v>14.4</v>
      </c>
      <c r="K3644" t="n">
        <v>-27.7</v>
      </c>
      <c r="L3644" s="2" t="n">
        <v>-1262</v>
      </c>
      <c r="M3644" t="inlineStr"/>
      <c r="N3644" t="inlineStr">
        <is>
          <t>20250206801150</t>
        </is>
      </c>
      <c r="O3644">
        <f>HYPERLINK("https://dart.fss.or.kr/dsaf001/main.do?rcpNo=20250206801150", "공시열람")</f>
        <v/>
      </c>
    </row>
    <row r="3645">
      <c r="A3645" t="inlineStr">
        <is>
          <t>2025-02-06</t>
        </is>
      </c>
      <c r="B3645" t="inlineStr">
        <is>
          <t>HDC</t>
        </is>
      </c>
      <c r="C3645" t="inlineStr">
        <is>
          <t>012630</t>
        </is>
      </c>
      <c r="D3645" t="inlineStr">
        <is>
          <t>연결</t>
        </is>
      </c>
      <c r="E3645" t="inlineStr">
        <is>
          <t>2024Q4</t>
        </is>
      </c>
      <c r="F3645" s="2" t="n">
        <v>1719962</v>
      </c>
      <c r="G3645" t="n">
        <v>9.6</v>
      </c>
      <c r="H3645" t="n">
        <v>8.199999999999999</v>
      </c>
      <c r="I3645" s="2" t="n">
        <v>104707</v>
      </c>
      <c r="J3645" t="n">
        <v>12.7</v>
      </c>
      <c r="K3645" t="n">
        <v>2.6</v>
      </c>
      <c r="L3645" s="2" t="n">
        <v>54445</v>
      </c>
      <c r="M3645" t="n">
        <v>6.4</v>
      </c>
      <c r="N3645" t="inlineStr">
        <is>
          <t>20250206801058</t>
        </is>
      </c>
      <c r="O3645">
        <f>HYPERLINK("https://dart.fss.or.kr/dsaf001/main.do?rcpNo=20250206801058", "공시열람")</f>
        <v/>
      </c>
    </row>
    <row r="3646">
      <c r="A3646" t="inlineStr">
        <is>
          <t>2025-02-06</t>
        </is>
      </c>
      <c r="B3646" t="inlineStr">
        <is>
          <t>현대이지웰</t>
        </is>
      </c>
      <c r="C3646" t="inlineStr">
        <is>
          <t>090850</t>
        </is>
      </c>
      <c r="D3646" t="inlineStr">
        <is>
          <t>연결</t>
        </is>
      </c>
      <c r="E3646" t="inlineStr">
        <is>
          <t>2024Q4</t>
        </is>
      </c>
      <c r="F3646" s="2" t="n">
        <v>30911</v>
      </c>
      <c r="G3646" t="inlineStr"/>
      <c r="H3646" t="inlineStr"/>
      <c r="I3646" s="2" t="n">
        <v>2309</v>
      </c>
      <c r="J3646" t="inlineStr"/>
      <c r="K3646" t="inlineStr"/>
      <c r="L3646" s="2" t="n">
        <v>-3963</v>
      </c>
      <c r="M3646" t="inlineStr"/>
      <c r="N3646" t="inlineStr">
        <is>
          <t>20250206900787</t>
        </is>
      </c>
      <c r="O3646">
        <f>HYPERLINK("https://dart.fss.or.kr/dsaf001/main.do?rcpNo=20250206900787", "공시열람")</f>
        <v/>
      </c>
    </row>
    <row r="3647">
      <c r="A3647" t="inlineStr">
        <is>
          <t>2025-02-06</t>
        </is>
      </c>
      <c r="B3647" t="inlineStr">
        <is>
          <t>티케이지휴켐스</t>
        </is>
      </c>
      <c r="C3647" t="inlineStr">
        <is>
          <t>069260</t>
        </is>
      </c>
      <c r="D3647" t="inlineStr">
        <is>
          <t>연결</t>
        </is>
      </c>
      <c r="E3647" t="inlineStr">
        <is>
          <t>2024Q4</t>
        </is>
      </c>
      <c r="F3647" s="2" t="n">
        <v>311934</v>
      </c>
      <c r="G3647" t="n">
        <v>5.8</v>
      </c>
      <c r="H3647" t="n">
        <v>41</v>
      </c>
      <c r="I3647" s="2" t="n">
        <v>8220</v>
      </c>
      <c r="J3647" t="n">
        <v>-58</v>
      </c>
      <c r="K3647" t="inlineStr"/>
      <c r="L3647" s="2" t="n">
        <v>7651</v>
      </c>
      <c r="M3647" t="n">
        <v>-61.8</v>
      </c>
      <c r="N3647" t="inlineStr">
        <is>
          <t>20250206800947</t>
        </is>
      </c>
      <c r="O3647">
        <f>HYPERLINK("https://dart.fss.or.kr/dsaf001/main.do?rcpNo=20250206800947", "공시열람")</f>
        <v/>
      </c>
    </row>
    <row r="3648">
      <c r="A3648" t="inlineStr">
        <is>
          <t>2025-02-06</t>
        </is>
      </c>
      <c r="B3648" t="inlineStr">
        <is>
          <t>아모레퍼시픽홀딩스</t>
        </is>
      </c>
      <c r="C3648" t="inlineStr">
        <is>
          <t>002790</t>
        </is>
      </c>
      <c r="D3648" t="inlineStr">
        <is>
          <t>연결</t>
        </is>
      </c>
      <c r="E3648" t="inlineStr">
        <is>
          <t>2024Q4</t>
        </is>
      </c>
      <c r="F3648" s="2" t="n">
        <v>1179362</v>
      </c>
      <c r="G3648" t="n">
        <v>10.4</v>
      </c>
      <c r="H3648" t="n">
        <v>15.9</v>
      </c>
      <c r="I3648" s="2" t="n">
        <v>79029</v>
      </c>
      <c r="J3648" t="n">
        <v>5.4</v>
      </c>
      <c r="K3648" t="n">
        <v>164.7</v>
      </c>
      <c r="L3648" s="2" t="n">
        <v>-33797</v>
      </c>
      <c r="M3648" t="inlineStr"/>
      <c r="N3648" t="inlineStr">
        <is>
          <t>20250206800747</t>
        </is>
      </c>
      <c r="O3648">
        <f>HYPERLINK("https://dart.fss.or.kr/dsaf001/main.do?rcpNo=20250206800747", "공시열람")</f>
        <v/>
      </c>
    </row>
    <row r="3649">
      <c r="A3649" t="inlineStr">
        <is>
          <t>2025-02-06</t>
        </is>
      </c>
      <c r="B3649" t="inlineStr">
        <is>
          <t>위메이드맥스</t>
        </is>
      </c>
      <c r="C3649" t="inlineStr">
        <is>
          <t>101730</t>
        </is>
      </c>
      <c r="D3649" t="inlineStr">
        <is>
          <t>연결</t>
        </is>
      </c>
      <c r="E3649" t="inlineStr">
        <is>
          <t>2024Q4</t>
        </is>
      </c>
      <c r="F3649" s="2" t="n">
        <v>20164</v>
      </c>
      <c r="G3649" t="inlineStr"/>
      <c r="H3649" t="inlineStr"/>
      <c r="I3649" s="2" t="n">
        <v>-3897</v>
      </c>
      <c r="J3649" t="inlineStr"/>
      <c r="K3649" t="inlineStr"/>
      <c r="L3649" s="2" t="n">
        <v>-7813</v>
      </c>
      <c r="M3649" t="inlineStr"/>
      <c r="N3649" t="inlineStr">
        <is>
          <t>20250206900750</t>
        </is>
      </c>
      <c r="O3649">
        <f>HYPERLINK("https://dart.fss.or.kr/dsaf001/main.do?rcpNo=20250206900750", "공시열람")</f>
        <v/>
      </c>
    </row>
    <row r="3650">
      <c r="A3650" t="inlineStr">
        <is>
          <t>2025-02-06</t>
        </is>
      </c>
      <c r="B3650" t="inlineStr">
        <is>
          <t>위메이드플레이</t>
        </is>
      </c>
      <c r="C3650" t="inlineStr">
        <is>
          <t>123420</t>
        </is>
      </c>
      <c r="D3650" t="inlineStr">
        <is>
          <t>연결</t>
        </is>
      </c>
      <c r="E3650" t="inlineStr">
        <is>
          <t>2024Q4</t>
        </is>
      </c>
      <c r="F3650" s="2" t="n">
        <v>31810</v>
      </c>
      <c r="G3650" t="inlineStr"/>
      <c r="H3650" t="inlineStr"/>
      <c r="I3650" s="2" t="n">
        <v>1902</v>
      </c>
      <c r="J3650" t="inlineStr"/>
      <c r="K3650" t="inlineStr"/>
      <c r="L3650" s="2" t="n">
        <v>26043</v>
      </c>
      <c r="M3650" t="inlineStr"/>
      <c r="N3650" t="inlineStr">
        <is>
          <t>20250206900755</t>
        </is>
      </c>
      <c r="O3650">
        <f>HYPERLINK("https://dart.fss.or.kr/dsaf001/main.do?rcpNo=20250206900755", "공시열람")</f>
        <v/>
      </c>
    </row>
    <row r="3651">
      <c r="A3651" t="inlineStr">
        <is>
          <t>2025-02-06</t>
        </is>
      </c>
      <c r="B3651" t="inlineStr">
        <is>
          <t>아모레퍼시픽</t>
        </is>
      </c>
      <c r="C3651" t="inlineStr">
        <is>
          <t>090430</t>
        </is>
      </c>
      <c r="D3651" t="inlineStr">
        <is>
          <t>연결</t>
        </is>
      </c>
      <c r="E3651" t="inlineStr">
        <is>
          <t>2024Q4</t>
        </is>
      </c>
      <c r="F3651" s="2" t="n">
        <v>1091699</v>
      </c>
      <c r="G3651" t="n">
        <v>11.7</v>
      </c>
      <c r="H3651" t="n">
        <v>17.9</v>
      </c>
      <c r="I3651" s="2" t="n">
        <v>78481</v>
      </c>
      <c r="J3651" t="n">
        <v>20.4</v>
      </c>
      <c r="K3651" t="n">
        <v>279.6</v>
      </c>
      <c r="L3651" s="2" t="n">
        <v>-46230</v>
      </c>
      <c r="M3651" t="inlineStr"/>
      <c r="N3651" t="inlineStr">
        <is>
          <t>20250206800727</t>
        </is>
      </c>
      <c r="O3651">
        <f>HYPERLINK("https://dart.fss.or.kr/dsaf001/main.do?rcpNo=20250206800727", "공시열람")</f>
        <v/>
      </c>
    </row>
    <row r="3652">
      <c r="A3652" t="inlineStr">
        <is>
          <t>2025-02-06</t>
        </is>
      </c>
      <c r="B3652" t="inlineStr">
        <is>
          <t>HDC랩스</t>
        </is>
      </c>
      <c r="C3652" t="inlineStr">
        <is>
          <t>039570</t>
        </is>
      </c>
      <c r="D3652" t="inlineStr">
        <is>
          <t>연결</t>
        </is>
      </c>
      <c r="E3652" t="inlineStr">
        <is>
          <t>2024Q4</t>
        </is>
      </c>
      <c r="F3652" s="2" t="n">
        <v>183491</v>
      </c>
      <c r="G3652" t="n">
        <v>16.7</v>
      </c>
      <c r="H3652" t="n">
        <v>3.9</v>
      </c>
      <c r="I3652" s="2" t="n">
        <v>3927</v>
      </c>
      <c r="J3652" t="n">
        <v>1093.6</v>
      </c>
      <c r="K3652" t="n">
        <v>-25</v>
      </c>
      <c r="L3652" s="2" t="n">
        <v>3328</v>
      </c>
      <c r="M3652" t="n">
        <v>-25</v>
      </c>
      <c r="N3652" t="inlineStr">
        <is>
          <t>20250206800614</t>
        </is>
      </c>
      <c r="O3652">
        <f>HYPERLINK("https://dart.fss.or.kr/dsaf001/main.do?rcpNo=20250206800614", "공시열람")</f>
        <v/>
      </c>
    </row>
    <row r="3653">
      <c r="A3653" t="inlineStr">
        <is>
          <t>2025-02-06</t>
        </is>
      </c>
      <c r="B3653" t="inlineStr">
        <is>
          <t>금호타이어</t>
        </is>
      </c>
      <c r="C3653" t="inlineStr">
        <is>
          <t>073240</t>
        </is>
      </c>
      <c r="D3653" t="inlineStr">
        <is>
          <t>연결</t>
        </is>
      </c>
      <c r="E3653" t="inlineStr">
        <is>
          <t>2024Q4</t>
        </is>
      </c>
      <c r="F3653" s="2" t="n">
        <v>1246628</v>
      </c>
      <c r="G3653" t="n">
        <v>11.8</v>
      </c>
      <c r="H3653" t="n">
        <v>17.5</v>
      </c>
      <c r="I3653" s="2" t="n">
        <v>153239</v>
      </c>
      <c r="J3653" t="n">
        <v>9.300000000000001</v>
      </c>
      <c r="K3653" t="n">
        <v>-11</v>
      </c>
      <c r="L3653" s="2" t="n">
        <v>87942</v>
      </c>
      <c r="M3653" t="n">
        <v>-2.6</v>
      </c>
      <c r="N3653" t="inlineStr">
        <is>
          <t>20250206800519</t>
        </is>
      </c>
      <c r="O3653">
        <f>HYPERLINK("https://dart.fss.or.kr/dsaf001/main.do?rcpNo=20250206800519", "공시열람")</f>
        <v/>
      </c>
    </row>
    <row r="3654">
      <c r="A3654" t="inlineStr">
        <is>
          <t>2025-02-06</t>
        </is>
      </c>
      <c r="B3654" t="inlineStr">
        <is>
          <t>한솔홀딩스</t>
        </is>
      </c>
      <c r="C3654" t="inlineStr">
        <is>
          <t>004150</t>
        </is>
      </c>
      <c r="D3654" t="inlineStr">
        <is>
          <t>별도</t>
        </is>
      </c>
      <c r="E3654" t="inlineStr">
        <is>
          <t>2024Q4</t>
        </is>
      </c>
      <c r="F3654" s="2" t="inlineStr"/>
      <c r="G3654" t="inlineStr"/>
      <c r="H3654" t="inlineStr"/>
      <c r="I3654" s="2" t="inlineStr"/>
      <c r="J3654" t="inlineStr"/>
      <c r="K3654" t="inlineStr"/>
      <c r="L3654" s="2" t="inlineStr"/>
      <c r="M3654" t="inlineStr"/>
      <c r="N3654" t="inlineStr">
        <is>
          <t>20250206800659</t>
        </is>
      </c>
      <c r="O3654">
        <f>HYPERLINK("https://dart.fss.or.kr/dsaf001/main.do?rcpNo=20250206800659", "공시열람")</f>
        <v/>
      </c>
    </row>
    <row r="3655">
      <c r="A3655" t="inlineStr">
        <is>
          <t>2025-02-06</t>
        </is>
      </c>
      <c r="B3655" t="inlineStr">
        <is>
          <t>JB금융지주</t>
        </is>
      </c>
      <c r="C3655" t="inlineStr">
        <is>
          <t>175330</t>
        </is>
      </c>
      <c r="D3655" t="inlineStr">
        <is>
          <t>연결</t>
        </is>
      </c>
      <c r="E3655" t="inlineStr">
        <is>
          <t>2024Q4</t>
        </is>
      </c>
      <c r="F3655" s="2" t="n">
        <v>403725</v>
      </c>
      <c r="G3655" t="n">
        <v>3</v>
      </c>
      <c r="H3655" t="n">
        <v>1.1</v>
      </c>
      <c r="I3655" s="2" t="n">
        <v>61401</v>
      </c>
      <c r="J3655" t="n">
        <v>-21.4</v>
      </c>
      <c r="K3655" t="n">
        <v>3.1</v>
      </c>
      <c r="L3655" s="2" t="n">
        <v>48045</v>
      </c>
      <c r="M3655" t="n">
        <v>6.9</v>
      </c>
      <c r="N3655" t="inlineStr">
        <is>
          <t>20250206800595</t>
        </is>
      </c>
      <c r="O3655">
        <f>HYPERLINK("https://dart.fss.or.kr/dsaf001/main.do?rcpNo=20250206800595", "공시열람")</f>
        <v/>
      </c>
    </row>
    <row r="3656">
      <c r="A3656" t="inlineStr">
        <is>
          <t>2025-02-06</t>
        </is>
      </c>
      <c r="B3656" t="inlineStr">
        <is>
          <t>BNK금융지주</t>
        </is>
      </c>
      <c r="C3656" t="inlineStr">
        <is>
          <t>138930</t>
        </is>
      </c>
      <c r="D3656" t="inlineStr">
        <is>
          <t>연결</t>
        </is>
      </c>
      <c r="E3656" t="inlineStr">
        <is>
          <t>2024Q4</t>
        </is>
      </c>
      <c r="F3656" s="2" t="n">
        <v>2611835</v>
      </c>
      <c r="G3656" t="n">
        <v>14.31</v>
      </c>
      <c r="H3656" t="n">
        <v>7.63</v>
      </c>
      <c r="I3656" s="2" t="n">
        <v>128048</v>
      </c>
      <c r="J3656" t="n">
        <v>-46.99</v>
      </c>
      <c r="K3656" t="inlineStr"/>
      <c r="L3656" s="2" t="n">
        <v>102805</v>
      </c>
      <c r="M3656" t="inlineStr"/>
      <c r="N3656" t="inlineStr">
        <is>
          <t>20250206800525</t>
        </is>
      </c>
      <c r="O3656">
        <f>HYPERLINK("https://dart.fss.or.kr/dsaf001/main.do?rcpNo=20250206800525", "공시열람")</f>
        <v/>
      </c>
    </row>
    <row r="3657">
      <c r="A3657" t="inlineStr">
        <is>
          <t>2025-02-06</t>
        </is>
      </c>
      <c r="B3657" t="inlineStr">
        <is>
          <t>LX하우시스</t>
        </is>
      </c>
      <c r="C3657" t="inlineStr">
        <is>
          <t>108670</t>
        </is>
      </c>
      <c r="D3657" t="inlineStr">
        <is>
          <t>연결</t>
        </is>
      </c>
      <c r="E3657" t="inlineStr">
        <is>
          <t>2024Q4</t>
        </is>
      </c>
      <c r="F3657" s="2" t="n">
        <v>890577</v>
      </c>
      <c r="G3657" t="inlineStr"/>
      <c r="H3657" t="inlineStr"/>
      <c r="I3657" s="2" t="n">
        <v>4910</v>
      </c>
      <c r="J3657" t="inlineStr"/>
      <c r="K3657" t="inlineStr"/>
      <c r="L3657" s="2" t="n">
        <v>-15131</v>
      </c>
      <c r="M3657" t="inlineStr"/>
      <c r="N3657" t="inlineStr">
        <is>
          <t>20250206800842</t>
        </is>
      </c>
      <c r="O3657">
        <f>HYPERLINK("https://dart.fss.or.kr/dsaf001/main.do?rcpNo=20250206800842", "공시열람")</f>
        <v/>
      </c>
    </row>
    <row r="3658">
      <c r="A3658" t="inlineStr">
        <is>
          <t>2025-02-06</t>
        </is>
      </c>
      <c r="B3658" t="inlineStr">
        <is>
          <t>LG</t>
        </is>
      </c>
      <c r="C3658" t="inlineStr">
        <is>
          <t>003550</t>
        </is>
      </c>
      <c r="D3658" t="inlineStr">
        <is>
          <t>연결</t>
        </is>
      </c>
      <c r="E3658" t="inlineStr">
        <is>
          <t>2024Q4</t>
        </is>
      </c>
      <c r="F3658" s="2" t="n">
        <v>1798127</v>
      </c>
      <c r="G3658" t="inlineStr"/>
      <c r="H3658" t="inlineStr"/>
      <c r="I3658" s="2" t="n">
        <v>-227244</v>
      </c>
      <c r="J3658" t="inlineStr"/>
      <c r="K3658" t="inlineStr"/>
      <c r="L3658" s="2" t="n">
        <v>-297218</v>
      </c>
      <c r="M3658" t="inlineStr"/>
      <c r="N3658" t="inlineStr">
        <is>
          <t>20250206800489</t>
        </is>
      </c>
      <c r="O3658">
        <f>HYPERLINK("https://dart.fss.or.kr/dsaf001/main.do?rcpNo=20250206800489", "공시열람")</f>
        <v/>
      </c>
    </row>
    <row r="3659">
      <c r="A3659" t="inlineStr">
        <is>
          <t>2025-02-06</t>
        </is>
      </c>
      <c r="B3659" t="inlineStr">
        <is>
          <t>대우건설</t>
        </is>
      </c>
      <c r="C3659" t="inlineStr">
        <is>
          <t>047040</t>
        </is>
      </c>
      <c r="D3659" t="inlineStr">
        <is>
          <t>연결</t>
        </is>
      </c>
      <c r="E3659" t="inlineStr">
        <is>
          <t>2024Q4</t>
        </is>
      </c>
      <c r="F3659" s="2" t="n">
        <v>2647000</v>
      </c>
      <c r="G3659" t="n">
        <v>3.9</v>
      </c>
      <c r="H3659" t="n">
        <v>-4.7</v>
      </c>
      <c r="I3659" s="2" t="n">
        <v>121200</v>
      </c>
      <c r="J3659" t="n">
        <v>94.5</v>
      </c>
      <c r="K3659" t="n">
        <v>55.6</v>
      </c>
      <c r="L3659" s="2" t="n">
        <v>14500</v>
      </c>
      <c r="M3659" t="n">
        <v>-86.7</v>
      </c>
      <c r="N3659" t="inlineStr">
        <is>
          <t>20250206800031</t>
        </is>
      </c>
      <c r="O3659">
        <f>HYPERLINK("https://dart.fss.or.kr/dsaf001/main.do?rcpNo=20250206800031", "공시열람")</f>
        <v/>
      </c>
    </row>
    <row r="3660">
      <c r="A3660" t="inlineStr">
        <is>
          <t>2025-02-06</t>
        </is>
      </c>
      <c r="B3660" t="inlineStr">
        <is>
          <t>현대로템</t>
        </is>
      </c>
      <c r="C3660" t="inlineStr">
        <is>
          <t>064350</t>
        </is>
      </c>
      <c r="D3660" t="inlineStr">
        <is>
          <t>연결</t>
        </is>
      </c>
      <c r="E3660" t="inlineStr">
        <is>
          <t>2024Q4</t>
        </is>
      </c>
      <c r="F3660" s="2" t="n">
        <v>1440769</v>
      </c>
      <c r="G3660" t="n">
        <v>31.8</v>
      </c>
      <c r="H3660" t="n">
        <v>45.7</v>
      </c>
      <c r="I3660" s="2" t="n">
        <v>161687</v>
      </c>
      <c r="J3660" t="n">
        <v>17.6</v>
      </c>
      <c r="K3660" t="n">
        <v>131.7</v>
      </c>
      <c r="L3660" s="2" t="n">
        <v>145015</v>
      </c>
      <c r="M3660" t="n">
        <v>214</v>
      </c>
      <c r="N3660" t="inlineStr">
        <is>
          <t>20250206800083</t>
        </is>
      </c>
      <c r="O3660">
        <f>HYPERLINK("https://dart.fss.or.kr/dsaf001/main.do?rcpNo=20250206800083", "공시열람")</f>
        <v/>
      </c>
    </row>
    <row r="3661">
      <c r="A3661" t="inlineStr">
        <is>
          <t>2025-02-06</t>
        </is>
      </c>
      <c r="B3661" t="inlineStr">
        <is>
          <t>더존비즈온</t>
        </is>
      </c>
      <c r="C3661" t="inlineStr">
        <is>
          <t>012510</t>
        </is>
      </c>
      <c r="D3661" t="inlineStr">
        <is>
          <t>연결</t>
        </is>
      </c>
      <c r="E3661" t="inlineStr">
        <is>
          <t>2024Q4</t>
        </is>
      </c>
      <c r="F3661" s="2" t="n">
        <v>111461</v>
      </c>
      <c r="G3661" t="n">
        <v>14.9</v>
      </c>
      <c r="H3661" t="n">
        <v>7.6</v>
      </c>
      <c r="I3661" s="2" t="n">
        <v>29447</v>
      </c>
      <c r="J3661" t="n">
        <v>46.6</v>
      </c>
      <c r="K3661" t="n">
        <v>18.9</v>
      </c>
      <c r="L3661" s="2" t="n">
        <v>20199</v>
      </c>
      <c r="M3661" t="n">
        <v>55.2</v>
      </c>
      <c r="N3661" t="inlineStr">
        <is>
          <t>20250206800080</t>
        </is>
      </c>
      <c r="O3661">
        <f>HYPERLINK("https://dart.fss.or.kr/dsaf001/main.do?rcpNo=20250206800080", "공시열람")</f>
        <v/>
      </c>
    </row>
    <row r="3662">
      <c r="A3662" t="inlineStr">
        <is>
          <t>2025-02-06</t>
        </is>
      </c>
      <c r="B3662" t="inlineStr">
        <is>
          <t>LG유플러스</t>
        </is>
      </c>
      <c r="C3662" t="inlineStr">
        <is>
          <t>032640</t>
        </is>
      </c>
      <c r="D3662" t="inlineStr">
        <is>
          <t>별도</t>
        </is>
      </c>
      <c r="E3662" t="inlineStr">
        <is>
          <t>2024Q4</t>
        </is>
      </c>
      <c r="F3662" s="2" t="n">
        <v>3448900</v>
      </c>
      <c r="G3662" t="n">
        <v>-1.4</v>
      </c>
      <c r="H3662" t="n">
        <v>-1.1</v>
      </c>
      <c r="I3662" s="2" t="n">
        <v>155000</v>
      </c>
      <c r="J3662" t="n">
        <v>-38.8</v>
      </c>
      <c r="K3662" t="n">
        <v>-18.1</v>
      </c>
      <c r="L3662" s="2" t="n">
        <v>54900</v>
      </c>
      <c r="M3662" t="n">
        <v>-51.4</v>
      </c>
      <c r="N3662" t="inlineStr">
        <is>
          <t>20250206800115</t>
        </is>
      </c>
      <c r="O3662">
        <f>HYPERLINK("https://dart.fss.or.kr/dsaf001/main.do?rcpNo=20250206800115", "공시열람")</f>
        <v/>
      </c>
    </row>
    <row r="3663">
      <c r="A3663" t="inlineStr">
        <is>
          <t>2025-02-06</t>
        </is>
      </c>
      <c r="B3663" t="inlineStr">
        <is>
          <t>LG유플러스</t>
        </is>
      </c>
      <c r="C3663" t="inlineStr">
        <is>
          <t>032640</t>
        </is>
      </c>
      <c r="D3663" t="inlineStr">
        <is>
          <t>연결</t>
        </is>
      </c>
      <c r="E3663" t="inlineStr">
        <is>
          <t>2024Q4</t>
        </is>
      </c>
      <c r="F3663" s="2" t="n">
        <v>3753200</v>
      </c>
      <c r="G3663" t="n">
        <v>-1.3</v>
      </c>
      <c r="H3663" t="n">
        <v>-1.8</v>
      </c>
      <c r="I3663" s="2" t="n">
        <v>142200</v>
      </c>
      <c r="J3663" t="n">
        <v>-42.2</v>
      </c>
      <c r="K3663" t="n">
        <v>-27.3</v>
      </c>
      <c r="L3663" s="2" t="n">
        <v>-77000</v>
      </c>
      <c r="M3663" t="inlineStr"/>
      <c r="N3663" t="inlineStr">
        <is>
          <t>20250206800117</t>
        </is>
      </c>
      <c r="O3663">
        <f>HYPERLINK("https://dart.fss.or.kr/dsaf001/main.do?rcpNo=20250206800117", "공시열람")</f>
        <v/>
      </c>
    </row>
    <row r="3664">
      <c r="A3664" t="inlineStr">
        <is>
          <t>2025-02-06</t>
        </is>
      </c>
      <c r="B3664" t="inlineStr">
        <is>
          <t>에스케이바이오팜</t>
        </is>
      </c>
      <c r="C3664" t="inlineStr">
        <is>
          <t>326030</t>
        </is>
      </c>
      <c r="D3664" t="inlineStr">
        <is>
          <t>연결</t>
        </is>
      </c>
      <c r="E3664" t="inlineStr">
        <is>
          <t>2024Q4</t>
        </is>
      </c>
      <c r="F3664" s="2" t="n">
        <v>163025</v>
      </c>
      <c r="G3664" t="n">
        <v>19.3</v>
      </c>
      <c r="H3664" t="n">
        <v>28.6</v>
      </c>
      <c r="I3664" s="2" t="n">
        <v>40654</v>
      </c>
      <c r="J3664" t="n">
        <v>110.2</v>
      </c>
      <c r="K3664" t="n">
        <v>175</v>
      </c>
      <c r="L3664" s="2" t="n">
        <v>186409</v>
      </c>
      <c r="M3664" t="n">
        <v>2031.4</v>
      </c>
      <c r="N3664" t="inlineStr">
        <is>
          <t>20250206800126</t>
        </is>
      </c>
      <c r="O3664">
        <f>HYPERLINK("https://dart.fss.or.kr/dsaf001/main.do?rcpNo=20250206800126", "공시열람")</f>
        <v/>
      </c>
    </row>
    <row r="3665">
      <c r="A3665" t="inlineStr">
        <is>
          <t>2025-02-06</t>
        </is>
      </c>
      <c r="B3665" t="inlineStr">
        <is>
          <t>LG헬로비전</t>
        </is>
      </c>
      <c r="C3665" t="inlineStr">
        <is>
          <t>037560</t>
        </is>
      </c>
      <c r="D3665" t="inlineStr">
        <is>
          <t>연결</t>
        </is>
      </c>
      <c r="E3665" t="inlineStr">
        <is>
          <t>2024Q4</t>
        </is>
      </c>
      <c r="F3665" s="2" t="n">
        <v>322325</v>
      </c>
      <c r="G3665" t="n">
        <v>-0.3</v>
      </c>
      <c r="H3665" t="n">
        <v>-4.5</v>
      </c>
      <c r="I3665" s="2" t="n">
        <v>-1332</v>
      </c>
      <c r="J3665" t="inlineStr"/>
      <c r="K3665" t="inlineStr"/>
      <c r="L3665" s="2" t="n">
        <v>-115090</v>
      </c>
      <c r="M3665" t="n">
        <v>-55.8</v>
      </c>
      <c r="N3665" t="inlineStr">
        <is>
          <t>20250206800137</t>
        </is>
      </c>
      <c r="O3665">
        <f>HYPERLINK("https://dart.fss.or.kr/dsaf001/main.do?rcpNo=20250206800137", "공시열람")</f>
        <v/>
      </c>
    </row>
    <row r="3666">
      <c r="A3666" t="inlineStr">
        <is>
          <t>2025-02-06</t>
        </is>
      </c>
      <c r="B3666" t="inlineStr">
        <is>
          <t>HD건설기계</t>
        </is>
      </c>
      <c r="C3666" t="inlineStr">
        <is>
          <t>267270</t>
        </is>
      </c>
      <c r="D3666" t="inlineStr">
        <is>
          <t>연결</t>
        </is>
      </c>
      <c r="E3666" t="inlineStr">
        <is>
          <t>2024Q4</t>
        </is>
      </c>
      <c r="F3666" s="2" t="n">
        <v>789100</v>
      </c>
      <c r="G3666" t="n">
        <v>-3.4</v>
      </c>
      <c r="H3666" t="n">
        <v>-6.7</v>
      </c>
      <c r="I3666" s="2" t="n">
        <v>35300</v>
      </c>
      <c r="J3666" t="n">
        <v>-18</v>
      </c>
      <c r="K3666" t="n">
        <v>31.4</v>
      </c>
      <c r="L3666" s="2" t="n">
        <v>-1900</v>
      </c>
      <c r="M3666" t="n">
        <v>95.5</v>
      </c>
      <c r="N3666" t="inlineStr">
        <is>
          <t>20250206800150</t>
        </is>
      </c>
      <c r="O3666">
        <f>HYPERLINK("https://dart.fss.or.kr/dsaf001/main.do?rcpNo=20250206800150", "공시열람")</f>
        <v/>
      </c>
    </row>
    <row r="3667">
      <c r="A3667" t="inlineStr">
        <is>
          <t>2025-02-06</t>
        </is>
      </c>
      <c r="B3667" t="inlineStr">
        <is>
          <t>신한지주</t>
        </is>
      </c>
      <c r="C3667" t="inlineStr">
        <is>
          <t>055550</t>
        </is>
      </c>
      <c r="D3667" t="inlineStr">
        <is>
          <t>연결</t>
        </is>
      </c>
      <c r="E3667" t="inlineStr">
        <is>
          <t>2024Q4</t>
        </is>
      </c>
      <c r="F3667" s="2" t="n">
        <v>24804267</v>
      </c>
      <c r="G3667" t="n">
        <v>113.42</v>
      </c>
      <c r="H3667" t="n">
        <v>104.59</v>
      </c>
      <c r="I3667" s="2" t="n">
        <v>759256</v>
      </c>
      <c r="J3667" t="n">
        <v>-59.4</v>
      </c>
      <c r="K3667" t="n">
        <v>-16.06</v>
      </c>
      <c r="L3667" s="2" t="n">
        <v>501253</v>
      </c>
      <c r="M3667" t="n">
        <v>-12.98</v>
      </c>
      <c r="N3667" t="inlineStr">
        <is>
          <t>20250206800249</t>
        </is>
      </c>
      <c r="O3667">
        <f>HYPERLINK("https://dart.fss.or.kr/dsaf001/main.do?rcpNo=20250206800249", "공시열람")</f>
        <v/>
      </c>
    </row>
    <row r="3668">
      <c r="A3668" t="inlineStr">
        <is>
          <t>2025-02-06</t>
        </is>
      </c>
      <c r="B3668" t="inlineStr">
        <is>
          <t>신한지주</t>
        </is>
      </c>
      <c r="C3668" t="inlineStr">
        <is>
          <t>055550</t>
        </is>
      </c>
      <c r="D3668" t="inlineStr">
        <is>
          <t>연결</t>
        </is>
      </c>
      <c r="E3668" t="inlineStr">
        <is>
          <t>2024Q4</t>
        </is>
      </c>
      <c r="F3668" s="2" t="n">
        <v>17565577</v>
      </c>
      <c r="G3668" t="n">
        <v>195.56</v>
      </c>
      <c r="H3668" t="n">
        <v>170.91</v>
      </c>
      <c r="I3668" s="2" t="n">
        <v>810100</v>
      </c>
      <c r="J3668" t="n">
        <v>-42.16</v>
      </c>
      <c r="K3668" t="n">
        <v>16.92</v>
      </c>
      <c r="L3668" s="2" t="n">
        <v>592676</v>
      </c>
      <c r="M3668" t="n">
        <v>26.45</v>
      </c>
      <c r="N3668" t="inlineStr">
        <is>
          <t>20250206800256</t>
        </is>
      </c>
      <c r="O3668">
        <f>HYPERLINK("https://dart.fss.or.kr/dsaf001/main.do?rcpNo=20250206800256", "공시열람")</f>
        <v/>
      </c>
    </row>
    <row r="3669">
      <c r="A3669" t="inlineStr">
        <is>
          <t>2025-02-06</t>
        </is>
      </c>
      <c r="B3669" t="inlineStr">
        <is>
          <t>HD현대중공업</t>
        </is>
      </c>
      <c r="C3669" t="inlineStr">
        <is>
          <t>329180</t>
        </is>
      </c>
      <c r="D3669" t="inlineStr">
        <is>
          <t>연결</t>
        </is>
      </c>
      <c r="E3669" t="inlineStr">
        <is>
          <t>2024Q4</t>
        </is>
      </c>
      <c r="F3669" s="2" t="n">
        <v>4005600</v>
      </c>
      <c r="G3669" t="n">
        <v>11</v>
      </c>
      <c r="H3669" t="n">
        <v>17.4</v>
      </c>
      <c r="I3669" s="2" t="n">
        <v>282200</v>
      </c>
      <c r="J3669" t="n">
        <v>36.9</v>
      </c>
      <c r="K3669" t="n">
        <v>103.5</v>
      </c>
      <c r="L3669" s="2" t="n">
        <v>366600</v>
      </c>
      <c r="M3669" t="n">
        <v>1082.6</v>
      </c>
      <c r="N3669" t="inlineStr">
        <is>
          <t>20250206800267</t>
        </is>
      </c>
      <c r="O3669">
        <f>HYPERLINK("https://dart.fss.or.kr/dsaf001/main.do?rcpNo=20250206800267", "공시열람")</f>
        <v/>
      </c>
    </row>
    <row r="3670">
      <c r="A3670" t="inlineStr">
        <is>
          <t>2025-02-06</t>
        </is>
      </c>
      <c r="B3670" t="inlineStr">
        <is>
          <t>HD현대중공업</t>
        </is>
      </c>
      <c r="C3670" t="inlineStr">
        <is>
          <t>329180</t>
        </is>
      </c>
      <c r="D3670" t="inlineStr">
        <is>
          <t>별도</t>
        </is>
      </c>
      <c r="E3670" t="inlineStr">
        <is>
          <t>2024Q4</t>
        </is>
      </c>
      <c r="F3670" s="2" t="n">
        <v>4003500</v>
      </c>
      <c r="G3670" t="n">
        <v>11.1</v>
      </c>
      <c r="H3670" t="n">
        <v>17.4</v>
      </c>
      <c r="I3670" s="2" t="n">
        <v>282200</v>
      </c>
      <c r="J3670" t="n">
        <v>38.7</v>
      </c>
      <c r="K3670" t="n">
        <v>102.1</v>
      </c>
      <c r="L3670" s="2" t="n">
        <v>365900</v>
      </c>
      <c r="M3670" t="n">
        <v>1111.6</v>
      </c>
      <c r="N3670" t="inlineStr">
        <is>
          <t>20250206800269</t>
        </is>
      </c>
      <c r="O3670">
        <f>HYPERLINK("https://dart.fss.or.kr/dsaf001/main.do?rcpNo=20250206800269", "공시열람")</f>
        <v/>
      </c>
    </row>
    <row r="3671">
      <c r="A3671" t="inlineStr">
        <is>
          <t>2025-02-06</t>
        </is>
      </c>
      <c r="B3671" t="inlineStr">
        <is>
          <t>LG씨엔에스</t>
        </is>
      </c>
      <c r="C3671" t="inlineStr">
        <is>
          <t>064400</t>
        </is>
      </c>
      <c r="D3671" t="inlineStr">
        <is>
          <t>연결</t>
        </is>
      </c>
      <c r="E3671" t="inlineStr">
        <is>
          <t>2024Q4</t>
        </is>
      </c>
      <c r="F3671" s="2" t="n">
        <v>2024206</v>
      </c>
      <c r="G3671" t="inlineStr"/>
      <c r="H3671" t="inlineStr"/>
      <c r="I3671" s="2" t="n">
        <v>200099</v>
      </c>
      <c r="J3671" t="inlineStr"/>
      <c r="K3671" t="inlineStr"/>
      <c r="L3671" s="2" t="n">
        <v>132191</v>
      </c>
      <c r="M3671" t="inlineStr"/>
      <c r="N3671" t="inlineStr">
        <is>
          <t>20250206800260</t>
        </is>
      </c>
      <c r="O3671">
        <f>HYPERLINK("https://dart.fss.or.kr/dsaf001/main.do?rcpNo=20250206800260", "공시열람")</f>
        <v/>
      </c>
    </row>
    <row r="3672">
      <c r="A3672" t="inlineStr">
        <is>
          <t>2025-02-06</t>
        </is>
      </c>
      <c r="B3672" t="inlineStr">
        <is>
          <t>SK이노베이션</t>
        </is>
      </c>
      <c r="C3672" t="inlineStr">
        <is>
          <t>096770</t>
        </is>
      </c>
      <c r="D3672" t="inlineStr">
        <is>
          <t>연결</t>
        </is>
      </c>
      <c r="E3672" t="inlineStr">
        <is>
          <t>2024Q4</t>
        </is>
      </c>
      <c r="F3672" s="2" t="n">
        <v>19405672</v>
      </c>
      <c r="G3672" t="inlineStr"/>
      <c r="H3672" t="inlineStr"/>
      <c r="I3672" s="2" t="n">
        <v>159933</v>
      </c>
      <c r="J3672" t="inlineStr"/>
      <c r="K3672" t="inlineStr"/>
      <c r="L3672" s="2" t="n">
        <v>-1077817</v>
      </c>
      <c r="M3672" t="inlineStr"/>
      <c r="N3672" t="inlineStr">
        <is>
          <t>20250206800058</t>
        </is>
      </c>
      <c r="O3672">
        <f>HYPERLINK("https://dart.fss.or.kr/dsaf001/main.do?rcpNo=20250206800058", "공시열람")</f>
        <v/>
      </c>
    </row>
    <row r="3673">
      <c r="A3673" t="inlineStr">
        <is>
          <t>2025-02-06</t>
        </is>
      </c>
      <c r="B3673" t="inlineStr">
        <is>
          <t>케이카</t>
        </is>
      </c>
      <c r="C3673" t="inlineStr">
        <is>
          <t>381970</t>
        </is>
      </c>
      <c r="D3673" t="inlineStr">
        <is>
          <t>별도</t>
        </is>
      </c>
      <c r="E3673" t="inlineStr">
        <is>
          <t>2024Q4</t>
        </is>
      </c>
      <c r="F3673" s="2" t="n">
        <v>528391</v>
      </c>
      <c r="G3673" t="n">
        <v>-8.9</v>
      </c>
      <c r="H3673" t="n">
        <v>6.6</v>
      </c>
      <c r="I3673" s="2" t="n">
        <v>15280</v>
      </c>
      <c r="J3673" t="n">
        <v>-10.7</v>
      </c>
      <c r="K3673" t="n">
        <v>28.2</v>
      </c>
      <c r="L3673" s="2" t="n">
        <v>9340</v>
      </c>
      <c r="M3673" t="n">
        <v>93.5</v>
      </c>
      <c r="N3673" t="inlineStr">
        <is>
          <t>20250206800038</t>
        </is>
      </c>
      <c r="O3673">
        <f>HYPERLINK("https://dart.fss.or.kr/dsaf001/main.do?rcpNo=20250206800038", "공시열람")</f>
        <v/>
      </c>
    </row>
    <row r="3674">
      <c r="A3674" t="inlineStr">
        <is>
          <t>2025-02-06</t>
        </is>
      </c>
      <c r="B3674" t="inlineStr">
        <is>
          <t>신한지주</t>
        </is>
      </c>
      <c r="C3674" t="inlineStr">
        <is>
          <t>055550</t>
        </is>
      </c>
      <c r="D3674" t="inlineStr">
        <is>
          <t>연결</t>
        </is>
      </c>
      <c r="E3674" t="inlineStr">
        <is>
          <t>2024Q4</t>
        </is>
      </c>
      <c r="F3674" s="2" t="n">
        <v>1850529</v>
      </c>
      <c r="G3674" t="n">
        <v>47.62</v>
      </c>
      <c r="H3674" t="n">
        <v>45.7</v>
      </c>
      <c r="I3674" s="2" t="n">
        <v>46068</v>
      </c>
      <c r="J3674" t="n">
        <v>-79.7</v>
      </c>
      <c r="K3674" t="n">
        <v>-77.04000000000001</v>
      </c>
      <c r="L3674" s="2" t="n">
        <v>20176</v>
      </c>
      <c r="M3674" t="n">
        <v>-86.70999999999999</v>
      </c>
      <c r="N3674" t="inlineStr">
        <is>
          <t>20250206800258</t>
        </is>
      </c>
      <c r="O3674">
        <f>HYPERLINK("https://dart.fss.or.kr/dsaf001/main.do?rcpNo=20250206800258", "공시열람")</f>
        <v/>
      </c>
    </row>
    <row r="3675">
      <c r="A3675" t="inlineStr">
        <is>
          <t>2025-02-06</t>
        </is>
      </c>
      <c r="B3675" t="inlineStr">
        <is>
          <t>현대글로비스</t>
        </is>
      </c>
      <c r="C3675" t="inlineStr">
        <is>
          <t>086280</t>
        </is>
      </c>
      <c r="D3675" t="inlineStr">
        <is>
          <t>연결</t>
        </is>
      </c>
      <c r="E3675" t="inlineStr">
        <is>
          <t>2024Q4</t>
        </is>
      </c>
      <c r="F3675" s="2" t="n">
        <v>7287906</v>
      </c>
      <c r="G3675" t="n">
        <v>-2.4</v>
      </c>
      <c r="H3675" t="n">
        <v>11.8</v>
      </c>
      <c r="I3675" s="2" t="n">
        <v>459741</v>
      </c>
      <c r="J3675" t="n">
        <v>-2</v>
      </c>
      <c r="K3675" t="n">
        <v>31.1</v>
      </c>
      <c r="L3675" s="2" t="n">
        <v>105955</v>
      </c>
      <c r="M3675" t="n">
        <v>-57.6</v>
      </c>
      <c r="N3675" t="inlineStr">
        <is>
          <t>20250206800299</t>
        </is>
      </c>
      <c r="O3675">
        <f>HYPERLINK("https://dart.fss.or.kr/dsaf001/main.do?rcpNo=20250206800299", "공시열람")</f>
        <v/>
      </c>
    </row>
    <row r="3676">
      <c r="A3676" t="inlineStr">
        <is>
          <t>2025-02-06</t>
        </is>
      </c>
      <c r="B3676" t="inlineStr">
        <is>
          <t>DL이앤씨</t>
        </is>
      </c>
      <c r="C3676" t="inlineStr">
        <is>
          <t>375500</t>
        </is>
      </c>
      <c r="D3676" t="inlineStr">
        <is>
          <t>연결</t>
        </is>
      </c>
      <c r="E3676" t="inlineStr">
        <is>
          <t>2024Q4</t>
        </is>
      </c>
      <c r="F3676" s="2" t="n">
        <v>2438814</v>
      </c>
      <c r="G3676" t="n">
        <v>27.1</v>
      </c>
      <c r="H3676" t="n">
        <v>4.54</v>
      </c>
      <c r="I3676" s="2" t="n">
        <v>94140</v>
      </c>
      <c r="J3676" t="n">
        <v>12.95</v>
      </c>
      <c r="K3676" t="n">
        <v>6.7</v>
      </c>
      <c r="L3676" s="2" t="n">
        <v>117313</v>
      </c>
      <c r="M3676" t="n">
        <v>1915.69</v>
      </c>
      <c r="N3676" t="inlineStr">
        <is>
          <t>20250206800444</t>
        </is>
      </c>
      <c r="O3676">
        <f>HYPERLINK("https://dart.fss.or.kr/dsaf001/main.do?rcpNo=20250206800444", "공시열람")</f>
        <v/>
      </c>
    </row>
    <row r="3677">
      <c r="A3677" t="inlineStr">
        <is>
          <t>2025-02-06</t>
        </is>
      </c>
      <c r="B3677" t="inlineStr">
        <is>
          <t>신성이엔지</t>
        </is>
      </c>
      <c r="C3677" t="inlineStr">
        <is>
          <t>011930</t>
        </is>
      </c>
      <c r="D3677" t="inlineStr">
        <is>
          <t>연결</t>
        </is>
      </c>
      <c r="E3677" t="inlineStr">
        <is>
          <t>2024Q4</t>
        </is>
      </c>
      <c r="F3677" s="2" t="n">
        <v>161963</v>
      </c>
      <c r="G3677" t="inlineStr"/>
      <c r="H3677" t="inlineStr"/>
      <c r="I3677" s="2" t="n">
        <v>6718</v>
      </c>
      <c r="J3677" t="inlineStr"/>
      <c r="K3677" t="inlineStr"/>
      <c r="L3677" s="2" t="n">
        <v>402</v>
      </c>
      <c r="M3677" t="inlineStr"/>
      <c r="N3677" t="inlineStr">
        <is>
          <t>20250206800371</t>
        </is>
      </c>
      <c r="O3677">
        <f>HYPERLINK("https://dart.fss.or.kr/dsaf001/main.do?rcpNo=20250206800371", "공시열람")</f>
        <v/>
      </c>
    </row>
    <row r="3678">
      <c r="A3678" t="inlineStr">
        <is>
          <t>2025-02-06</t>
        </is>
      </c>
      <c r="B3678" t="inlineStr">
        <is>
          <t>한화솔루션</t>
        </is>
      </c>
      <c r="C3678" t="inlineStr">
        <is>
          <t>009830</t>
        </is>
      </c>
      <c r="D3678" t="inlineStr">
        <is>
          <t>연결</t>
        </is>
      </c>
      <c r="E3678" t="inlineStr">
        <is>
          <t>2024Q4</t>
        </is>
      </c>
      <c r="F3678" s="2" t="n">
        <v>4642967</v>
      </c>
      <c r="G3678" t="inlineStr"/>
      <c r="H3678" t="inlineStr"/>
      <c r="I3678" s="2" t="n">
        <v>106951</v>
      </c>
      <c r="J3678" t="inlineStr"/>
      <c r="K3678" t="inlineStr"/>
      <c r="L3678" s="2" t="n">
        <v>-124212</v>
      </c>
      <c r="M3678" t="inlineStr"/>
      <c r="N3678" t="inlineStr">
        <is>
          <t>20250206800332</t>
        </is>
      </c>
      <c r="O3678">
        <f>HYPERLINK("https://dart.fss.or.kr/dsaf001/main.do?rcpNo=20250206800332", "공시열람")</f>
        <v/>
      </c>
    </row>
    <row r="3679">
      <c r="A3679" t="inlineStr">
        <is>
          <t>2025-02-06</t>
        </is>
      </c>
      <c r="B3679" t="inlineStr">
        <is>
          <t>HD현대마린엔진</t>
        </is>
      </c>
      <c r="C3679" t="inlineStr">
        <is>
          <t>071970</t>
        </is>
      </c>
      <c r="D3679" t="inlineStr">
        <is>
          <t>연결</t>
        </is>
      </c>
      <c r="E3679" t="inlineStr">
        <is>
          <t>2024Q4</t>
        </is>
      </c>
      <c r="F3679" s="2" t="n">
        <v>88554</v>
      </c>
      <c r="G3679" t="n">
        <v>9.6</v>
      </c>
      <c r="H3679" t="n">
        <v>12.3</v>
      </c>
      <c r="I3679" s="2" t="n">
        <v>9135</v>
      </c>
      <c r="J3679" t="n">
        <v>3.7</v>
      </c>
      <c r="K3679" t="n">
        <v>55.4</v>
      </c>
      <c r="L3679" s="2" t="n">
        <v>50174</v>
      </c>
      <c r="M3679" t="n">
        <v>92.90000000000001</v>
      </c>
      <c r="N3679" t="inlineStr">
        <is>
          <t>20250206800333</t>
        </is>
      </c>
      <c r="O3679">
        <f>HYPERLINK("https://dart.fss.or.kr/dsaf001/main.do?rcpNo=20250206800333", "공시열람")</f>
        <v/>
      </c>
    </row>
    <row r="3680">
      <c r="A3680" t="inlineStr">
        <is>
          <t>2025-02-06</t>
        </is>
      </c>
      <c r="B3680" t="inlineStr">
        <is>
          <t>HD한국조선해양</t>
        </is>
      </c>
      <c r="C3680" t="inlineStr">
        <is>
          <t>009540</t>
        </is>
      </c>
      <c r="D3680" t="inlineStr">
        <is>
          <t>별도</t>
        </is>
      </c>
      <c r="E3680" t="inlineStr">
        <is>
          <t>2024Q4</t>
        </is>
      </c>
      <c r="F3680" s="2" t="n">
        <v>1843400</v>
      </c>
      <c r="G3680" t="n">
        <v>12.2</v>
      </c>
      <c r="H3680" t="n">
        <v>8.699999999999999</v>
      </c>
      <c r="I3680" s="2" t="n">
        <v>184100</v>
      </c>
      <c r="J3680" t="n">
        <v>3.7</v>
      </c>
      <c r="K3680" t="n">
        <v>71.59999999999999</v>
      </c>
      <c r="L3680" s="2" t="n">
        <v>241300</v>
      </c>
      <c r="M3680" t="n">
        <v>824.5</v>
      </c>
      <c r="N3680" t="inlineStr">
        <is>
          <t>20250206800280</t>
        </is>
      </c>
      <c r="O3680">
        <f>HYPERLINK("https://dart.fss.or.kr/dsaf001/main.do?rcpNo=20250206800280", "공시열람")</f>
        <v/>
      </c>
    </row>
    <row r="3681">
      <c r="A3681" t="inlineStr">
        <is>
          <t>2025-02-06</t>
        </is>
      </c>
      <c r="B3681" t="inlineStr">
        <is>
          <t>HD현대</t>
        </is>
      </c>
      <c r="C3681" t="inlineStr">
        <is>
          <t>267250</t>
        </is>
      </c>
      <c r="D3681" t="inlineStr">
        <is>
          <t>연결</t>
        </is>
      </c>
      <c r="E3681" t="inlineStr">
        <is>
          <t>2024Q4</t>
        </is>
      </c>
      <c r="F3681" s="2" t="n">
        <v>17097200</v>
      </c>
      <c r="G3681" t="n">
        <v>3</v>
      </c>
      <c r="H3681" t="n">
        <v>2.3</v>
      </c>
      <c r="I3681" s="2" t="n">
        <v>878200</v>
      </c>
      <c r="J3681" t="n">
        <v>103.5</v>
      </c>
      <c r="K3681" t="n">
        <v>145.4</v>
      </c>
      <c r="L3681" s="2" t="n">
        <v>776100</v>
      </c>
      <c r="M3681" t="inlineStr"/>
      <c r="N3681" t="inlineStr">
        <is>
          <t>20250206800259</t>
        </is>
      </c>
      <c r="O3681">
        <f>HYPERLINK("https://dart.fss.or.kr/dsaf001/main.do?rcpNo=20250206800259", "공시열람")</f>
        <v/>
      </c>
    </row>
    <row r="3682">
      <c r="A3682" t="inlineStr">
        <is>
          <t>2025-02-06</t>
        </is>
      </c>
      <c r="B3682" t="inlineStr">
        <is>
          <t>신한지주</t>
        </is>
      </c>
      <c r="C3682" t="inlineStr">
        <is>
          <t>055550</t>
        </is>
      </c>
      <c r="D3682" t="inlineStr">
        <is>
          <t>연결</t>
        </is>
      </c>
      <c r="E3682" t="inlineStr">
        <is>
          <t>2024Q4</t>
        </is>
      </c>
      <c r="F3682" s="2" t="n">
        <v>2033735</v>
      </c>
      <c r="G3682" t="n">
        <v>43.13</v>
      </c>
      <c r="H3682" t="n">
        <v>28.31</v>
      </c>
      <c r="I3682" s="2" t="n">
        <v>80965</v>
      </c>
      <c r="J3682" t="n">
        <v>-61.24</v>
      </c>
      <c r="K3682" t="n">
        <v>17.33</v>
      </c>
      <c r="L3682" s="2" t="n">
        <v>61294</v>
      </c>
      <c r="M3682" t="n">
        <v>36.91</v>
      </c>
      <c r="N3682" t="inlineStr">
        <is>
          <t>20250206800271</t>
        </is>
      </c>
      <c r="O3682">
        <f>HYPERLINK("https://dart.fss.or.kr/dsaf001/main.do?rcpNo=20250206800271", "공시열람")</f>
        <v/>
      </c>
    </row>
    <row r="3683">
      <c r="A3683" t="inlineStr">
        <is>
          <t>2025-02-06</t>
        </is>
      </c>
      <c r="B3683" t="inlineStr">
        <is>
          <t>HD현대</t>
        </is>
      </c>
      <c r="C3683" t="inlineStr">
        <is>
          <t>267250</t>
        </is>
      </c>
      <c r="D3683" t="inlineStr">
        <is>
          <t>별도</t>
        </is>
      </c>
      <c r="E3683" t="inlineStr">
        <is>
          <t>2024Q4</t>
        </is>
      </c>
      <c r="F3683" s="2" t="n">
        <v>6833200</v>
      </c>
      <c r="G3683" t="n">
        <v>-4</v>
      </c>
      <c r="H3683" t="n">
        <v>-10.1</v>
      </c>
      <c r="I3683" s="2" t="n">
        <v>168400</v>
      </c>
      <c r="J3683" t="inlineStr"/>
      <c r="K3683" t="inlineStr"/>
      <c r="L3683" s="2" t="n">
        <v>-77300</v>
      </c>
      <c r="M3683" t="n">
        <v>-129.4</v>
      </c>
      <c r="N3683" t="inlineStr">
        <is>
          <t>20250206800270</t>
        </is>
      </c>
      <c r="O3683">
        <f>HYPERLINK("https://dart.fss.or.kr/dsaf001/main.do?rcpNo=20250206800270", "공시열람")</f>
        <v/>
      </c>
    </row>
    <row r="3684">
      <c r="A3684" t="inlineStr">
        <is>
          <t>2025-02-06</t>
        </is>
      </c>
      <c r="B3684" t="inlineStr">
        <is>
          <t>HD현대</t>
        </is>
      </c>
      <c r="C3684" t="inlineStr">
        <is>
          <t>267250</t>
        </is>
      </c>
      <c r="D3684" t="inlineStr">
        <is>
          <t>연결</t>
        </is>
      </c>
      <c r="E3684" t="inlineStr">
        <is>
          <t>2024Q4</t>
        </is>
      </c>
      <c r="F3684" s="2" t="n">
        <v>7156000</v>
      </c>
      <c r="G3684" t="n">
        <v>-5.7</v>
      </c>
      <c r="H3684" t="n">
        <v>-9.6</v>
      </c>
      <c r="I3684" s="2" t="n">
        <v>147500</v>
      </c>
      <c r="J3684" t="inlineStr"/>
      <c r="K3684" t="n">
        <v>5800</v>
      </c>
      <c r="L3684" s="2" t="n">
        <v>-115800</v>
      </c>
      <c r="M3684" t="n">
        <v>-972.2</v>
      </c>
      <c r="N3684" t="inlineStr">
        <is>
          <t>20250206800275</t>
        </is>
      </c>
      <c r="O3684">
        <f>HYPERLINK("https://dart.fss.or.kr/dsaf001/main.do?rcpNo=20250206800275", "공시열람")</f>
        <v/>
      </c>
    </row>
    <row r="3685">
      <c r="A3685" t="inlineStr">
        <is>
          <t>2025-02-06</t>
        </is>
      </c>
      <c r="B3685" t="inlineStr">
        <is>
          <t>HD한국조선해양</t>
        </is>
      </c>
      <c r="C3685" t="inlineStr">
        <is>
          <t>009540</t>
        </is>
      </c>
      <c r="D3685" t="inlineStr">
        <is>
          <t>연결</t>
        </is>
      </c>
      <c r="E3685" t="inlineStr">
        <is>
          <t>2024Q4</t>
        </is>
      </c>
      <c r="F3685" s="2" t="n">
        <v>7161700</v>
      </c>
      <c r="G3685" t="n">
        <v>14.7</v>
      </c>
      <c r="H3685" t="n">
        <v>19.6</v>
      </c>
      <c r="I3685" s="2" t="n">
        <v>499100</v>
      </c>
      <c r="J3685" t="n">
        <v>25.3</v>
      </c>
      <c r="K3685" t="n">
        <v>209.8</v>
      </c>
      <c r="L3685" s="2" t="n">
        <v>727100</v>
      </c>
      <c r="M3685" t="inlineStr"/>
      <c r="N3685" t="inlineStr">
        <is>
          <t>20250206800274</t>
        </is>
      </c>
      <c r="O3685">
        <f>HYPERLINK("https://dart.fss.or.kr/dsaf001/main.do?rcpNo=20250206800274", "공시열람")</f>
        <v/>
      </c>
    </row>
    <row r="3686">
      <c r="A3686" t="inlineStr">
        <is>
          <t>2025-02-06</t>
        </is>
      </c>
      <c r="B3686" t="inlineStr">
        <is>
          <t>금호건설</t>
        </is>
      </c>
      <c r="C3686" t="inlineStr">
        <is>
          <t>002990</t>
        </is>
      </c>
      <c r="D3686" t="inlineStr">
        <is>
          <t>연결</t>
        </is>
      </c>
      <c r="E3686" t="inlineStr">
        <is>
          <t>2024Q4</t>
        </is>
      </c>
      <c r="F3686" s="2" t="n">
        <v>521457</v>
      </c>
      <c r="G3686" t="n">
        <v>34.7</v>
      </c>
      <c r="H3686" t="n">
        <v>-14.8</v>
      </c>
      <c r="I3686" s="2" t="n">
        <v>5466</v>
      </c>
      <c r="J3686" t="inlineStr"/>
      <c r="K3686" t="n">
        <v>7.8</v>
      </c>
      <c r="L3686" s="2" t="n">
        <v>1299</v>
      </c>
      <c r="M3686" t="inlineStr"/>
      <c r="N3686" t="inlineStr">
        <is>
          <t>20250206800452</t>
        </is>
      </c>
      <c r="O3686">
        <f>HYPERLINK("https://dart.fss.or.kr/dsaf001/main.do?rcpNo=20250206800452", "공시열람")</f>
        <v/>
      </c>
    </row>
    <row r="3687">
      <c r="A3687" t="inlineStr">
        <is>
          <t>2025-02-05</t>
        </is>
      </c>
      <c r="B3687" t="inlineStr">
        <is>
          <t>신세계</t>
        </is>
      </c>
      <c r="C3687" t="inlineStr">
        <is>
          <t>004170</t>
        </is>
      </c>
      <c r="D3687" t="inlineStr">
        <is>
          <t>별도</t>
        </is>
      </c>
      <c r="E3687" t="inlineStr">
        <is>
          <t>2024Q4</t>
        </is>
      </c>
      <c r="F3687" s="2" t="n">
        <v>183334</v>
      </c>
      <c r="G3687" t="n">
        <v>-8.859999999999999</v>
      </c>
      <c r="H3687" t="n">
        <v>14.19</v>
      </c>
      <c r="I3687" s="2" t="inlineStr"/>
      <c r="J3687" t="inlineStr"/>
      <c r="K3687" t="inlineStr"/>
      <c r="L3687" s="2" t="inlineStr"/>
      <c r="M3687" t="inlineStr"/>
      <c r="N3687" t="inlineStr">
        <is>
          <t>20250205800316</t>
        </is>
      </c>
      <c r="O3687">
        <f>HYPERLINK("https://dart.fss.or.kr/dsaf001/main.do?rcpNo=20250205800316", "공시열람")</f>
        <v/>
      </c>
    </row>
    <row r="3688">
      <c r="A3688" t="inlineStr">
        <is>
          <t>2025-02-05</t>
        </is>
      </c>
      <c r="B3688" t="inlineStr">
        <is>
          <t>신세계</t>
        </is>
      </c>
      <c r="C3688" t="inlineStr">
        <is>
          <t>004170</t>
        </is>
      </c>
      <c r="D3688" t="inlineStr">
        <is>
          <t>연결</t>
        </is>
      </c>
      <c r="E3688" t="inlineStr">
        <is>
          <t>2024Q4</t>
        </is>
      </c>
      <c r="F3688" s="2" t="n">
        <v>1821193</v>
      </c>
      <c r="G3688" t="n">
        <v>18.25</v>
      </c>
      <c r="H3688" t="n">
        <v>5.87</v>
      </c>
      <c r="I3688" s="2" t="n">
        <v>106054</v>
      </c>
      <c r="J3688" t="n">
        <v>14.1</v>
      </c>
      <c r="K3688" t="n">
        <v>-48.51</v>
      </c>
      <c r="L3688" s="2" t="n">
        <v>-48093</v>
      </c>
      <c r="M3688" t="inlineStr"/>
      <c r="N3688" t="inlineStr">
        <is>
          <t>20250205800303</t>
        </is>
      </c>
      <c r="O3688">
        <f>HYPERLINK("https://dart.fss.or.kr/dsaf001/main.do?rcpNo=20250205800303", "공시열람")</f>
        <v/>
      </c>
    </row>
    <row r="3689">
      <c r="A3689" t="inlineStr">
        <is>
          <t>2025-02-05</t>
        </is>
      </c>
      <c r="B3689" t="inlineStr">
        <is>
          <t>HD현대에너지솔루션</t>
        </is>
      </c>
      <c r="C3689" t="inlineStr">
        <is>
          <t>322000</t>
        </is>
      </c>
      <c r="D3689" t="inlineStr">
        <is>
          <t>연결</t>
        </is>
      </c>
      <c r="E3689" t="inlineStr">
        <is>
          <t>2024Q4</t>
        </is>
      </c>
      <c r="F3689" s="2" t="n">
        <v>111378</v>
      </c>
      <c r="G3689" t="n">
        <v>10.7</v>
      </c>
      <c r="H3689" t="n">
        <v>-1.7</v>
      </c>
      <c r="I3689" s="2" t="n">
        <v>6415</v>
      </c>
      <c r="J3689" t="n">
        <v>87.40000000000001</v>
      </c>
      <c r="K3689" t="inlineStr"/>
      <c r="L3689" s="2" t="n">
        <v>8436</v>
      </c>
      <c r="M3689" t="inlineStr"/>
      <c r="N3689" t="inlineStr">
        <is>
          <t>20250205800315</t>
        </is>
      </c>
      <c r="O3689">
        <f>HYPERLINK("https://dart.fss.or.kr/dsaf001/main.do?rcpNo=20250205800315", "공시열람")</f>
        <v/>
      </c>
    </row>
    <row r="3690">
      <c r="A3690" t="inlineStr">
        <is>
          <t>2025-02-05</t>
        </is>
      </c>
      <c r="B3690" t="inlineStr">
        <is>
          <t>GS리테일</t>
        </is>
      </c>
      <c r="C3690" t="inlineStr">
        <is>
          <t>007070</t>
        </is>
      </c>
      <c r="D3690" t="inlineStr">
        <is>
          <t>연결</t>
        </is>
      </c>
      <c r="E3690" t="inlineStr">
        <is>
          <t>2024Q4</t>
        </is>
      </c>
      <c r="F3690" s="2" t="n">
        <v>2962206</v>
      </c>
      <c r="G3690" t="inlineStr"/>
      <c r="H3690" t="inlineStr"/>
      <c r="I3690" s="2" t="n">
        <v>27709</v>
      </c>
      <c r="J3690" t="inlineStr"/>
      <c r="K3690" t="inlineStr"/>
      <c r="L3690" s="2" t="n">
        <v>-65642</v>
      </c>
      <c r="M3690" t="inlineStr"/>
      <c r="N3690" t="inlineStr">
        <is>
          <t>20250205800350</t>
        </is>
      </c>
      <c r="O3690">
        <f>HYPERLINK("https://dart.fss.or.kr/dsaf001/main.do?rcpNo=20250205800350", "공시열람")</f>
        <v/>
      </c>
    </row>
    <row r="3691">
      <c r="A3691" t="inlineStr">
        <is>
          <t>2025-02-05</t>
        </is>
      </c>
      <c r="B3691" t="inlineStr">
        <is>
          <t>신세계인터내셔날</t>
        </is>
      </c>
      <c r="C3691" t="inlineStr">
        <is>
          <t>031430</t>
        </is>
      </c>
      <c r="D3691" t="inlineStr">
        <is>
          <t>연결</t>
        </is>
      </c>
      <c r="E3691" t="inlineStr">
        <is>
          <t>2024Q4</t>
        </is>
      </c>
      <c r="F3691" s="2" t="n">
        <v>382257</v>
      </c>
      <c r="G3691" t="n">
        <v>29.1</v>
      </c>
      <c r="H3691" t="n">
        <v>-2.6</v>
      </c>
      <c r="I3691" s="2" t="n">
        <v>296</v>
      </c>
      <c r="J3691" t="n">
        <v>-85.8</v>
      </c>
      <c r="K3691" t="n">
        <v>-97.90000000000001</v>
      </c>
      <c r="L3691" s="2" t="n">
        <v>-384</v>
      </c>
      <c r="M3691" t="inlineStr"/>
      <c r="N3691" t="inlineStr">
        <is>
          <t>20250205800346</t>
        </is>
      </c>
      <c r="O3691">
        <f>HYPERLINK("https://dart.fss.or.kr/dsaf001/main.do?rcpNo=20250205800346", "공시열람")</f>
        <v/>
      </c>
    </row>
    <row r="3692">
      <c r="A3692" t="inlineStr">
        <is>
          <t>2025-02-05</t>
        </is>
      </c>
      <c r="B3692" t="inlineStr">
        <is>
          <t>카카오뱅크</t>
        </is>
      </c>
      <c r="C3692" t="inlineStr">
        <is>
          <t>323410</t>
        </is>
      </c>
      <c r="D3692" t="inlineStr">
        <is>
          <t>별도</t>
        </is>
      </c>
      <c r="E3692" t="inlineStr">
        <is>
          <t>2024Q4</t>
        </is>
      </c>
      <c r="F3692" s="2" t="n">
        <v>747279</v>
      </c>
      <c r="G3692" t="n">
        <v>0.13</v>
      </c>
      <c r="H3692" t="n">
        <v>12.6</v>
      </c>
      <c r="I3692" s="2" t="n">
        <v>114971</v>
      </c>
      <c r="J3692" t="n">
        <v>-33.82</v>
      </c>
      <c r="K3692" t="n">
        <v>11.85</v>
      </c>
      <c r="L3692" s="2" t="n">
        <v>84457</v>
      </c>
      <c r="M3692" t="n">
        <v>11.63</v>
      </c>
      <c r="N3692" t="inlineStr">
        <is>
          <t>20250205800002</t>
        </is>
      </c>
      <c r="O3692">
        <f>HYPERLINK("https://dart.fss.or.kr/dsaf001/main.do?rcpNo=20250205800002", "공시열람")</f>
        <v/>
      </c>
    </row>
    <row r="3693">
      <c r="A3693" t="inlineStr">
        <is>
          <t>2025-02-05</t>
        </is>
      </c>
      <c r="B3693" t="inlineStr">
        <is>
          <t>PI첨단소재</t>
        </is>
      </c>
      <c r="C3693" t="inlineStr">
        <is>
          <t>178920</t>
        </is>
      </c>
      <c r="D3693" t="inlineStr">
        <is>
          <t>별도</t>
        </is>
      </c>
      <c r="E3693" t="inlineStr">
        <is>
          <t>2024Q4</t>
        </is>
      </c>
      <c r="F3693" s="2" t="n">
        <v>55123</v>
      </c>
      <c r="G3693" t="inlineStr"/>
      <c r="H3693" t="inlineStr"/>
      <c r="I3693" s="2" t="n">
        <v>2689</v>
      </c>
      <c r="J3693" t="inlineStr"/>
      <c r="K3693" t="inlineStr"/>
      <c r="L3693" s="2" t="n">
        <v>1967</v>
      </c>
      <c r="M3693" t="inlineStr"/>
      <c r="N3693" t="inlineStr">
        <is>
          <t>20250205800072</t>
        </is>
      </c>
      <c r="O3693">
        <f>HYPERLINK("https://dart.fss.or.kr/dsaf001/main.do?rcpNo=20250205800072", "공시열람")</f>
        <v/>
      </c>
    </row>
    <row r="3694">
      <c r="A3694" t="inlineStr">
        <is>
          <t>2025-02-05</t>
        </is>
      </c>
      <c r="B3694" t="inlineStr">
        <is>
          <t>키움증권</t>
        </is>
      </c>
      <c r="C3694" t="inlineStr">
        <is>
          <t>039490</t>
        </is>
      </c>
      <c r="D3694" t="inlineStr">
        <is>
          <t>연결</t>
        </is>
      </c>
      <c r="E3694" t="inlineStr">
        <is>
          <t>2024Q4</t>
        </is>
      </c>
      <c r="F3694" s="2" t="n">
        <v>3641598</v>
      </c>
      <c r="G3694" t="n">
        <v>34.14</v>
      </c>
      <c r="H3694" t="n">
        <v>69.73999999999999</v>
      </c>
      <c r="I3694" s="2" t="n">
        <v>180241</v>
      </c>
      <c r="J3694" t="n">
        <v>-32.74</v>
      </c>
      <c r="K3694" t="inlineStr"/>
      <c r="L3694" s="2" t="n">
        <v>146267</v>
      </c>
      <c r="M3694" t="inlineStr"/>
      <c r="N3694" t="inlineStr">
        <is>
          <t>20250205800008</t>
        </is>
      </c>
      <c r="O3694">
        <f>HYPERLINK("https://dart.fss.or.kr/dsaf001/main.do?rcpNo=20250205800008", "공시열람")</f>
        <v/>
      </c>
    </row>
    <row r="3695">
      <c r="A3695" t="inlineStr">
        <is>
          <t>2025-02-05</t>
        </is>
      </c>
      <c r="B3695" t="inlineStr">
        <is>
          <t>산일전기</t>
        </is>
      </c>
      <c r="C3695" t="inlineStr">
        <is>
          <t>062040</t>
        </is>
      </c>
      <c r="D3695" t="inlineStr">
        <is>
          <t>별도</t>
        </is>
      </c>
      <c r="E3695" t="inlineStr">
        <is>
          <t>2024Q4</t>
        </is>
      </c>
      <c r="F3695" s="2" t="n">
        <v>108385</v>
      </c>
      <c r="G3695" t="n">
        <v>35.93</v>
      </c>
      <c r="H3695" t="n">
        <v>108.54</v>
      </c>
      <c r="I3695" s="2" t="n">
        <v>33963</v>
      </c>
      <c r="J3695" t="n">
        <v>22.21</v>
      </c>
      <c r="K3695" t="n">
        <v>609.1900000000001</v>
      </c>
      <c r="L3695" s="2" t="inlineStr"/>
      <c r="M3695" t="inlineStr"/>
      <c r="N3695" t="inlineStr">
        <is>
          <t>20250205800044</t>
        </is>
      </c>
      <c r="O3695">
        <f>HYPERLINK("https://dart.fss.or.kr/dsaf001/main.do?rcpNo=20250205800044", "공시열람")</f>
        <v/>
      </c>
    </row>
    <row r="3696">
      <c r="A3696" t="inlineStr">
        <is>
          <t>2025-02-05</t>
        </is>
      </c>
      <c r="B3696" t="inlineStr">
        <is>
          <t>GS건설</t>
        </is>
      </c>
      <c r="C3696" t="inlineStr">
        <is>
          <t>006360</t>
        </is>
      </c>
      <c r="D3696" t="inlineStr">
        <is>
          <t>연결</t>
        </is>
      </c>
      <c r="E3696" t="inlineStr">
        <is>
          <t>2024Q4</t>
        </is>
      </c>
      <c r="F3696" s="2" t="n">
        <v>3386461</v>
      </c>
      <c r="G3696" t="n">
        <v>8.92</v>
      </c>
      <c r="H3696" t="n">
        <v>1.96</v>
      </c>
      <c r="I3696" s="2" t="n">
        <v>40450</v>
      </c>
      <c r="J3696" t="n">
        <v>-50.54</v>
      </c>
      <c r="K3696" t="inlineStr"/>
      <c r="L3696" s="2" t="n">
        <v>-30453</v>
      </c>
      <c r="M3696" t="n">
        <v>90.3</v>
      </c>
      <c r="N3696" t="inlineStr">
        <is>
          <t>20250205800114</t>
        </is>
      </c>
      <c r="O3696">
        <f>HYPERLINK("https://dart.fss.or.kr/dsaf001/main.do?rcpNo=20250205800114", "공시열람")</f>
        <v/>
      </c>
    </row>
    <row r="3697">
      <c r="A3697" t="inlineStr">
        <is>
          <t>2025-02-05</t>
        </is>
      </c>
      <c r="B3697" t="inlineStr">
        <is>
          <t>광주신세계</t>
        </is>
      </c>
      <c r="C3697" t="inlineStr">
        <is>
          <t>037710</t>
        </is>
      </c>
      <c r="D3697" t="inlineStr">
        <is>
          <t>별도</t>
        </is>
      </c>
      <c r="E3697" t="inlineStr">
        <is>
          <t>2024Q4</t>
        </is>
      </c>
      <c r="F3697" s="2" t="n">
        <v>53149</v>
      </c>
      <c r="G3697" t="n">
        <v>23.4</v>
      </c>
      <c r="H3697" t="n">
        <v>7.4</v>
      </c>
      <c r="I3697" s="2" t="n">
        <v>17399</v>
      </c>
      <c r="J3697" t="n">
        <v>62.7</v>
      </c>
      <c r="K3697" t="n">
        <v>5.2</v>
      </c>
      <c r="L3697" s="2" t="n">
        <v>12592</v>
      </c>
      <c r="M3697" t="n">
        <v>50.4</v>
      </c>
      <c r="N3697" t="inlineStr">
        <is>
          <t>20250205800358</t>
        </is>
      </c>
      <c r="O3697">
        <f>HYPERLINK("https://dart.fss.or.kr/dsaf001/main.do?rcpNo=20250205800358", "공시열람")</f>
        <v/>
      </c>
    </row>
    <row r="3698">
      <c r="A3698" t="inlineStr">
        <is>
          <t>2025-02-05</t>
        </is>
      </c>
      <c r="B3698" t="inlineStr">
        <is>
          <t>대한전선</t>
        </is>
      </c>
      <c r="C3698" t="inlineStr">
        <is>
          <t>001440</t>
        </is>
      </c>
      <c r="D3698" t="inlineStr">
        <is>
          <t>연결</t>
        </is>
      </c>
      <c r="E3698" t="inlineStr">
        <is>
          <t>2024Q4</t>
        </is>
      </c>
      <c r="F3698" s="2" t="n">
        <v>824724</v>
      </c>
      <c r="G3698" t="n">
        <v>2.5</v>
      </c>
      <c r="H3698" t="n">
        <v>9.1</v>
      </c>
      <c r="I3698" s="2" t="n">
        <v>21245</v>
      </c>
      <c r="J3698" t="n">
        <v>-21.9</v>
      </c>
      <c r="K3698" t="n">
        <v>2.4</v>
      </c>
      <c r="L3698" s="2" t="n">
        <v>467</v>
      </c>
      <c r="M3698" t="n">
        <v>-98.8</v>
      </c>
      <c r="N3698" t="inlineStr">
        <is>
          <t>20250205800271</t>
        </is>
      </c>
      <c r="O3698">
        <f>HYPERLINK("https://dart.fss.or.kr/dsaf001/main.do?rcpNo=20250205800271", "공시열람")</f>
        <v/>
      </c>
    </row>
    <row r="3699">
      <c r="A3699" t="inlineStr">
        <is>
          <t>2025-02-05</t>
        </is>
      </c>
      <c r="B3699" t="inlineStr">
        <is>
          <t>LS에코에너지</t>
        </is>
      </c>
      <c r="C3699" t="inlineStr">
        <is>
          <t>229640</t>
        </is>
      </c>
      <c r="D3699" t="inlineStr">
        <is>
          <t>연결</t>
        </is>
      </c>
      <c r="E3699" t="inlineStr">
        <is>
          <t>2024Q4</t>
        </is>
      </c>
      <c r="F3699" s="2" t="n">
        <v>233107</v>
      </c>
      <c r="G3699" t="n">
        <v>4.3</v>
      </c>
      <c r="H3699" t="n">
        <v>16.6</v>
      </c>
      <c r="I3699" s="2" t="n">
        <v>7789</v>
      </c>
      <c r="J3699" t="n">
        <v>-37.9</v>
      </c>
      <c r="K3699" t="n">
        <v>8</v>
      </c>
      <c r="L3699" s="2" t="n">
        <v>6013</v>
      </c>
      <c r="M3699" t="n">
        <v>1092</v>
      </c>
      <c r="N3699" t="inlineStr">
        <is>
          <t>20250205800119</t>
        </is>
      </c>
      <c r="O3699">
        <f>HYPERLINK("https://dart.fss.or.kr/dsaf001/main.do?rcpNo=20250205800119", "공시열람")</f>
        <v/>
      </c>
    </row>
    <row r="3700">
      <c r="A3700" t="inlineStr">
        <is>
          <t>2025-02-05</t>
        </is>
      </c>
      <c r="B3700" t="inlineStr">
        <is>
          <t>이녹스첨단소재</t>
        </is>
      </c>
      <c r="C3700" t="inlineStr">
        <is>
          <t>272290</t>
        </is>
      </c>
      <c r="D3700" t="inlineStr">
        <is>
          <t>연결</t>
        </is>
      </c>
      <c r="E3700" t="inlineStr">
        <is>
          <t>2024Q4</t>
        </is>
      </c>
      <c r="F3700" s="2" t="n">
        <v>104158</v>
      </c>
      <c r="G3700" t="inlineStr"/>
      <c r="H3700" t="inlineStr"/>
      <c r="I3700" s="2" t="n">
        <v>24997</v>
      </c>
      <c r="J3700" t="inlineStr"/>
      <c r="K3700" t="inlineStr"/>
      <c r="L3700" s="2" t="n">
        <v>26190</v>
      </c>
      <c r="M3700" t="inlineStr"/>
      <c r="N3700" t="inlineStr">
        <is>
          <t>20250205900082</t>
        </is>
      </c>
      <c r="O3700">
        <f>HYPERLINK("https://dart.fss.or.kr/dsaf001/main.do?rcpNo=20250205900082", "공시열람")</f>
        <v/>
      </c>
    </row>
    <row r="3701">
      <c r="A3701" t="inlineStr">
        <is>
          <t>2025-02-05</t>
        </is>
      </c>
      <c r="B3701" t="inlineStr">
        <is>
          <t>롯데정밀화학</t>
        </is>
      </c>
      <c r="C3701" t="inlineStr">
        <is>
          <t>004000</t>
        </is>
      </c>
      <c r="D3701" t="inlineStr">
        <is>
          <t>연결</t>
        </is>
      </c>
      <c r="E3701" t="inlineStr">
        <is>
          <t>2024Q4</t>
        </is>
      </c>
      <c r="F3701" s="2" t="n">
        <v>428600</v>
      </c>
      <c r="G3701" t="n">
        <v>2</v>
      </c>
      <c r="H3701" t="n">
        <v>4.2</v>
      </c>
      <c r="I3701" s="2" t="n">
        <v>12200</v>
      </c>
      <c r="J3701" t="n">
        <v>18.4</v>
      </c>
      <c r="K3701" t="n">
        <v>43.5</v>
      </c>
      <c r="L3701" s="2" t="n">
        <v>-18800</v>
      </c>
      <c r="M3701" t="inlineStr"/>
      <c r="N3701" t="inlineStr">
        <is>
          <t>20250205800361</t>
        </is>
      </c>
      <c r="O3701">
        <f>HYPERLINK("https://dart.fss.or.kr/dsaf001/main.do?rcpNo=20250205800361", "공시열람")</f>
        <v/>
      </c>
    </row>
    <row r="3702">
      <c r="A3702" t="inlineStr">
        <is>
          <t>2025-02-05</t>
        </is>
      </c>
      <c r="B3702" t="inlineStr">
        <is>
          <t>GC메디아이</t>
        </is>
      </c>
      <c r="C3702" t="inlineStr">
        <is>
          <t>032620</t>
        </is>
      </c>
      <c r="D3702" t="inlineStr">
        <is>
          <t>연결</t>
        </is>
      </c>
      <c r="E3702" t="inlineStr">
        <is>
          <t>2024Q4</t>
        </is>
      </c>
      <c r="F3702" s="2" t="n">
        <v>190597</v>
      </c>
      <c r="G3702" t="inlineStr"/>
      <c r="H3702" t="inlineStr"/>
      <c r="I3702" s="2" t="n">
        <v>5163</v>
      </c>
      <c r="J3702" t="inlineStr"/>
      <c r="K3702" t="inlineStr"/>
      <c r="L3702" s="2" t="n">
        <v>-1566</v>
      </c>
      <c r="M3702" t="inlineStr"/>
      <c r="N3702" t="inlineStr">
        <is>
          <t>20250205900497</t>
        </is>
      </c>
      <c r="O3702">
        <f>HYPERLINK("https://dart.fss.or.kr/dsaf001/main.do?rcpNo=20250205900497", "공시열람")</f>
        <v/>
      </c>
    </row>
    <row r="3703">
      <c r="A3703" t="inlineStr">
        <is>
          <t>2025-02-05</t>
        </is>
      </c>
      <c r="B3703" t="inlineStr">
        <is>
          <t>광주신세계</t>
        </is>
      </c>
      <c r="C3703" t="inlineStr">
        <is>
          <t>037710</t>
        </is>
      </c>
      <c r="D3703" t="inlineStr">
        <is>
          <t>별도</t>
        </is>
      </c>
      <c r="E3703" t="inlineStr">
        <is>
          <t>2024Q4</t>
        </is>
      </c>
      <c r="F3703" s="2" t="n">
        <v>16160</v>
      </c>
      <c r="G3703" t="n">
        <v>-13.5</v>
      </c>
      <c r="H3703" t="n">
        <v>17.9</v>
      </c>
      <c r="I3703" s="2" t="inlineStr"/>
      <c r="J3703" t="inlineStr"/>
      <c r="K3703" t="inlineStr"/>
      <c r="L3703" s="2" t="inlineStr"/>
      <c r="M3703" t="inlineStr"/>
      <c r="N3703" t="inlineStr">
        <is>
          <t>20250205800360</t>
        </is>
      </c>
      <c r="O3703">
        <f>HYPERLINK("https://dart.fss.or.kr/dsaf001/main.do?rcpNo=20250205800360", "공시열람")</f>
        <v/>
      </c>
    </row>
    <row r="3704">
      <c r="A3704" t="inlineStr">
        <is>
          <t>2025-02-05</t>
        </is>
      </c>
      <c r="B3704" t="inlineStr">
        <is>
          <t>KB금융</t>
        </is>
      </c>
      <c r="C3704" t="inlineStr">
        <is>
          <t>105560</t>
        </is>
      </c>
      <c r="D3704" t="inlineStr">
        <is>
          <t>연결</t>
        </is>
      </c>
      <c r="E3704" t="inlineStr">
        <is>
          <t>2024Q4</t>
        </is>
      </c>
      <c r="F3704" s="2" t="n">
        <v>2757448</v>
      </c>
      <c r="G3704" t="n">
        <v>17.78</v>
      </c>
      <c r="H3704" t="n">
        <v>-4.12</v>
      </c>
      <c r="I3704" s="2" t="n">
        <v>45312</v>
      </c>
      <c r="J3704" t="n">
        <v>-81.02</v>
      </c>
      <c r="K3704" t="n">
        <v>-34.18</v>
      </c>
      <c r="L3704" s="2" t="n">
        <v>37745</v>
      </c>
      <c r="M3704" t="n">
        <v>67.88</v>
      </c>
      <c r="N3704" t="inlineStr">
        <is>
          <t>20250205800485</t>
        </is>
      </c>
      <c r="O3704">
        <f>HYPERLINK("https://dart.fss.or.kr/dsaf001/main.do?rcpNo=20250205800485", "공시열람")</f>
        <v/>
      </c>
    </row>
    <row r="3705">
      <c r="A3705" t="inlineStr">
        <is>
          <t>2025-02-05</t>
        </is>
      </c>
      <c r="B3705" t="inlineStr">
        <is>
          <t>고려아연</t>
        </is>
      </c>
      <c r="C3705" t="inlineStr">
        <is>
          <t>010130</t>
        </is>
      </c>
      <c r="D3705" t="inlineStr">
        <is>
          <t>별도</t>
        </is>
      </c>
      <c r="E3705" t="inlineStr">
        <is>
          <t>2024Q4</t>
        </is>
      </c>
      <c r="F3705" s="2" t="n">
        <v>2258355</v>
      </c>
      <c r="G3705" t="n">
        <v>11.3</v>
      </c>
      <c r="H3705" t="n">
        <v>18.5</v>
      </c>
      <c r="I3705" s="2" t="n">
        <v>190829</v>
      </c>
      <c r="J3705" t="n">
        <v>6.5</v>
      </c>
      <c r="K3705" t="n">
        <v>-13.7</v>
      </c>
      <c r="L3705" s="2" t="n">
        <v>-77103</v>
      </c>
      <c r="M3705" t="inlineStr"/>
      <c r="N3705" t="inlineStr">
        <is>
          <t>20250205801136</t>
        </is>
      </c>
      <c r="O3705">
        <f>HYPERLINK("https://dart.fss.or.kr/dsaf001/main.do?rcpNo=20250205801136", "공시열람")</f>
        <v/>
      </c>
    </row>
    <row r="3706">
      <c r="A3706" t="inlineStr">
        <is>
          <t>2025-02-05</t>
        </is>
      </c>
      <c r="B3706" t="inlineStr">
        <is>
          <t>고려아연</t>
        </is>
      </c>
      <c r="C3706" t="inlineStr">
        <is>
          <t>010130</t>
        </is>
      </c>
      <c r="D3706" t="inlineStr">
        <is>
          <t>연결</t>
        </is>
      </c>
      <c r="E3706" t="inlineStr">
        <is>
          <t>2024Q4</t>
        </is>
      </c>
      <c r="F3706" s="2" t="n">
        <v>3442588</v>
      </c>
      <c r="G3706" t="n">
        <v>7.4</v>
      </c>
      <c r="H3706" t="n">
        <v>42.6</v>
      </c>
      <c r="I3706" s="2" t="n">
        <v>132831</v>
      </c>
      <c r="J3706" t="n">
        <v>-11.4</v>
      </c>
      <c r="K3706" t="n">
        <v>-32.9</v>
      </c>
      <c r="L3706" s="2" t="n">
        <v>-225194</v>
      </c>
      <c r="M3706" t="inlineStr"/>
      <c r="N3706" t="inlineStr">
        <is>
          <t>20250205801134</t>
        </is>
      </c>
      <c r="O3706">
        <f>HYPERLINK("https://dart.fss.or.kr/dsaf001/main.do?rcpNo=20250205801134", "공시열람")</f>
        <v/>
      </c>
    </row>
    <row r="3707">
      <c r="A3707" t="inlineStr">
        <is>
          <t>2025-02-05</t>
        </is>
      </c>
      <c r="B3707" t="inlineStr">
        <is>
          <t>현대퓨처넷</t>
        </is>
      </c>
      <c r="C3707" t="inlineStr">
        <is>
          <t>126560</t>
        </is>
      </c>
      <c r="D3707" t="inlineStr">
        <is>
          <t>연결</t>
        </is>
      </c>
      <c r="E3707" t="inlineStr">
        <is>
          <t>2024Q4</t>
        </is>
      </c>
      <c r="F3707" s="2" t="n">
        <v>61050</v>
      </c>
      <c r="G3707" t="n">
        <v>-8.699999999999999</v>
      </c>
      <c r="H3707" t="n">
        <v>62.1</v>
      </c>
      <c r="I3707" s="2" t="n">
        <v>-4429</v>
      </c>
      <c r="J3707" t="inlineStr"/>
      <c r="K3707" t="n">
        <v>-1475.6</v>
      </c>
      <c r="L3707" s="2" t="n">
        <v>-3821</v>
      </c>
      <c r="M3707" t="n">
        <v>77.09999999999999</v>
      </c>
      <c r="N3707" t="inlineStr">
        <is>
          <t>20250205801046</t>
        </is>
      </c>
      <c r="O3707">
        <f>HYPERLINK("https://dart.fss.or.kr/dsaf001/main.do?rcpNo=20250205801046", "공시열람")</f>
        <v/>
      </c>
    </row>
    <row r="3708">
      <c r="A3708" t="inlineStr">
        <is>
          <t>2025-02-05</t>
        </is>
      </c>
      <c r="B3708" t="inlineStr">
        <is>
          <t>DB하이텍</t>
        </is>
      </c>
      <c r="C3708" t="inlineStr">
        <is>
          <t>000990</t>
        </is>
      </c>
      <c r="D3708" t="inlineStr">
        <is>
          <t>연결</t>
        </is>
      </c>
      <c r="E3708" t="inlineStr">
        <is>
          <t>2024Q4</t>
        </is>
      </c>
      <c r="F3708" s="2" t="n">
        <v>283365</v>
      </c>
      <c r="G3708" t="n">
        <v>-1.54</v>
      </c>
      <c r="H3708" t="n">
        <v>-1.43</v>
      </c>
      <c r="I3708" s="2" t="n">
        <v>39500</v>
      </c>
      <c r="J3708" t="n">
        <v>-16.05</v>
      </c>
      <c r="K3708" t="n">
        <v>-12.04</v>
      </c>
      <c r="L3708" s="2" t="n">
        <v>57345</v>
      </c>
      <c r="M3708" t="n">
        <v>0.62</v>
      </c>
      <c r="N3708" t="inlineStr">
        <is>
          <t>20250205800982</t>
        </is>
      </c>
      <c r="O3708">
        <f>HYPERLINK("https://dart.fss.or.kr/dsaf001/main.do?rcpNo=20250205800982", "공시열람")</f>
        <v/>
      </c>
    </row>
    <row r="3709">
      <c r="A3709" t="inlineStr">
        <is>
          <t>2025-02-05</t>
        </is>
      </c>
      <c r="B3709" t="inlineStr">
        <is>
          <t>제주은행</t>
        </is>
      </c>
      <c r="C3709" t="inlineStr">
        <is>
          <t>006220</t>
        </is>
      </c>
      <c r="D3709" t="inlineStr">
        <is>
          <t>연결</t>
        </is>
      </c>
      <c r="E3709" t="inlineStr">
        <is>
          <t>2024Q4</t>
        </is>
      </c>
      <c r="F3709" s="2" t="n">
        <v>94373</v>
      </c>
      <c r="G3709" t="inlineStr"/>
      <c r="H3709" t="inlineStr"/>
      <c r="I3709" s="2" t="n">
        <v>1026</v>
      </c>
      <c r="J3709" t="inlineStr"/>
      <c r="K3709" t="inlineStr"/>
      <c r="L3709" s="2" t="n">
        <v>1038</v>
      </c>
      <c r="M3709" t="inlineStr"/>
      <c r="N3709" t="inlineStr">
        <is>
          <t>20250205800948</t>
        </is>
      </c>
      <c r="O3709">
        <f>HYPERLINK("https://dart.fss.or.kr/dsaf001/main.do?rcpNo=20250205800948", "공시열람")</f>
        <v/>
      </c>
    </row>
    <row r="3710">
      <c r="A3710" t="inlineStr">
        <is>
          <t>2025-02-05</t>
        </is>
      </c>
      <c r="B3710" t="inlineStr">
        <is>
          <t>한독</t>
        </is>
      </c>
      <c r="C3710" t="inlineStr">
        <is>
          <t>002390</t>
        </is>
      </c>
      <c r="D3710" t="inlineStr">
        <is>
          <t>별도</t>
        </is>
      </c>
      <c r="E3710" t="inlineStr">
        <is>
          <t>2024Q4</t>
        </is>
      </c>
      <c r="F3710" s="2" t="n">
        <v>119425</v>
      </c>
      <c r="G3710" t="n">
        <v>-6.96</v>
      </c>
      <c r="H3710" t="n">
        <v>-4.39</v>
      </c>
      <c r="I3710" s="2" t="n">
        <v>-2740</v>
      </c>
      <c r="J3710" t="n">
        <v>-16.53</v>
      </c>
      <c r="K3710" t="n">
        <v>-15.16</v>
      </c>
      <c r="L3710" s="2" t="n">
        <v>-40482</v>
      </c>
      <c r="M3710" t="n">
        <v>-346.54</v>
      </c>
      <c r="N3710" t="inlineStr">
        <is>
          <t>20250205800974</t>
        </is>
      </c>
      <c r="O3710">
        <f>HYPERLINK("https://dart.fss.or.kr/dsaf001/main.do?rcpNo=20250205800974", "공시열람")</f>
        <v/>
      </c>
    </row>
    <row r="3711">
      <c r="A3711" t="inlineStr">
        <is>
          <t>2025-02-05</t>
        </is>
      </c>
      <c r="B3711" t="inlineStr">
        <is>
          <t>HS효성</t>
        </is>
      </c>
      <c r="C3711" t="inlineStr">
        <is>
          <t>487570</t>
        </is>
      </c>
      <c r="D3711" t="inlineStr">
        <is>
          <t>연결</t>
        </is>
      </c>
      <c r="E3711" t="inlineStr">
        <is>
          <t>2024Q4</t>
        </is>
      </c>
      <c r="F3711" s="2" t="n">
        <v>456300</v>
      </c>
      <c r="G3711" t="n">
        <v>0.5</v>
      </c>
      <c r="H3711" t="inlineStr"/>
      <c r="I3711" s="2" t="n">
        <v>7817</v>
      </c>
      <c r="J3711" t="n">
        <v>-17.3</v>
      </c>
      <c r="K3711" t="inlineStr"/>
      <c r="L3711" s="2" t="n">
        <v>1839</v>
      </c>
      <c r="M3711" t="inlineStr"/>
      <c r="N3711" t="inlineStr">
        <is>
          <t>20250205800925</t>
        </is>
      </c>
      <c r="O3711">
        <f>HYPERLINK("https://dart.fss.or.kr/dsaf001/main.do?rcpNo=20250205800925", "공시열람")</f>
        <v/>
      </c>
    </row>
    <row r="3712">
      <c r="A3712" t="inlineStr">
        <is>
          <t>2025-02-05</t>
        </is>
      </c>
      <c r="B3712" t="inlineStr">
        <is>
          <t>한샘</t>
        </is>
      </c>
      <c r="C3712" t="inlineStr">
        <is>
          <t>009240</t>
        </is>
      </c>
      <c r="D3712" t="inlineStr">
        <is>
          <t>연결</t>
        </is>
      </c>
      <c r="E3712" t="inlineStr">
        <is>
          <t>2024Q4</t>
        </is>
      </c>
      <c r="F3712" s="2" t="n">
        <v>490401</v>
      </c>
      <c r="G3712" t="n">
        <v>8</v>
      </c>
      <c r="H3712" t="n">
        <v>-2.3</v>
      </c>
      <c r="I3712" s="2" t="n">
        <v>3858</v>
      </c>
      <c r="J3712" t="n">
        <v>-47</v>
      </c>
      <c r="K3712" t="n">
        <v>-66.59999999999999</v>
      </c>
      <c r="L3712" s="2" t="n">
        <v>-5121</v>
      </c>
      <c r="M3712" t="n">
        <v>85</v>
      </c>
      <c r="N3712" t="inlineStr">
        <is>
          <t>20250205800880</t>
        </is>
      </c>
      <c r="O3712">
        <f>HYPERLINK("https://dart.fss.or.kr/dsaf001/main.do?rcpNo=20250205800880", "공시열람")</f>
        <v/>
      </c>
    </row>
    <row r="3713">
      <c r="A3713" t="inlineStr">
        <is>
          <t>2025-02-05</t>
        </is>
      </c>
      <c r="B3713" t="inlineStr">
        <is>
          <t>롯데이노베이트</t>
        </is>
      </c>
      <c r="C3713" t="inlineStr">
        <is>
          <t>286940</t>
        </is>
      </c>
      <c r="D3713" t="inlineStr">
        <is>
          <t>연결</t>
        </is>
      </c>
      <c r="E3713" t="inlineStr">
        <is>
          <t>2024Q4</t>
        </is>
      </c>
      <c r="F3713" s="2" t="n">
        <v>329258</v>
      </c>
      <c r="G3713" t="n">
        <v>14.3</v>
      </c>
      <c r="H3713" t="n">
        <v>-4.9</v>
      </c>
      <c r="I3713" s="2" t="n">
        <v>2634</v>
      </c>
      <c r="J3713" t="n">
        <v>-68.2</v>
      </c>
      <c r="K3713" t="n">
        <v>-85.40000000000001</v>
      </c>
      <c r="L3713" s="2" t="n">
        <v>-4275</v>
      </c>
      <c r="M3713" t="inlineStr"/>
      <c r="N3713" t="inlineStr">
        <is>
          <t>20250205800868</t>
        </is>
      </c>
      <c r="O3713">
        <f>HYPERLINK("https://dart.fss.or.kr/dsaf001/main.do?rcpNo=20250205800868", "공시열람")</f>
        <v/>
      </c>
    </row>
    <row r="3714">
      <c r="A3714" t="inlineStr">
        <is>
          <t>2025-02-05</t>
        </is>
      </c>
      <c r="B3714" t="inlineStr">
        <is>
          <t>지누스</t>
        </is>
      </c>
      <c r="C3714" t="inlineStr">
        <is>
          <t>013890</t>
        </is>
      </c>
      <c r="D3714" t="inlineStr">
        <is>
          <t>연결</t>
        </is>
      </c>
      <c r="E3714" t="inlineStr">
        <is>
          <t>2024Q4</t>
        </is>
      </c>
      <c r="F3714" s="2" t="n">
        <v>289018</v>
      </c>
      <c r="G3714" t="n">
        <v>5.9</v>
      </c>
      <c r="H3714" t="n">
        <v>2.4</v>
      </c>
      <c r="I3714" s="2" t="n">
        <v>16105</v>
      </c>
      <c r="J3714" t="n">
        <v>35.1</v>
      </c>
      <c r="K3714" t="n">
        <v>852.4</v>
      </c>
      <c r="L3714" s="2" t="n">
        <v>20035</v>
      </c>
      <c r="M3714" t="inlineStr"/>
      <c r="N3714" t="inlineStr">
        <is>
          <t>20250205800834</t>
        </is>
      </c>
      <c r="O3714">
        <f>HYPERLINK("https://dart.fss.or.kr/dsaf001/main.do?rcpNo=20250205800834", "공시열람")</f>
        <v/>
      </c>
    </row>
    <row r="3715">
      <c r="A3715" t="inlineStr">
        <is>
          <t>2025-02-05</t>
        </is>
      </c>
      <c r="B3715" t="inlineStr">
        <is>
          <t>영화금속</t>
        </is>
      </c>
      <c r="C3715" t="inlineStr">
        <is>
          <t>012280</t>
        </is>
      </c>
      <c r="D3715" t="inlineStr">
        <is>
          <t>별도</t>
        </is>
      </c>
      <c r="E3715" t="inlineStr">
        <is>
          <t>2024Q4</t>
        </is>
      </c>
      <c r="F3715" s="2" t="n">
        <v>70698</v>
      </c>
      <c r="G3715" t="n">
        <v>-13.4</v>
      </c>
      <c r="H3715" t="n">
        <v>-7.8</v>
      </c>
      <c r="I3715" s="2" t="n">
        <v>3684</v>
      </c>
      <c r="J3715" t="n">
        <v>69.2</v>
      </c>
      <c r="K3715" t="n">
        <v>-3.8</v>
      </c>
      <c r="L3715" s="2" t="n">
        <v>3140</v>
      </c>
      <c r="M3715" t="n">
        <v>20.1</v>
      </c>
      <c r="N3715" t="inlineStr">
        <is>
          <t>20250205800367</t>
        </is>
      </c>
      <c r="O3715">
        <f>HYPERLINK("https://dart.fss.or.kr/dsaf001/main.do?rcpNo=20250205800367", "공시열람")</f>
        <v/>
      </c>
    </row>
    <row r="3716">
      <c r="A3716" t="inlineStr">
        <is>
          <t>2025-02-05</t>
        </is>
      </c>
      <c r="B3716" t="inlineStr">
        <is>
          <t>롯데하이마트</t>
        </is>
      </c>
      <c r="C3716" t="inlineStr">
        <is>
          <t>071840</t>
        </is>
      </c>
      <c r="D3716" t="inlineStr">
        <is>
          <t>별도</t>
        </is>
      </c>
      <c r="E3716" t="inlineStr">
        <is>
          <t>2024Q4</t>
        </is>
      </c>
      <c r="F3716" s="2" t="n">
        <v>556365</v>
      </c>
      <c r="G3716" t="n">
        <v>-18.9</v>
      </c>
      <c r="H3716" t="n">
        <v>-3.8</v>
      </c>
      <c r="I3716" s="2" t="n">
        <v>-16252</v>
      </c>
      <c r="J3716" t="inlineStr"/>
      <c r="K3716" t="n">
        <v>-62</v>
      </c>
      <c r="L3716" s="2" t="n">
        <v>-316159</v>
      </c>
      <c r="M3716" t="n">
        <v>-579.4</v>
      </c>
      <c r="N3716" t="inlineStr">
        <is>
          <t>20250205800604</t>
        </is>
      </c>
      <c r="O3716">
        <f>HYPERLINK("https://dart.fss.or.kr/dsaf001/main.do?rcpNo=20250205800604", "공시열람")</f>
        <v/>
      </c>
    </row>
    <row r="3717">
      <c r="A3717" t="inlineStr">
        <is>
          <t>2025-02-05</t>
        </is>
      </c>
      <c r="B3717" t="inlineStr">
        <is>
          <t>SK바이오사이언스</t>
        </is>
      </c>
      <c r="C3717" t="inlineStr">
        <is>
          <t>302440</t>
        </is>
      </c>
      <c r="D3717" t="inlineStr">
        <is>
          <t>연결</t>
        </is>
      </c>
      <c r="E3717" t="inlineStr">
        <is>
          <t>2024Q4</t>
        </is>
      </c>
      <c r="F3717" s="2" t="n">
        <v>156849</v>
      </c>
      <c r="G3717" t="n">
        <v>154.4</v>
      </c>
      <c r="H3717" t="n">
        <v>73.09999999999999</v>
      </c>
      <c r="I3717" s="2" t="n">
        <v>-50776</v>
      </c>
      <c r="J3717" t="n">
        <v>-28.2</v>
      </c>
      <c r="K3717" t="n">
        <v>-502.5</v>
      </c>
      <c r="L3717" s="2" t="n">
        <v>-2673</v>
      </c>
      <c r="M3717" t="inlineStr"/>
      <c r="N3717" t="inlineStr">
        <is>
          <t>20250205800552</t>
        </is>
      </c>
      <c r="O3717">
        <f>HYPERLINK("https://dart.fss.or.kr/dsaf001/main.do?rcpNo=20250205800552", "공시열람")</f>
        <v/>
      </c>
    </row>
    <row r="3718">
      <c r="A3718" t="inlineStr">
        <is>
          <t>2025-02-05</t>
        </is>
      </c>
      <c r="B3718" t="inlineStr">
        <is>
          <t>엔텔스</t>
        </is>
      </c>
      <c r="C3718" t="inlineStr">
        <is>
          <t>069410</t>
        </is>
      </c>
      <c r="D3718" t="inlineStr">
        <is>
          <t>별도</t>
        </is>
      </c>
      <c r="E3718" t="inlineStr">
        <is>
          <t>2024Q4</t>
        </is>
      </c>
      <c r="F3718" s="2" t="n">
        <v>17970</v>
      </c>
      <c r="G3718" t="inlineStr"/>
      <c r="H3718" t="inlineStr"/>
      <c r="I3718" s="2" t="n">
        <v>3315</v>
      </c>
      <c r="J3718" t="inlineStr"/>
      <c r="K3718" t="inlineStr"/>
      <c r="L3718" s="2" t="n">
        <v>3568</v>
      </c>
      <c r="M3718" t="inlineStr"/>
      <c r="N3718" t="inlineStr">
        <is>
          <t>20250205900814</t>
        </is>
      </c>
      <c r="O3718">
        <f>HYPERLINK("https://dart.fss.or.kr/dsaf001/main.do?rcpNo=20250205900814", "공시열람")</f>
        <v/>
      </c>
    </row>
    <row r="3719">
      <c r="A3719" t="inlineStr">
        <is>
          <t>2025-02-05</t>
        </is>
      </c>
      <c r="B3719" t="inlineStr">
        <is>
          <t>KB금융</t>
        </is>
      </c>
      <c r="C3719" t="inlineStr">
        <is>
          <t>105560</t>
        </is>
      </c>
      <c r="D3719" t="inlineStr">
        <is>
          <t>연결</t>
        </is>
      </c>
      <c r="E3719" t="inlineStr">
        <is>
          <t>2024Q4</t>
        </is>
      </c>
      <c r="F3719" s="2" t="n">
        <v>26451994</v>
      </c>
      <c r="G3719" t="n">
        <v>70.75</v>
      </c>
      <c r="H3719" t="n">
        <v>45.01</v>
      </c>
      <c r="I3719" s="2" t="n">
        <v>1030013</v>
      </c>
      <c r="J3719" t="n">
        <v>-56.31</v>
      </c>
      <c r="K3719" t="n">
        <v>319.26</v>
      </c>
      <c r="L3719" s="2" t="n">
        <v>658688</v>
      </c>
      <c r="M3719" t="n">
        <v>277.89</v>
      </c>
      <c r="N3719" t="inlineStr">
        <is>
          <t>20250205800475</t>
        </is>
      </c>
      <c r="O3719">
        <f>HYPERLINK("https://dart.fss.or.kr/dsaf001/main.do?rcpNo=20250205800475", "공시열람")</f>
        <v/>
      </c>
    </row>
    <row r="3720">
      <c r="A3720" t="inlineStr">
        <is>
          <t>2025-02-05</t>
        </is>
      </c>
      <c r="B3720" t="inlineStr">
        <is>
          <t>티씨케이</t>
        </is>
      </c>
      <c r="C3720" t="inlineStr">
        <is>
          <t>064760</t>
        </is>
      </c>
      <c r="D3720" t="inlineStr">
        <is>
          <t>별도</t>
        </is>
      </c>
      <c r="E3720" t="inlineStr">
        <is>
          <t>2024Q4</t>
        </is>
      </c>
      <c r="F3720" s="2" t="n">
        <v>72775</v>
      </c>
      <c r="G3720" t="inlineStr"/>
      <c r="H3720" t="inlineStr"/>
      <c r="I3720" s="2" t="n">
        <v>20497</v>
      </c>
      <c r="J3720" t="inlineStr"/>
      <c r="K3720" t="inlineStr"/>
      <c r="L3720" s="2" t="n">
        <v>18651</v>
      </c>
      <c r="M3720" t="inlineStr"/>
      <c r="N3720" t="inlineStr">
        <is>
          <t>20250205900416</t>
        </is>
      </c>
      <c r="O3720">
        <f>HYPERLINK("https://dart.fss.or.kr/dsaf001/main.do?rcpNo=20250205900416", "공시열람")</f>
        <v/>
      </c>
    </row>
    <row r="3721">
      <c r="A3721" t="inlineStr">
        <is>
          <t>2025-02-05</t>
        </is>
      </c>
      <c r="B3721" t="inlineStr">
        <is>
          <t>KB금융</t>
        </is>
      </c>
      <c r="C3721" t="inlineStr">
        <is>
          <t>105560</t>
        </is>
      </c>
      <c r="D3721" t="inlineStr">
        <is>
          <t>연결</t>
        </is>
      </c>
      <c r="E3721" t="inlineStr">
        <is>
          <t>2024Q4</t>
        </is>
      </c>
      <c r="F3721" s="2" t="n">
        <v>17400343</v>
      </c>
      <c r="G3721" t="n">
        <v>121.06</v>
      </c>
      <c r="H3721" t="n">
        <v>67.13</v>
      </c>
      <c r="I3721" s="2" t="n">
        <v>946716</v>
      </c>
      <c r="J3721" t="n">
        <v>-40.47</v>
      </c>
      <c r="K3721" t="n">
        <v>99.48</v>
      </c>
      <c r="L3721" s="2" t="n">
        <v>612944</v>
      </c>
      <c r="M3721" t="n">
        <v>78.08</v>
      </c>
      <c r="N3721" t="inlineStr">
        <is>
          <t>20250205800483</t>
        </is>
      </c>
      <c r="O3721">
        <f>HYPERLINK("https://dart.fss.or.kr/dsaf001/main.do?rcpNo=20250205800483", "공시열람")</f>
        <v/>
      </c>
    </row>
    <row r="3722">
      <c r="A3722" t="inlineStr">
        <is>
          <t>2025-02-05</t>
        </is>
      </c>
      <c r="B3722" t="inlineStr">
        <is>
          <t>이노션</t>
        </is>
      </c>
      <c r="C3722" t="inlineStr">
        <is>
          <t>214320</t>
        </is>
      </c>
      <c r="D3722" t="inlineStr">
        <is>
          <t>연결</t>
        </is>
      </c>
      <c r="E3722" t="inlineStr">
        <is>
          <t>2024Q4</t>
        </is>
      </c>
      <c r="F3722" s="2" t="n">
        <v>598966</v>
      </c>
      <c r="G3722" t="n">
        <v>17</v>
      </c>
      <c r="H3722" t="n">
        <v>-6.3</v>
      </c>
      <c r="I3722" s="2" t="n">
        <v>42678</v>
      </c>
      <c r="J3722" t="n">
        <v>-7</v>
      </c>
      <c r="K3722" t="n">
        <v>-11.5</v>
      </c>
      <c r="L3722" s="2" t="n">
        <v>27073</v>
      </c>
      <c r="M3722" t="n">
        <v>59.4</v>
      </c>
      <c r="N3722" t="inlineStr">
        <is>
          <t>20250205800557</t>
        </is>
      </c>
      <c r="O3722">
        <f>HYPERLINK("https://dart.fss.or.kr/dsaf001/main.do?rcpNo=20250205800557", "공시열람")</f>
        <v/>
      </c>
    </row>
    <row r="3723">
      <c r="A3723" t="inlineStr">
        <is>
          <t>2025-02-04</t>
        </is>
      </c>
      <c r="B3723" t="inlineStr">
        <is>
          <t>HS애드</t>
        </is>
      </c>
      <c r="C3723" t="inlineStr">
        <is>
          <t>035000</t>
        </is>
      </c>
      <c r="D3723" t="inlineStr">
        <is>
          <t>연결</t>
        </is>
      </c>
      <c r="E3723" t="inlineStr">
        <is>
          <t>2024Q4</t>
        </is>
      </c>
      <c r="F3723" s="2" t="n">
        <v>227184</v>
      </c>
      <c r="G3723" t="n">
        <v>95.06999999999999</v>
      </c>
      <c r="H3723" t="n">
        <v>19.53</v>
      </c>
      <c r="I3723" s="2" t="n">
        <v>23366</v>
      </c>
      <c r="J3723" t="n">
        <v>208.18</v>
      </c>
      <c r="K3723" t="n">
        <v>33.74</v>
      </c>
      <c r="L3723" s="2" t="n">
        <v>17837</v>
      </c>
      <c r="M3723" t="n">
        <v>57.67</v>
      </c>
      <c r="N3723" t="inlineStr">
        <is>
          <t>20250204800579</t>
        </is>
      </c>
      <c r="O3723">
        <f>HYPERLINK("https://dart.fss.or.kr/dsaf001/main.do?rcpNo=20250204800579", "공시열람")</f>
        <v/>
      </c>
    </row>
    <row r="3724">
      <c r="A3724" t="inlineStr">
        <is>
          <t>2025-02-04</t>
        </is>
      </c>
      <c r="B3724" t="inlineStr">
        <is>
          <t>제일기획</t>
        </is>
      </c>
      <c r="C3724" t="inlineStr">
        <is>
          <t>030000</t>
        </is>
      </c>
      <c r="D3724" t="inlineStr">
        <is>
          <t>연결</t>
        </is>
      </c>
      <c r="E3724" t="inlineStr">
        <is>
          <t>2024Q4</t>
        </is>
      </c>
      <c r="F3724" s="2" t="n">
        <v>1164262</v>
      </c>
      <c r="G3724" t="n">
        <v>8.550000000000001</v>
      </c>
      <c r="H3724" t="n">
        <v>1.51</v>
      </c>
      <c r="I3724" s="2" t="n">
        <v>82396</v>
      </c>
      <c r="J3724" t="n">
        <v>-13.79</v>
      </c>
      <c r="K3724" t="n">
        <v>8.44</v>
      </c>
      <c r="L3724" s="2" t="n">
        <v>38798</v>
      </c>
      <c r="M3724" t="n">
        <v>124.55</v>
      </c>
      <c r="N3724" t="inlineStr">
        <is>
          <t>20250204800354</t>
        </is>
      </c>
      <c r="O3724">
        <f>HYPERLINK("https://dart.fss.or.kr/dsaf001/main.do?rcpNo=20250204800354", "공시열람")</f>
        <v/>
      </c>
    </row>
    <row r="3725">
      <c r="A3725" t="inlineStr">
        <is>
          <t>2025-02-04</t>
        </is>
      </c>
      <c r="B3725" t="inlineStr">
        <is>
          <t>금호석유화학</t>
        </is>
      </c>
      <c r="C3725" t="inlineStr">
        <is>
          <t>011780</t>
        </is>
      </c>
      <c r="D3725" t="inlineStr">
        <is>
          <t>연결</t>
        </is>
      </c>
      <c r="E3725" t="inlineStr">
        <is>
          <t>2024Q4</t>
        </is>
      </c>
      <c r="F3725" s="2" t="n">
        <v>1807134</v>
      </c>
      <c r="G3725" t="inlineStr"/>
      <c r="H3725" t="inlineStr"/>
      <c r="I3725" s="2" t="n">
        <v>9959</v>
      </c>
      <c r="J3725" t="inlineStr"/>
      <c r="K3725" t="inlineStr"/>
      <c r="L3725" s="2" t="n">
        <v>61253</v>
      </c>
      <c r="M3725" t="inlineStr"/>
      <c r="N3725" t="inlineStr">
        <is>
          <t>20250204800417</t>
        </is>
      </c>
      <c r="O3725">
        <f>HYPERLINK("https://dart.fss.or.kr/dsaf001/main.do?rcpNo=20250204800417", "공시열람")</f>
        <v/>
      </c>
    </row>
    <row r="3726">
      <c r="A3726" t="inlineStr">
        <is>
          <t>2025-02-04</t>
        </is>
      </c>
      <c r="B3726" t="inlineStr">
        <is>
          <t>HD현대마린솔루션</t>
        </is>
      </c>
      <c r="C3726" t="inlineStr">
        <is>
          <t>443060</t>
        </is>
      </c>
      <c r="D3726" t="inlineStr">
        <is>
          <t>연결</t>
        </is>
      </c>
      <c r="E3726" t="inlineStr">
        <is>
          <t>2024Q4</t>
        </is>
      </c>
      <c r="F3726" s="2" t="n">
        <v>463400</v>
      </c>
      <c r="G3726" t="n">
        <v>0.5</v>
      </c>
      <c r="H3726" t="n">
        <v>20</v>
      </c>
      <c r="I3726" s="2" t="n">
        <v>65900</v>
      </c>
      <c r="J3726" t="n">
        <v>-21</v>
      </c>
      <c r="K3726" t="n">
        <v>29.2</v>
      </c>
      <c r="L3726" s="2" t="n">
        <v>68400</v>
      </c>
      <c r="M3726" t="n">
        <v>108.5</v>
      </c>
      <c r="N3726" t="inlineStr">
        <is>
          <t>20250204800507</t>
        </is>
      </c>
      <c r="O3726">
        <f>HYPERLINK("https://dart.fss.or.kr/dsaf001/main.do?rcpNo=20250204800507", "공시열람")</f>
        <v/>
      </c>
    </row>
    <row r="3727">
      <c r="A3727" t="inlineStr">
        <is>
          <t>2025-02-04</t>
        </is>
      </c>
      <c r="B3727" t="inlineStr">
        <is>
          <t>하나금융지주</t>
        </is>
      </c>
      <c r="C3727" t="inlineStr">
        <is>
          <t>086790</t>
        </is>
      </c>
      <c r="D3727" t="inlineStr">
        <is>
          <t>연결</t>
        </is>
      </c>
      <c r="E3727" t="inlineStr">
        <is>
          <t>2024Q4</t>
        </is>
      </c>
      <c r="F3727" s="2" t="n">
        <v>28501361</v>
      </c>
      <c r="G3727" t="n">
        <v>159.65</v>
      </c>
      <c r="H3727" t="n">
        <v>99.72</v>
      </c>
      <c r="I3727" s="2" t="n">
        <v>601558</v>
      </c>
      <c r="J3727" t="n">
        <v>-54.82</v>
      </c>
      <c r="K3727" t="n">
        <v>-7.32</v>
      </c>
      <c r="L3727" s="2" t="n">
        <v>521098</v>
      </c>
      <c r="M3727" t="n">
        <v>13.36</v>
      </c>
      <c r="N3727" t="inlineStr">
        <is>
          <t>20250204800509</t>
        </is>
      </c>
      <c r="O3727">
        <f>HYPERLINK("https://dart.fss.or.kr/dsaf001/main.do?rcpNo=20250204800509", "공시열람")</f>
        <v/>
      </c>
    </row>
    <row r="3728">
      <c r="A3728" t="inlineStr">
        <is>
          <t>2025-02-04</t>
        </is>
      </c>
      <c r="B3728" t="inlineStr">
        <is>
          <t>하나금융지주</t>
        </is>
      </c>
      <c r="C3728" t="inlineStr">
        <is>
          <t>086790</t>
        </is>
      </c>
      <c r="D3728" t="inlineStr">
        <is>
          <t>연결</t>
        </is>
      </c>
      <c r="E3728" t="inlineStr">
        <is>
          <t>2024Q4</t>
        </is>
      </c>
      <c r="F3728" s="2" t="n">
        <v>4022757</v>
      </c>
      <c r="G3728" t="n">
        <v>108.95</v>
      </c>
      <c r="H3728" t="n">
        <v>39.44</v>
      </c>
      <c r="I3728" s="2" t="n">
        <v>-53802</v>
      </c>
      <c r="J3728" t="inlineStr"/>
      <c r="K3728" t="n">
        <v>85.59999999999999</v>
      </c>
      <c r="L3728" s="2" t="n">
        <v>40700</v>
      </c>
      <c r="M3728" t="inlineStr"/>
      <c r="N3728" t="inlineStr">
        <is>
          <t>20250204800514</t>
        </is>
      </c>
      <c r="O3728">
        <f>HYPERLINK("https://dart.fss.or.kr/dsaf001/main.do?rcpNo=20250204800514", "공시열람")</f>
        <v/>
      </c>
    </row>
    <row r="3729">
      <c r="A3729" t="inlineStr">
        <is>
          <t>2025-02-04</t>
        </is>
      </c>
      <c r="B3729" t="inlineStr">
        <is>
          <t>GKL</t>
        </is>
      </c>
      <c r="C3729" t="inlineStr">
        <is>
          <t>114090</t>
        </is>
      </c>
      <c r="D3729" t="inlineStr">
        <is>
          <t>별도</t>
        </is>
      </c>
      <c r="E3729" t="inlineStr">
        <is>
          <t>2024Q4</t>
        </is>
      </c>
      <c r="F3729" s="2" t="inlineStr"/>
      <c r="G3729" t="inlineStr"/>
      <c r="H3729" t="inlineStr"/>
      <c r="I3729" s="2" t="inlineStr"/>
      <c r="J3729" t="inlineStr"/>
      <c r="K3729" t="inlineStr"/>
      <c r="L3729" s="2" t="inlineStr"/>
      <c r="M3729" t="inlineStr"/>
      <c r="N3729" t="inlineStr">
        <is>
          <t>20250204800540</t>
        </is>
      </c>
      <c r="O3729">
        <f>HYPERLINK("https://dart.fss.or.kr/dsaf001/main.do?rcpNo=20250204800540", "공시열람")</f>
        <v/>
      </c>
    </row>
    <row r="3730">
      <c r="A3730" t="inlineStr">
        <is>
          <t>2025-02-04</t>
        </is>
      </c>
      <c r="B3730" t="inlineStr">
        <is>
          <t>LG생활건강</t>
        </is>
      </c>
      <c r="C3730" t="inlineStr">
        <is>
          <t>051900</t>
        </is>
      </c>
      <c r="D3730" t="inlineStr">
        <is>
          <t>연결</t>
        </is>
      </c>
      <c r="E3730" t="inlineStr">
        <is>
          <t>2024Q4</t>
        </is>
      </c>
      <c r="F3730" s="2" t="n">
        <v>1609900</v>
      </c>
      <c r="G3730" t="inlineStr"/>
      <c r="H3730" t="inlineStr"/>
      <c r="I3730" s="2" t="n">
        <v>43400</v>
      </c>
      <c r="J3730" t="inlineStr"/>
      <c r="K3730" t="inlineStr"/>
      <c r="L3730" s="2" t="n">
        <v>-89900</v>
      </c>
      <c r="M3730" t="inlineStr"/>
      <c r="N3730" t="inlineStr">
        <is>
          <t>20250204800637</t>
        </is>
      </c>
      <c r="O3730">
        <f>HYPERLINK("https://dart.fss.or.kr/dsaf001/main.do?rcpNo=20250204800637", "공시열람")</f>
        <v/>
      </c>
    </row>
    <row r="3731">
      <c r="A3731" t="inlineStr">
        <is>
          <t>2025-02-04</t>
        </is>
      </c>
      <c r="B3731" t="inlineStr">
        <is>
          <t>카카오페이</t>
        </is>
      </c>
      <c r="C3731" t="inlineStr">
        <is>
          <t>377300</t>
        </is>
      </c>
      <c r="D3731" t="inlineStr">
        <is>
          <t>별도</t>
        </is>
      </c>
      <c r="E3731" t="inlineStr">
        <is>
          <t>2024Q4</t>
        </is>
      </c>
      <c r="F3731" s="2" t="n">
        <v>160793</v>
      </c>
      <c r="G3731" t="n">
        <v>3</v>
      </c>
      <c r="H3731" t="n">
        <v>7.9</v>
      </c>
      <c r="I3731" s="2" t="n">
        <v>-20336</v>
      </c>
      <c r="J3731" t="inlineStr"/>
      <c r="K3731" t="inlineStr"/>
      <c r="L3731" s="2" t="n">
        <v>14199</v>
      </c>
      <c r="M3731" t="n">
        <v>4.7</v>
      </c>
      <c r="N3731" t="inlineStr">
        <is>
          <t>20250204800217</t>
        </is>
      </c>
      <c r="O3731">
        <f>HYPERLINK("https://dart.fss.or.kr/dsaf001/main.do?rcpNo=20250204800217", "공시열람")</f>
        <v/>
      </c>
    </row>
    <row r="3732">
      <c r="A3732" t="inlineStr">
        <is>
          <t>2025-02-04</t>
        </is>
      </c>
      <c r="B3732" t="inlineStr">
        <is>
          <t>현대에버다임</t>
        </is>
      </c>
      <c r="C3732" t="inlineStr">
        <is>
          <t>041440</t>
        </is>
      </c>
      <c r="D3732" t="inlineStr">
        <is>
          <t>연결</t>
        </is>
      </c>
      <c r="E3732" t="inlineStr">
        <is>
          <t>2024Q4</t>
        </is>
      </c>
      <c r="F3732" s="2" t="n">
        <v>153040</v>
      </c>
      <c r="G3732" t="inlineStr"/>
      <c r="H3732" t="inlineStr"/>
      <c r="I3732" s="2" t="n">
        <v>12339</v>
      </c>
      <c r="J3732" t="inlineStr"/>
      <c r="K3732" t="inlineStr"/>
      <c r="L3732" s="2" t="n">
        <v>8272</v>
      </c>
      <c r="M3732" t="inlineStr"/>
      <c r="N3732" t="inlineStr">
        <is>
          <t>20250204900629</t>
        </is>
      </c>
      <c r="O3732">
        <f>HYPERLINK("https://dart.fss.or.kr/dsaf001/main.do?rcpNo=20250204900629", "공시열람")</f>
        <v/>
      </c>
    </row>
    <row r="3733">
      <c r="A3733" t="inlineStr">
        <is>
          <t>2025-02-04</t>
        </is>
      </c>
      <c r="B3733" t="inlineStr">
        <is>
          <t>HS효성첨단소재</t>
        </is>
      </c>
      <c r="C3733" t="inlineStr">
        <is>
          <t>298050</t>
        </is>
      </c>
      <c r="D3733" t="inlineStr">
        <is>
          <t>연결</t>
        </is>
      </c>
      <c r="E3733" t="inlineStr">
        <is>
          <t>2024Q4</t>
        </is>
      </c>
      <c r="F3733" s="2" t="n">
        <v>804465</v>
      </c>
      <c r="G3733" t="n">
        <v>-3.01</v>
      </c>
      <c r="H3733" t="n">
        <v>4.73</v>
      </c>
      <c r="I3733" s="2" t="n">
        <v>45995</v>
      </c>
      <c r="J3733" t="n">
        <v>3.99</v>
      </c>
      <c r="K3733" t="n">
        <v>104.74</v>
      </c>
      <c r="L3733" s="2" t="n">
        <v>23833</v>
      </c>
      <c r="M3733" t="inlineStr"/>
      <c r="N3733" t="inlineStr">
        <is>
          <t>20250204801098</t>
        </is>
      </c>
      <c r="O3733">
        <f>HYPERLINK("https://dart.fss.or.kr/dsaf001/main.do?rcpNo=20250204801098", "공시열람")</f>
        <v/>
      </c>
    </row>
    <row r="3734">
      <c r="A3734" t="inlineStr">
        <is>
          <t>2025-02-04</t>
        </is>
      </c>
      <c r="B3734" t="inlineStr">
        <is>
          <t>SK가스</t>
        </is>
      </c>
      <c r="C3734" t="inlineStr">
        <is>
          <t>018670</t>
        </is>
      </c>
      <c r="D3734" t="inlineStr">
        <is>
          <t>연결</t>
        </is>
      </c>
      <c r="E3734" t="inlineStr">
        <is>
          <t>2024Q4</t>
        </is>
      </c>
      <c r="F3734" s="2" t="n">
        <v>1983481</v>
      </c>
      <c r="G3734" t="n">
        <v>14.4</v>
      </c>
      <c r="H3734" t="n">
        <v>21.8</v>
      </c>
      <c r="I3734" s="2" t="n">
        <v>122897</v>
      </c>
      <c r="J3734" t="n">
        <v>185.7</v>
      </c>
      <c r="K3734" t="inlineStr"/>
      <c r="L3734" s="2" t="n">
        <v>52928</v>
      </c>
      <c r="M3734" t="n">
        <v>62.7</v>
      </c>
      <c r="N3734" t="inlineStr">
        <is>
          <t>20250204801024</t>
        </is>
      </c>
      <c r="O3734">
        <f>HYPERLINK("https://dart.fss.or.kr/dsaf001/main.do?rcpNo=20250204801024", "공시열람")</f>
        <v/>
      </c>
    </row>
    <row r="3735">
      <c r="A3735" t="inlineStr">
        <is>
          <t>2025-02-04</t>
        </is>
      </c>
      <c r="B3735" t="inlineStr">
        <is>
          <t>한국앤컴퍼니</t>
        </is>
      </c>
      <c r="C3735" t="inlineStr">
        <is>
          <t>000240</t>
        </is>
      </c>
      <c r="D3735" t="inlineStr">
        <is>
          <t>연결</t>
        </is>
      </c>
      <c r="E3735" t="inlineStr">
        <is>
          <t>2024Q4</t>
        </is>
      </c>
      <c r="F3735" s="2" t="n">
        <v>293075</v>
      </c>
      <c r="G3735" t="inlineStr"/>
      <c r="H3735" t="inlineStr"/>
      <c r="I3735" s="2" t="n">
        <v>36713</v>
      </c>
      <c r="J3735" t="inlineStr"/>
      <c r="K3735" t="inlineStr"/>
      <c r="L3735" s="2" t="n">
        <v>14242</v>
      </c>
      <c r="M3735" t="inlineStr"/>
      <c r="N3735" t="inlineStr">
        <is>
          <t>20250204800903</t>
        </is>
      </c>
      <c r="O3735">
        <f>HYPERLINK("https://dart.fss.or.kr/dsaf001/main.do?rcpNo=20250204800903", "공시열람")</f>
        <v/>
      </c>
    </row>
    <row r="3736">
      <c r="A3736" t="inlineStr">
        <is>
          <t>2025-02-04</t>
        </is>
      </c>
      <c r="B3736" t="inlineStr">
        <is>
          <t>한미약품</t>
        </is>
      </c>
      <c r="C3736" t="inlineStr">
        <is>
          <t>128940</t>
        </is>
      </c>
      <c r="D3736" t="inlineStr">
        <is>
          <t>연결</t>
        </is>
      </c>
      <c r="E3736" t="inlineStr">
        <is>
          <t>2024Q4</t>
        </is>
      </c>
      <c r="F3736" s="2" t="n">
        <v>351607</v>
      </c>
      <c r="G3736" t="inlineStr"/>
      <c r="H3736" t="inlineStr"/>
      <c r="I3736" s="2" t="n">
        <v>30456</v>
      </c>
      <c r="J3736" t="inlineStr"/>
      <c r="K3736" t="inlineStr"/>
      <c r="L3736" s="2" t="n">
        <v>-1697</v>
      </c>
      <c r="M3736" t="inlineStr"/>
      <c r="N3736" t="inlineStr">
        <is>
          <t>20250204800773</t>
        </is>
      </c>
      <c r="O3736">
        <f>HYPERLINK("https://dart.fss.or.kr/dsaf001/main.do?rcpNo=20250204800773", "공시열람")</f>
        <v/>
      </c>
    </row>
    <row r="3737">
      <c r="A3737" t="inlineStr">
        <is>
          <t>2025-02-04</t>
        </is>
      </c>
      <c r="B3737" t="inlineStr">
        <is>
          <t>한국타이어앤테크놀로지</t>
        </is>
      </c>
      <c r="C3737" t="inlineStr">
        <is>
          <t>161390</t>
        </is>
      </c>
      <c r="D3737" t="inlineStr">
        <is>
          <t>연결</t>
        </is>
      </c>
      <c r="E3737" t="inlineStr">
        <is>
          <t>2024Q4</t>
        </is>
      </c>
      <c r="F3737" s="2" t="n">
        <v>2531529</v>
      </c>
      <c r="G3737" t="n">
        <v>4</v>
      </c>
      <c r="H3737" t="n">
        <v>13.4</v>
      </c>
      <c r="I3737" s="2" t="n">
        <v>473250</v>
      </c>
      <c r="J3737" t="n">
        <v>0.6</v>
      </c>
      <c r="K3737" t="n">
        <v>-3.9</v>
      </c>
      <c r="L3737" s="2" t="n">
        <v>47138</v>
      </c>
      <c r="M3737" t="n">
        <v>-75.3</v>
      </c>
      <c r="N3737" t="inlineStr">
        <is>
          <t>20250204800684</t>
        </is>
      </c>
      <c r="O3737">
        <f>HYPERLINK("https://dart.fss.or.kr/dsaf001/main.do?rcpNo=20250204800684", "공시열람")</f>
        <v/>
      </c>
    </row>
    <row r="3738">
      <c r="A3738" t="inlineStr">
        <is>
          <t>2025-02-04</t>
        </is>
      </c>
      <c r="B3738" t="inlineStr">
        <is>
          <t>네오팜</t>
        </is>
      </c>
      <c r="C3738" t="inlineStr">
        <is>
          <t>092730</t>
        </is>
      </c>
      <c r="D3738" t="inlineStr">
        <is>
          <t>연결</t>
        </is>
      </c>
      <c r="E3738" t="inlineStr">
        <is>
          <t>2024Q4</t>
        </is>
      </c>
      <c r="F3738" s="2" t="n">
        <v>34026</v>
      </c>
      <c r="G3738" t="inlineStr"/>
      <c r="H3738" t="inlineStr"/>
      <c r="I3738" s="2" t="n">
        <v>6671</v>
      </c>
      <c r="J3738" t="inlineStr"/>
      <c r="K3738" t="inlineStr"/>
      <c r="L3738" s="2" t="n">
        <v>6734</v>
      </c>
      <c r="M3738" t="inlineStr"/>
      <c r="N3738" t="inlineStr">
        <is>
          <t>20250204900679</t>
        </is>
      </c>
      <c r="O3738">
        <f>HYPERLINK("https://dart.fss.or.kr/dsaf001/main.do?rcpNo=20250204900679", "공시열람")</f>
        <v/>
      </c>
    </row>
    <row r="3739">
      <c r="A3739" t="inlineStr">
        <is>
          <t>2025-02-04</t>
        </is>
      </c>
      <c r="B3739" t="inlineStr">
        <is>
          <t>카카오페이</t>
        </is>
      </c>
      <c r="C3739" t="inlineStr">
        <is>
          <t>377300</t>
        </is>
      </c>
      <c r="D3739" t="inlineStr">
        <is>
          <t>연결</t>
        </is>
      </c>
      <c r="E3739" t="inlineStr">
        <is>
          <t>2024Q4</t>
        </is>
      </c>
      <c r="F3739" s="2" t="n">
        <v>218182</v>
      </c>
      <c r="G3739" t="n">
        <v>17.2</v>
      </c>
      <c r="H3739" t="n">
        <v>31.3</v>
      </c>
      <c r="I3739" s="2" t="n">
        <v>-33025</v>
      </c>
      <c r="J3739" t="n">
        <v>-341</v>
      </c>
      <c r="K3739" t="n">
        <v>-53.8</v>
      </c>
      <c r="L3739" s="2" t="n">
        <v>5198</v>
      </c>
      <c r="M3739" t="inlineStr"/>
      <c r="N3739" t="inlineStr">
        <is>
          <t>20250204800220</t>
        </is>
      </c>
      <c r="O3739">
        <f>HYPERLINK("https://dart.fss.or.kr/dsaf001/main.do?rcpNo=20250204800220", "공시열람")</f>
        <v/>
      </c>
    </row>
    <row r="3740">
      <c r="A3740" t="inlineStr">
        <is>
          <t>2025-02-04</t>
        </is>
      </c>
      <c r="B3740" t="inlineStr">
        <is>
          <t>하나금융지주</t>
        </is>
      </c>
      <c r="C3740" t="inlineStr">
        <is>
          <t>086790</t>
        </is>
      </c>
      <c r="D3740" t="inlineStr">
        <is>
          <t>연결</t>
        </is>
      </c>
      <c r="E3740" t="inlineStr">
        <is>
          <t>2024Q4</t>
        </is>
      </c>
      <c r="F3740" s="2" t="n">
        <v>22819438</v>
      </c>
      <c r="G3740" t="n">
        <v>206.91</v>
      </c>
      <c r="H3740" t="n">
        <v>128.07</v>
      </c>
      <c r="I3740" s="2" t="n">
        <v>792096</v>
      </c>
      <c r="J3740" t="n">
        <v>-36.75</v>
      </c>
      <c r="K3740" t="n">
        <v>-15.91</v>
      </c>
      <c r="L3740" s="2" t="n">
        <v>578601</v>
      </c>
      <c r="M3740" t="n">
        <v>-18.84</v>
      </c>
      <c r="N3740" t="inlineStr">
        <is>
          <t>20250204800513</t>
        </is>
      </c>
      <c r="O3740">
        <f>HYPERLINK("https://dart.fss.or.kr/dsaf001/main.do?rcpNo=20250204800513", "공시열람")</f>
        <v/>
      </c>
    </row>
    <row r="3741">
      <c r="A3741" t="inlineStr">
        <is>
          <t>2025-02-03</t>
        </is>
      </c>
      <c r="B3741" t="inlineStr">
        <is>
          <t>포스코스틸리온</t>
        </is>
      </c>
      <c r="C3741" t="inlineStr">
        <is>
          <t>058430</t>
        </is>
      </c>
      <c r="D3741" t="inlineStr">
        <is>
          <t>별도</t>
        </is>
      </c>
      <c r="E3741" t="inlineStr">
        <is>
          <t>2024Q4</t>
        </is>
      </c>
      <c r="F3741" s="2" t="n">
        <v>276100</v>
      </c>
      <c r="G3741" t="n">
        <v>-0.3</v>
      </c>
      <c r="H3741" t="n">
        <v>-0.8</v>
      </c>
      <c r="I3741" s="2" t="n">
        <v>8400</v>
      </c>
      <c r="J3741" t="n">
        <v>19.4</v>
      </c>
      <c r="K3741" t="n">
        <v>79.5</v>
      </c>
      <c r="L3741" s="2" t="n">
        <v>8800</v>
      </c>
      <c r="M3741" t="n">
        <v>17.5</v>
      </c>
      <c r="N3741" t="inlineStr">
        <is>
          <t>20250203800209</t>
        </is>
      </c>
      <c r="O3741">
        <f>HYPERLINK("https://dart.fss.or.kr/dsaf001/main.do?rcpNo=20250203800209", "공시열람")</f>
        <v/>
      </c>
    </row>
    <row r="3742">
      <c r="A3742" t="inlineStr">
        <is>
          <t>2025-02-03</t>
        </is>
      </c>
      <c r="B3742" t="inlineStr">
        <is>
          <t>LS마린솔루션</t>
        </is>
      </c>
      <c r="C3742" t="inlineStr">
        <is>
          <t>060370</t>
        </is>
      </c>
      <c r="D3742" t="inlineStr">
        <is>
          <t>연결</t>
        </is>
      </c>
      <c r="E3742" t="inlineStr">
        <is>
          <t>2024Q4</t>
        </is>
      </c>
      <c r="F3742" s="2" t="n">
        <v>40878</v>
      </c>
      <c r="G3742" t="inlineStr"/>
      <c r="H3742" t="inlineStr"/>
      <c r="I3742" s="2" t="n">
        <v>2052</v>
      </c>
      <c r="J3742" t="inlineStr"/>
      <c r="K3742" t="inlineStr"/>
      <c r="L3742" s="2" t="n">
        <v>3617</v>
      </c>
      <c r="M3742" t="inlineStr"/>
      <c r="N3742" t="inlineStr">
        <is>
          <t>20250203900138</t>
        </is>
      </c>
      <c r="O3742">
        <f>HYPERLINK("https://dart.fss.or.kr/dsaf001/main.do?rcpNo=20250203900138", "공시열람")</f>
        <v/>
      </c>
    </row>
    <row r="3743">
      <c r="A3743" t="inlineStr">
        <is>
          <t>2025-02-03</t>
        </is>
      </c>
      <c r="B3743" t="inlineStr">
        <is>
          <t>포스코스틸리온</t>
        </is>
      </c>
      <c r="C3743" t="inlineStr">
        <is>
          <t>058430</t>
        </is>
      </c>
      <c r="D3743" t="inlineStr">
        <is>
          <t>연결</t>
        </is>
      </c>
      <c r="E3743" t="inlineStr">
        <is>
          <t>2024Q4</t>
        </is>
      </c>
      <c r="F3743" s="2" t="n">
        <v>285900</v>
      </c>
      <c r="G3743" t="n">
        <v>0.9</v>
      </c>
      <c r="H3743" t="n">
        <v>1.4</v>
      </c>
      <c r="I3743" s="2" t="n">
        <v>13700</v>
      </c>
      <c r="J3743" t="n">
        <v>33.3</v>
      </c>
      <c r="K3743" t="n">
        <v>141.6</v>
      </c>
      <c r="L3743" s="2" t="n">
        <v>11000</v>
      </c>
      <c r="M3743" t="n">
        <v>222.5</v>
      </c>
      <c r="N3743" t="inlineStr">
        <is>
          <t>20250203800211</t>
        </is>
      </c>
      <c r="O3743">
        <f>HYPERLINK("https://dart.fss.or.kr/dsaf001/main.do?rcpNo=20250203800211", "공시열람")</f>
        <v/>
      </c>
    </row>
    <row r="3744">
      <c r="A3744" t="inlineStr">
        <is>
          <t>2025-02-03</t>
        </is>
      </c>
      <c r="B3744" t="inlineStr">
        <is>
          <t>해성디에스</t>
        </is>
      </c>
      <c r="C3744" t="inlineStr">
        <is>
          <t>195870</t>
        </is>
      </c>
      <c r="D3744" t="inlineStr">
        <is>
          <t>연결</t>
        </is>
      </c>
      <c r="E3744" t="inlineStr">
        <is>
          <t>2024Q4</t>
        </is>
      </c>
      <c r="F3744" s="2" t="n">
        <v>145200</v>
      </c>
      <c r="G3744" t="n">
        <v>-2.8</v>
      </c>
      <c r="H3744" t="n">
        <v>0</v>
      </c>
      <c r="I3744" s="2" t="n">
        <v>6300</v>
      </c>
      <c r="J3744" t="n">
        <v>-46.5</v>
      </c>
      <c r="K3744" t="n">
        <v>-61.6</v>
      </c>
      <c r="L3744" s="2" t="n">
        <v>12200</v>
      </c>
      <c r="M3744" t="n">
        <v>15.7</v>
      </c>
      <c r="N3744" t="inlineStr">
        <is>
          <t>20250203800346</t>
        </is>
      </c>
      <c r="O3744">
        <f>HYPERLINK("https://dart.fss.or.kr/dsaf001/main.do?rcpNo=20250203800346", "공시열람")</f>
        <v/>
      </c>
    </row>
    <row r="3745">
      <c r="A3745" t="inlineStr">
        <is>
          <t>2025-02-03</t>
        </is>
      </c>
      <c r="B3745" t="inlineStr">
        <is>
          <t>포스코퓨처엠</t>
        </is>
      </c>
      <c r="C3745" t="inlineStr">
        <is>
          <t>003670</t>
        </is>
      </c>
      <c r="D3745" t="inlineStr">
        <is>
          <t>별도</t>
        </is>
      </c>
      <c r="E3745" t="inlineStr">
        <is>
          <t>2024Q4</t>
        </is>
      </c>
      <c r="F3745" s="2" t="n">
        <v>703723</v>
      </c>
      <c r="G3745" t="n">
        <v>-22</v>
      </c>
      <c r="H3745" t="n">
        <v>-36.3</v>
      </c>
      <c r="I3745" s="2" t="n">
        <v>-29143</v>
      </c>
      <c r="J3745" t="inlineStr"/>
      <c r="K3745" t="n">
        <v>55.5</v>
      </c>
      <c r="L3745" s="2" t="n">
        <v>-295176</v>
      </c>
      <c r="M3745" t="n">
        <v>-280</v>
      </c>
      <c r="N3745" t="inlineStr">
        <is>
          <t>20250203800358</t>
        </is>
      </c>
      <c r="O3745">
        <f>HYPERLINK("https://dart.fss.or.kr/dsaf001/main.do?rcpNo=20250203800358", "공시열람")</f>
        <v/>
      </c>
    </row>
    <row r="3746">
      <c r="A3746" t="inlineStr">
        <is>
          <t>2025-02-03</t>
        </is>
      </c>
      <c r="B3746" t="inlineStr">
        <is>
          <t>옵티시스</t>
        </is>
      </c>
      <c r="C3746" t="inlineStr">
        <is>
          <t>109080</t>
        </is>
      </c>
      <c r="D3746" t="inlineStr">
        <is>
          <t>별도</t>
        </is>
      </c>
      <c r="E3746" t="inlineStr">
        <is>
          <t>2024Q4</t>
        </is>
      </c>
      <c r="F3746" s="2" t="n">
        <v>7736</v>
      </c>
      <c r="G3746" t="inlineStr"/>
      <c r="H3746" t="inlineStr"/>
      <c r="I3746" s="2" t="n">
        <v>1275</v>
      </c>
      <c r="J3746" t="inlineStr"/>
      <c r="K3746" t="inlineStr"/>
      <c r="L3746" s="2" t="n">
        <v>2429</v>
      </c>
      <c r="M3746" t="inlineStr"/>
      <c r="N3746" t="inlineStr">
        <is>
          <t>20250203900988</t>
        </is>
      </c>
      <c r="O3746">
        <f>HYPERLINK("https://dart.fss.or.kr/dsaf001/main.do?rcpNo=20250203900988", "공시열람")</f>
        <v/>
      </c>
    </row>
    <row r="3747">
      <c r="A3747" t="inlineStr">
        <is>
          <t>2025-02-03</t>
        </is>
      </c>
      <c r="B3747" t="inlineStr">
        <is>
          <t>포스코퓨처엠</t>
        </is>
      </c>
      <c r="C3747" t="inlineStr">
        <is>
          <t>003670</t>
        </is>
      </c>
      <c r="D3747" t="inlineStr">
        <is>
          <t>연결</t>
        </is>
      </c>
      <c r="E3747" t="inlineStr">
        <is>
          <t>2024Q4</t>
        </is>
      </c>
      <c r="F3747" s="2" t="n">
        <v>723247</v>
      </c>
      <c r="G3747" t="n">
        <v>-21.6</v>
      </c>
      <c r="H3747" t="n">
        <v>-36.9</v>
      </c>
      <c r="I3747" s="2" t="n">
        <v>-41281</v>
      </c>
      <c r="J3747" t="inlineStr"/>
      <c r="K3747" t="n">
        <v>44</v>
      </c>
      <c r="L3747" s="2" t="n">
        <v>-275942</v>
      </c>
      <c r="M3747" t="n">
        <v>-170.4</v>
      </c>
      <c r="N3747" t="inlineStr">
        <is>
          <t>20250203800367</t>
        </is>
      </c>
      <c r="O3747">
        <f>HYPERLINK("https://dart.fss.or.kr/dsaf001/main.do?rcpNo=20250203800367", "공시열람")</f>
        <v/>
      </c>
    </row>
    <row r="3748">
      <c r="A3748" t="inlineStr">
        <is>
          <t>2025-02-03</t>
        </is>
      </c>
      <c r="B3748" t="inlineStr">
        <is>
          <t>포스코엠텍</t>
        </is>
      </c>
      <c r="C3748" t="inlineStr">
        <is>
          <t>009520</t>
        </is>
      </c>
      <c r="D3748" t="inlineStr">
        <is>
          <t>별도</t>
        </is>
      </c>
      <c r="E3748" t="inlineStr">
        <is>
          <t>2024Q4</t>
        </is>
      </c>
      <c r="F3748" s="2" t="n">
        <v>95727</v>
      </c>
      <c r="G3748" t="inlineStr"/>
      <c r="H3748" t="inlineStr"/>
      <c r="I3748" s="2" t="n">
        <v>1009</v>
      </c>
      <c r="J3748" t="inlineStr"/>
      <c r="K3748" t="inlineStr"/>
      <c r="L3748" s="2" t="n">
        <v>-542</v>
      </c>
      <c r="M3748" t="inlineStr"/>
      <c r="N3748" t="inlineStr">
        <is>
          <t>20250203900475</t>
        </is>
      </c>
      <c r="O3748">
        <f>HYPERLINK("https://dart.fss.or.kr/dsaf001/main.do?rcpNo=20250203900475", "공시열람")</f>
        <v/>
      </c>
    </row>
    <row r="3749">
      <c r="A3749" t="inlineStr">
        <is>
          <t>2025-02-03</t>
        </is>
      </c>
      <c r="B3749" t="inlineStr">
        <is>
          <t>포스코인터내셔널</t>
        </is>
      </c>
      <c r="C3749" t="inlineStr">
        <is>
          <t>047050</t>
        </is>
      </c>
      <c r="D3749" t="inlineStr">
        <is>
          <t>연결</t>
        </is>
      </c>
      <c r="E3749" t="inlineStr">
        <is>
          <t>2024Q4</t>
        </is>
      </c>
      <c r="F3749" s="2" t="n">
        <v>32340800</v>
      </c>
      <c r="G3749" t="inlineStr"/>
      <c r="H3749" t="inlineStr"/>
      <c r="I3749" s="2" t="n">
        <v>1116900</v>
      </c>
      <c r="J3749" t="inlineStr"/>
      <c r="K3749" t="inlineStr"/>
      <c r="L3749" s="2" t="n">
        <v>503400</v>
      </c>
      <c r="M3749" t="inlineStr"/>
      <c r="N3749" t="inlineStr">
        <is>
          <t>20250203800442</t>
        </is>
      </c>
      <c r="O3749">
        <f>HYPERLINK("https://dart.fss.or.kr/dsaf001/main.do?rcpNo=20250203800442", "공시열람")</f>
        <v/>
      </c>
    </row>
    <row r="3750">
      <c r="A3750" t="inlineStr">
        <is>
          <t>2025-02-03</t>
        </is>
      </c>
      <c r="B3750" t="inlineStr">
        <is>
          <t>현대오토에버</t>
        </is>
      </c>
      <c r="C3750" t="inlineStr">
        <is>
          <t>307950</t>
        </is>
      </c>
      <c r="D3750" t="inlineStr">
        <is>
          <t>연결</t>
        </is>
      </c>
      <c r="E3750" t="inlineStr">
        <is>
          <t>2024Q4</t>
        </is>
      </c>
      <c r="F3750" s="2" t="n">
        <v>1159593</v>
      </c>
      <c r="G3750" t="n">
        <v>28.2</v>
      </c>
      <c r="H3750" t="n">
        <v>28.9</v>
      </c>
      <c r="I3750" s="2" t="n">
        <v>72651</v>
      </c>
      <c r="J3750" t="n">
        <v>38.4</v>
      </c>
      <c r="K3750" t="n">
        <v>37.4</v>
      </c>
      <c r="L3750" s="2" t="n">
        <v>51723</v>
      </c>
      <c r="M3750" t="n">
        <v>56.3</v>
      </c>
      <c r="N3750" t="inlineStr">
        <is>
          <t>20250203800476</t>
        </is>
      </c>
      <c r="O3750">
        <f>HYPERLINK("https://dart.fss.or.kr/dsaf001/main.do?rcpNo=20250203800476", "공시열람")</f>
        <v/>
      </c>
    </row>
    <row r="3751">
      <c r="A3751" t="inlineStr">
        <is>
          <t>2025-02-03</t>
        </is>
      </c>
      <c r="B3751" t="inlineStr">
        <is>
          <t>SP삼화</t>
        </is>
      </c>
      <c r="C3751" t="inlineStr">
        <is>
          <t>000390</t>
        </is>
      </c>
      <c r="D3751" t="inlineStr">
        <is>
          <t>연결</t>
        </is>
      </c>
      <c r="E3751" t="inlineStr">
        <is>
          <t>2024Q4</t>
        </is>
      </c>
      <c r="F3751" s="2" t="n">
        <v>154798</v>
      </c>
      <c r="G3751" t="n">
        <v>2.9</v>
      </c>
      <c r="H3751" t="n">
        <v>-4.1</v>
      </c>
      <c r="I3751" s="2" t="n">
        <v>-898</v>
      </c>
      <c r="J3751" t="inlineStr"/>
      <c r="K3751" t="inlineStr"/>
      <c r="L3751" s="2" t="n">
        <v>1309</v>
      </c>
      <c r="M3751" t="inlineStr"/>
      <c r="N3751" t="inlineStr">
        <is>
          <t>20250203800551</t>
        </is>
      </c>
      <c r="O3751">
        <f>HYPERLINK("https://dart.fss.or.kr/dsaf001/main.do?rcpNo=20250203800551", "공시열람")</f>
        <v/>
      </c>
    </row>
    <row r="3752">
      <c r="A3752" t="inlineStr">
        <is>
          <t>2025-02-03</t>
        </is>
      </c>
      <c r="B3752" t="inlineStr">
        <is>
          <t>현대자동차</t>
        </is>
      </c>
      <c r="C3752" t="inlineStr">
        <is>
          <t>005380</t>
        </is>
      </c>
      <c r="D3752" t="inlineStr">
        <is>
          <t>별도</t>
        </is>
      </c>
      <c r="E3752" t="inlineStr">
        <is>
          <t>2024Q4</t>
        </is>
      </c>
      <c r="F3752" s="2" t="inlineStr"/>
      <c r="G3752" t="inlineStr"/>
      <c r="H3752" t="inlineStr"/>
      <c r="I3752" s="2" t="inlineStr"/>
      <c r="J3752" t="inlineStr"/>
      <c r="K3752" t="inlineStr"/>
      <c r="L3752" s="2" t="inlineStr"/>
      <c r="M3752" t="inlineStr"/>
      <c r="N3752" t="inlineStr">
        <is>
          <t>20250203800835</t>
        </is>
      </c>
      <c r="O3752">
        <f>HYPERLINK("https://dart.fss.or.kr/dsaf001/main.do?rcpNo=20250203800835", "공시열람")</f>
        <v/>
      </c>
    </row>
    <row r="3753">
      <c r="A3753" t="inlineStr">
        <is>
          <t>2025-02-03</t>
        </is>
      </c>
      <c r="B3753" t="inlineStr">
        <is>
          <t>POSCO홀딩스</t>
        </is>
      </c>
      <c r="C3753" t="inlineStr">
        <is>
          <t>005490</t>
        </is>
      </c>
      <c r="D3753" t="inlineStr">
        <is>
          <t>별도</t>
        </is>
      </c>
      <c r="E3753" t="inlineStr">
        <is>
          <t>2024Q4</t>
        </is>
      </c>
      <c r="F3753" s="2" t="n">
        <v>38</v>
      </c>
      <c r="G3753" t="inlineStr"/>
      <c r="H3753" t="inlineStr"/>
      <c r="I3753" s="2" t="n">
        <v>1</v>
      </c>
      <c r="J3753" t="inlineStr"/>
      <c r="K3753" t="inlineStr"/>
      <c r="L3753" s="2" t="n">
        <v>1</v>
      </c>
      <c r="M3753" t="inlineStr"/>
      <c r="N3753" t="inlineStr">
        <is>
          <t>20250203800608</t>
        </is>
      </c>
      <c r="O3753">
        <f>HYPERLINK("https://dart.fss.or.kr/dsaf001/main.do?rcpNo=20250203800608", "공시열람")</f>
        <v/>
      </c>
    </row>
    <row r="3754">
      <c r="A3754" t="inlineStr">
        <is>
          <t>2025-02-03</t>
        </is>
      </c>
      <c r="B3754" t="inlineStr">
        <is>
          <t>POSCO홀딩스</t>
        </is>
      </c>
      <c r="C3754" t="inlineStr">
        <is>
          <t>005490</t>
        </is>
      </c>
      <c r="D3754" t="inlineStr">
        <is>
          <t>연결</t>
        </is>
      </c>
      <c r="E3754" t="inlineStr">
        <is>
          <t>2024Q4</t>
        </is>
      </c>
      <c r="F3754" s="2" t="n">
        <v>73</v>
      </c>
      <c r="G3754" t="inlineStr"/>
      <c r="H3754" t="inlineStr"/>
      <c r="I3754" s="2" t="n">
        <v>2</v>
      </c>
      <c r="J3754" t="inlineStr"/>
      <c r="K3754" t="inlineStr"/>
      <c r="L3754" s="2" t="n">
        <v>1</v>
      </c>
      <c r="M3754" t="inlineStr"/>
      <c r="N3754" t="inlineStr">
        <is>
          <t>20250203800614</t>
        </is>
      </c>
      <c r="O3754">
        <f>HYPERLINK("https://dart.fss.or.kr/dsaf001/main.do?rcpNo=20250203800614", "공시열람")</f>
        <v/>
      </c>
    </row>
    <row r="3755">
      <c r="A3755" t="inlineStr">
        <is>
          <t>2025-02-03</t>
        </is>
      </c>
      <c r="B3755" t="inlineStr">
        <is>
          <t>KG모빌리티</t>
        </is>
      </c>
      <c r="C3755" t="inlineStr">
        <is>
          <t>003620</t>
        </is>
      </c>
      <c r="D3755" t="inlineStr">
        <is>
          <t>별도</t>
        </is>
      </c>
      <c r="E3755" t="inlineStr">
        <is>
          <t>2024Q4</t>
        </is>
      </c>
      <c r="F3755" s="2" t="inlineStr"/>
      <c r="G3755" t="inlineStr"/>
      <c r="H3755" t="inlineStr"/>
      <c r="I3755" s="2" t="inlineStr"/>
      <c r="J3755" t="inlineStr"/>
      <c r="K3755" t="inlineStr"/>
      <c r="L3755" s="2" t="inlineStr"/>
      <c r="M3755" t="inlineStr"/>
      <c r="N3755" t="inlineStr">
        <is>
          <t>20250203800642</t>
        </is>
      </c>
      <c r="O3755">
        <f>HYPERLINK("https://dart.fss.or.kr/dsaf001/main.do?rcpNo=20250203800642", "공시열람")</f>
        <v/>
      </c>
    </row>
    <row r="3756">
      <c r="A3756" t="inlineStr">
        <is>
          <t>2025-02-03</t>
        </is>
      </c>
      <c r="B3756" t="inlineStr">
        <is>
          <t>자이에스앤디</t>
        </is>
      </c>
      <c r="C3756" t="inlineStr">
        <is>
          <t>317400</t>
        </is>
      </c>
      <c r="D3756" t="inlineStr">
        <is>
          <t>연결</t>
        </is>
      </c>
      <c r="E3756" t="inlineStr">
        <is>
          <t>2024Q4</t>
        </is>
      </c>
      <c r="F3756" s="2" t="n">
        <v>374490</v>
      </c>
      <c r="G3756" t="n">
        <v>-0.36</v>
      </c>
      <c r="H3756" t="n">
        <v>-21.94</v>
      </c>
      <c r="I3756" s="2" t="n">
        <v>-1786</v>
      </c>
      <c r="J3756" t="inlineStr"/>
      <c r="K3756" t="inlineStr"/>
      <c r="L3756" s="2" t="n">
        <v>742</v>
      </c>
      <c r="M3756" t="n">
        <v>-95.38</v>
      </c>
      <c r="N3756" t="inlineStr">
        <is>
          <t>20250203800712</t>
        </is>
      </c>
      <c r="O3756">
        <f>HYPERLINK("https://dart.fss.or.kr/dsaf001/main.do?rcpNo=20250203800712", "공시열람")</f>
        <v/>
      </c>
    </row>
    <row r="3757">
      <c r="A3757" t="inlineStr">
        <is>
          <t>2025-02-03</t>
        </is>
      </c>
      <c r="B3757" t="inlineStr">
        <is>
          <t>LG화학</t>
        </is>
      </c>
      <c r="C3757" t="inlineStr">
        <is>
          <t>051910</t>
        </is>
      </c>
      <c r="D3757" t="inlineStr">
        <is>
          <t>연결</t>
        </is>
      </c>
      <c r="E3757" t="inlineStr">
        <is>
          <t>2024Q4</t>
        </is>
      </c>
      <c r="F3757" s="2" t="n">
        <v>12336602</v>
      </c>
      <c r="G3757" t="n">
        <v>-2.6</v>
      </c>
      <c r="H3757" t="n">
        <v>-6.1</v>
      </c>
      <c r="I3757" s="2" t="n">
        <v>-252049</v>
      </c>
      <c r="J3757" t="inlineStr"/>
      <c r="K3757" t="inlineStr"/>
      <c r="L3757" s="2" t="n">
        <v>-899215</v>
      </c>
      <c r="M3757" t="inlineStr"/>
      <c r="N3757" t="inlineStr">
        <is>
          <t>20250203800754</t>
        </is>
      </c>
      <c r="O3757">
        <f>HYPERLINK("https://dart.fss.or.kr/dsaf001/main.do?rcpNo=20250203800754", "공시열람")</f>
        <v/>
      </c>
    </row>
    <row r="3758">
      <c r="A3758" t="inlineStr">
        <is>
          <t>2025-02-03</t>
        </is>
      </c>
      <c r="B3758" t="inlineStr">
        <is>
          <t>KZ정밀</t>
        </is>
      </c>
      <c r="C3758" t="inlineStr">
        <is>
          <t>036560</t>
        </is>
      </c>
      <c r="D3758" t="inlineStr">
        <is>
          <t>별도</t>
        </is>
      </c>
      <c r="E3758" t="inlineStr">
        <is>
          <t>2024Q4</t>
        </is>
      </c>
      <c r="F3758" s="2" t="n">
        <v>34869</v>
      </c>
      <c r="G3758" t="inlineStr"/>
      <c r="H3758" t="inlineStr"/>
      <c r="I3758" s="2" t="n">
        <v>2796</v>
      </c>
      <c r="J3758" t="inlineStr"/>
      <c r="K3758" t="inlineStr"/>
      <c r="L3758" s="2" t="n">
        <v>2664</v>
      </c>
      <c r="M3758" t="inlineStr"/>
      <c r="N3758" t="inlineStr">
        <is>
          <t>20250203900750</t>
        </is>
      </c>
      <c r="O3758">
        <f>HYPERLINK("https://dart.fss.or.kr/dsaf001/main.do?rcpNo=20250203900750", "공시열람")</f>
        <v/>
      </c>
    </row>
    <row r="3759">
      <c r="A3759" t="inlineStr">
        <is>
          <t>2025-02-03</t>
        </is>
      </c>
      <c r="B3759" t="inlineStr">
        <is>
          <t>파라다이스</t>
        </is>
      </c>
      <c r="C3759" t="inlineStr">
        <is>
          <t>034230</t>
        </is>
      </c>
      <c r="D3759" t="inlineStr">
        <is>
          <t>연결</t>
        </is>
      </c>
      <c r="E3759" t="inlineStr">
        <is>
          <t>2024Q4</t>
        </is>
      </c>
      <c r="F3759" s="2" t="inlineStr"/>
      <c r="G3759" t="inlineStr"/>
      <c r="H3759" t="inlineStr"/>
      <c r="I3759" s="2" t="inlineStr"/>
      <c r="J3759" t="inlineStr"/>
      <c r="K3759" t="inlineStr"/>
      <c r="L3759" s="2" t="inlineStr"/>
      <c r="M3759" t="inlineStr"/>
      <c r="N3759" t="inlineStr">
        <is>
          <t>20250203800819</t>
        </is>
      </c>
      <c r="O3759">
        <f>HYPERLINK("https://dart.fss.or.kr/dsaf001/main.do?rcpNo=20250203800819", "공시열람")</f>
        <v/>
      </c>
    </row>
    <row r="3760">
      <c r="A3760" t="inlineStr">
        <is>
          <t>2025-02-03</t>
        </is>
      </c>
      <c r="B3760" t="inlineStr">
        <is>
          <t>쎄트렉아이</t>
        </is>
      </c>
      <c r="C3760" t="inlineStr">
        <is>
          <t>099320</t>
        </is>
      </c>
      <c r="D3760" t="inlineStr">
        <is>
          <t>연결</t>
        </is>
      </c>
      <c r="E3760" t="inlineStr">
        <is>
          <t>2024Q4</t>
        </is>
      </c>
      <c r="F3760" s="2" t="n">
        <v>48413</v>
      </c>
      <c r="G3760" t="inlineStr"/>
      <c r="H3760" t="inlineStr"/>
      <c r="I3760" s="2" t="n">
        <v>1205</v>
      </c>
      <c r="J3760" t="inlineStr"/>
      <c r="K3760" t="inlineStr"/>
      <c r="L3760" s="2" t="n">
        <v>5328</v>
      </c>
      <c r="M3760" t="inlineStr"/>
      <c r="N3760" t="inlineStr">
        <is>
          <t>20250203900824</t>
        </is>
      </c>
      <c r="O3760">
        <f>HYPERLINK("https://dart.fss.or.kr/dsaf001/main.do?rcpNo=20250203900824", "공시열람")</f>
        <v/>
      </c>
    </row>
    <row r="3761">
      <c r="A3761" t="inlineStr">
        <is>
          <t>2025-02-03</t>
        </is>
      </c>
      <c r="B3761" t="inlineStr">
        <is>
          <t>기아</t>
        </is>
      </c>
      <c r="C3761" t="inlineStr">
        <is>
          <t>000270</t>
        </is>
      </c>
      <c r="D3761" t="inlineStr">
        <is>
          <t>별도</t>
        </is>
      </c>
      <c r="E3761" t="inlineStr">
        <is>
          <t>2024Q4</t>
        </is>
      </c>
      <c r="F3761" s="2" t="inlineStr"/>
      <c r="G3761" t="inlineStr"/>
      <c r="H3761" t="inlineStr"/>
      <c r="I3761" s="2" t="inlineStr"/>
      <c r="J3761" t="inlineStr"/>
      <c r="K3761" t="inlineStr"/>
      <c r="L3761" s="2" t="inlineStr"/>
      <c r="M3761" t="inlineStr"/>
      <c r="N3761" t="inlineStr">
        <is>
          <t>20250203800774</t>
        </is>
      </c>
      <c r="O3761">
        <f>HYPERLINK("https://dart.fss.or.kr/dsaf001/main.do?rcpNo=20250203800774", "공시열람")</f>
        <v/>
      </c>
    </row>
    <row r="3762">
      <c r="A3762" t="inlineStr">
        <is>
          <t>2025-02-03</t>
        </is>
      </c>
      <c r="B3762" t="inlineStr">
        <is>
          <t>포스코DX</t>
        </is>
      </c>
      <c r="C3762" t="inlineStr">
        <is>
          <t>022100</t>
        </is>
      </c>
      <c r="D3762" t="inlineStr">
        <is>
          <t>연결</t>
        </is>
      </c>
      <c r="E3762" t="inlineStr">
        <is>
          <t>2024Q4</t>
        </is>
      </c>
      <c r="F3762" s="2" t="n">
        <v>361602</v>
      </c>
      <c r="G3762" t="n">
        <v>13.5</v>
      </c>
      <c r="H3762" t="n">
        <v>1.7</v>
      </c>
      <c r="I3762" s="2" t="n">
        <v>23168</v>
      </c>
      <c r="J3762" t="n">
        <v>-11.9</v>
      </c>
      <c r="K3762" t="n">
        <v>64</v>
      </c>
      <c r="L3762" s="2" t="n">
        <v>20801</v>
      </c>
      <c r="M3762" t="n">
        <v>75.3</v>
      </c>
      <c r="N3762" t="inlineStr">
        <is>
          <t>20250203800122</t>
        </is>
      </c>
      <c r="O3762">
        <f>HYPERLINK("https://dart.fss.or.kr/dsaf001/main.do?rcpNo=20250203800122", "공시열람")</f>
        <v/>
      </c>
    </row>
    <row r="3763">
      <c r="A3763" t="inlineStr">
        <is>
          <t>2025-02-03</t>
        </is>
      </c>
      <c r="B3763" t="inlineStr">
        <is>
          <t>롯데관광개발</t>
        </is>
      </c>
      <c r="C3763" t="inlineStr">
        <is>
          <t>032350</t>
        </is>
      </c>
      <c r="D3763" t="inlineStr">
        <is>
          <t>연결</t>
        </is>
      </c>
      <c r="E3763" t="inlineStr">
        <is>
          <t>2024Q4</t>
        </is>
      </c>
      <c r="F3763" s="2" t="inlineStr"/>
      <c r="G3763" t="inlineStr"/>
      <c r="H3763" t="inlineStr"/>
      <c r="I3763" s="2" t="inlineStr"/>
      <c r="J3763" t="inlineStr"/>
      <c r="K3763" t="inlineStr"/>
      <c r="L3763" s="2" t="inlineStr"/>
      <c r="M3763" t="inlineStr"/>
      <c r="N3763" t="inlineStr">
        <is>
          <t>20250203800747</t>
        </is>
      </c>
      <c r="O3763">
        <f>HYPERLINK("https://dart.fss.or.kr/dsaf001/main.do?rcpNo=20250203800747", "공시열람")</f>
        <v/>
      </c>
    </row>
    <row r="3764">
      <c r="A3764" t="inlineStr">
        <is>
          <t>2025-02-03</t>
        </is>
      </c>
      <c r="B3764" t="inlineStr">
        <is>
          <t>다올투자증권</t>
        </is>
      </c>
      <c r="C3764" t="inlineStr">
        <is>
          <t>030210</t>
        </is>
      </c>
      <c r="D3764" t="inlineStr">
        <is>
          <t>연결</t>
        </is>
      </c>
      <c r="E3764" t="inlineStr">
        <is>
          <t>2024Q4</t>
        </is>
      </c>
      <c r="F3764" s="2" t="n">
        <v>496615</v>
      </c>
      <c r="G3764" t="inlineStr"/>
      <c r="H3764" t="inlineStr"/>
      <c r="I3764" s="2" t="n">
        <v>-45495</v>
      </c>
      <c r="J3764" t="inlineStr"/>
      <c r="K3764" t="inlineStr"/>
      <c r="L3764" s="2" t="n">
        <v>-28248</v>
      </c>
      <c r="M3764" t="inlineStr"/>
      <c r="N3764" t="inlineStr">
        <is>
          <t>20250203800998</t>
        </is>
      </c>
      <c r="O3764">
        <f>HYPERLINK("https://dart.fss.or.kr/dsaf001/main.do?rcpNo=20250203800998", "공시열람")</f>
        <v/>
      </c>
    </row>
    <row r="3765">
      <c r="A3765" t="inlineStr">
        <is>
          <t>2025-02-03</t>
        </is>
      </c>
      <c r="B3765" t="inlineStr">
        <is>
          <t>효성중공업</t>
        </is>
      </c>
      <c r="C3765" t="inlineStr">
        <is>
          <t>298040</t>
        </is>
      </c>
      <c r="D3765" t="inlineStr">
        <is>
          <t>연결</t>
        </is>
      </c>
      <c r="E3765" t="inlineStr">
        <is>
          <t>2024Q4</t>
        </is>
      </c>
      <c r="F3765" s="2" t="n">
        <v>1571511</v>
      </c>
      <c r="G3765" t="n">
        <v>37.23</v>
      </c>
      <c r="H3765" t="n">
        <v>21.63</v>
      </c>
      <c r="I3765" s="2" t="n">
        <v>132230</v>
      </c>
      <c r="J3765" t="n">
        <v>18.67</v>
      </c>
      <c r="K3765" t="n">
        <v>108.42</v>
      </c>
      <c r="L3765" s="2" t="n">
        <v>96079</v>
      </c>
      <c r="M3765" t="n">
        <v>232.67</v>
      </c>
      <c r="N3765" t="inlineStr">
        <is>
          <t>20250203801154</t>
        </is>
      </c>
      <c r="O3765">
        <f>HYPERLINK("https://dart.fss.or.kr/dsaf001/main.do?rcpNo=20250203801154", "공시열람")</f>
        <v/>
      </c>
    </row>
    <row r="3766">
      <c r="A3766" t="inlineStr">
        <is>
          <t>2025-02-03</t>
        </is>
      </c>
      <c r="B3766" t="inlineStr">
        <is>
          <t>효성</t>
        </is>
      </c>
      <c r="C3766" t="inlineStr">
        <is>
          <t>004800</t>
        </is>
      </c>
      <c r="D3766" t="inlineStr">
        <is>
          <t>연결</t>
        </is>
      </c>
      <c r="E3766" t="inlineStr">
        <is>
          <t>2024Q4</t>
        </is>
      </c>
      <c r="F3766" s="2" t="n">
        <v>710134</v>
      </c>
      <c r="G3766" t="n">
        <v>22.9</v>
      </c>
      <c r="H3766" t="n">
        <v>30.3</v>
      </c>
      <c r="I3766" s="2" t="n">
        <v>129454</v>
      </c>
      <c r="J3766" t="n">
        <v>172.9</v>
      </c>
      <c r="K3766" t="n">
        <v>3956.8</v>
      </c>
      <c r="L3766" s="2" t="n">
        <v>126131</v>
      </c>
      <c r="M3766" t="inlineStr"/>
      <c r="N3766" t="inlineStr">
        <is>
          <t>20250203801187</t>
        </is>
      </c>
      <c r="O3766">
        <f>HYPERLINK("https://dart.fss.or.kr/dsaf001/main.do?rcpNo=20250203801187", "공시열람")</f>
        <v/>
      </c>
    </row>
    <row r="3767">
      <c r="A3767" t="inlineStr">
        <is>
          <t>2025-02-03</t>
        </is>
      </c>
      <c r="B3767" t="inlineStr">
        <is>
          <t>효성티앤씨</t>
        </is>
      </c>
      <c r="C3767" t="inlineStr">
        <is>
          <t>298020</t>
        </is>
      </c>
      <c r="D3767" t="inlineStr">
        <is>
          <t>연결</t>
        </is>
      </c>
      <c r="E3767" t="inlineStr">
        <is>
          <t>2024Q4</t>
        </is>
      </c>
      <c r="F3767" s="2" t="n">
        <v>7776065</v>
      </c>
      <c r="G3767" t="inlineStr"/>
      <c r="H3767" t="inlineStr"/>
      <c r="I3767" s="2" t="n">
        <v>270728</v>
      </c>
      <c r="J3767" t="inlineStr"/>
      <c r="K3767" t="inlineStr"/>
      <c r="L3767" s="2" t="n">
        <v>183832</v>
      </c>
      <c r="M3767" t="inlineStr"/>
      <c r="N3767" t="inlineStr">
        <is>
          <t>20250203801331</t>
        </is>
      </c>
      <c r="O3767">
        <f>HYPERLINK("https://dart.fss.or.kr/dsaf001/main.do?rcpNo=20250203801331", "공시열람")</f>
        <v/>
      </c>
    </row>
    <row r="3768">
      <c r="A3768" t="inlineStr">
        <is>
          <t>2025-02-03</t>
        </is>
      </c>
      <c r="B3768" t="inlineStr">
        <is>
          <t>보령</t>
        </is>
      </c>
      <c r="C3768" t="inlineStr">
        <is>
          <t>003850</t>
        </is>
      </c>
      <c r="D3768" t="inlineStr">
        <is>
          <t>연결</t>
        </is>
      </c>
      <c r="E3768" t="inlineStr">
        <is>
          <t>2024Q4</t>
        </is>
      </c>
      <c r="F3768" s="2" t="n">
        <v>256914</v>
      </c>
      <c r="G3768" t="n">
        <v>-5.21</v>
      </c>
      <c r="H3768" t="n">
        <v>11.1</v>
      </c>
      <c r="I3768" s="2" t="n">
        <v>14550</v>
      </c>
      <c r="J3768" t="n">
        <v>-25.21</v>
      </c>
      <c r="K3768" t="n">
        <v>-1.52</v>
      </c>
      <c r="L3768" s="2" t="n">
        <v>16373</v>
      </c>
      <c r="M3768" t="n">
        <v>192.64</v>
      </c>
      <c r="N3768" t="inlineStr">
        <is>
          <t>20250203801411</t>
        </is>
      </c>
      <c r="O3768">
        <f>HYPERLINK("https://dart.fss.or.kr/dsaf001/main.do?rcpNo=20250203801411", "공시열람")</f>
        <v/>
      </c>
    </row>
    <row r="3769">
      <c r="A3769" t="inlineStr">
        <is>
          <t>2025-01-31</t>
        </is>
      </c>
      <c r="B3769" t="inlineStr">
        <is>
          <t>한미반도체</t>
        </is>
      </c>
      <c r="C3769" t="inlineStr">
        <is>
          <t>042700</t>
        </is>
      </c>
      <c r="D3769" t="inlineStr">
        <is>
          <t>연결</t>
        </is>
      </c>
      <c r="E3769" t="inlineStr">
        <is>
          <t>2024Q4</t>
        </is>
      </c>
      <c r="F3769" s="2" t="n">
        <v>149596</v>
      </c>
      <c r="G3769" t="inlineStr"/>
      <c r="H3769" t="inlineStr"/>
      <c r="I3769" s="2" t="n">
        <v>71943</v>
      </c>
      <c r="J3769" t="inlineStr"/>
      <c r="K3769" t="inlineStr"/>
      <c r="L3769" s="2" t="inlineStr"/>
      <c r="M3769" t="inlineStr"/>
      <c r="N3769" t="inlineStr">
        <is>
          <t>20250131800547</t>
        </is>
      </c>
      <c r="O3769">
        <f>HYPERLINK("https://dart.fss.or.kr/dsaf001/main.do?rcpNo=20250131800547", "공시열람")</f>
        <v/>
      </c>
    </row>
    <row r="3770">
      <c r="A3770" t="inlineStr">
        <is>
          <t>2025-01-31</t>
        </is>
      </c>
      <c r="B3770" t="inlineStr">
        <is>
          <t>RF머트리얼즈</t>
        </is>
      </c>
      <c r="C3770" t="inlineStr">
        <is>
          <t>327260</t>
        </is>
      </c>
      <c r="D3770" t="inlineStr">
        <is>
          <t>연결</t>
        </is>
      </c>
      <c r="E3770" t="inlineStr">
        <is>
          <t>2024Q4</t>
        </is>
      </c>
      <c r="F3770" s="2" t="n">
        <v>14874</v>
      </c>
      <c r="G3770" t="inlineStr"/>
      <c r="H3770" t="inlineStr"/>
      <c r="I3770" s="2" t="n">
        <v>154</v>
      </c>
      <c r="J3770" t="inlineStr"/>
      <c r="K3770" t="inlineStr"/>
      <c r="L3770" s="2" t="n">
        <v>-6388</v>
      </c>
      <c r="M3770" t="inlineStr"/>
      <c r="N3770" t="inlineStr">
        <is>
          <t>20250131900740</t>
        </is>
      </c>
      <c r="O3770">
        <f>HYPERLINK("https://dart.fss.or.kr/dsaf001/main.do?rcpNo=20250131900740", "공시열람")</f>
        <v/>
      </c>
    </row>
    <row r="3771">
      <c r="A3771" t="inlineStr">
        <is>
          <t>2025-01-31</t>
        </is>
      </c>
      <c r="B3771" t="inlineStr">
        <is>
          <t>윈스테크넷</t>
        </is>
      </c>
      <c r="C3771" t="inlineStr">
        <is>
          <t>136540</t>
        </is>
      </c>
      <c r="D3771" t="inlineStr">
        <is>
          <t>별도</t>
        </is>
      </c>
      <c r="E3771" t="inlineStr">
        <is>
          <t>2024Q4</t>
        </is>
      </c>
      <c r="F3771" s="2" t="n">
        <v>96086</v>
      </c>
      <c r="G3771" t="inlineStr"/>
      <c r="H3771" t="inlineStr"/>
      <c r="I3771" s="2" t="n">
        <v>19838</v>
      </c>
      <c r="J3771" t="inlineStr"/>
      <c r="K3771" t="inlineStr"/>
      <c r="L3771" s="2" t="n">
        <v>19557</v>
      </c>
      <c r="M3771" t="inlineStr"/>
      <c r="N3771" t="inlineStr">
        <is>
          <t>20250131900609</t>
        </is>
      </c>
      <c r="O3771">
        <f>HYPERLINK("https://dart.fss.or.kr/dsaf001/main.do?rcpNo=20250131900609", "공시열람")</f>
        <v/>
      </c>
    </row>
    <row r="3772">
      <c r="A3772" t="inlineStr">
        <is>
          <t>2025-01-31</t>
        </is>
      </c>
      <c r="B3772" t="inlineStr">
        <is>
          <t>윈스테크넷</t>
        </is>
      </c>
      <c r="C3772" t="inlineStr">
        <is>
          <t>136540</t>
        </is>
      </c>
      <c r="D3772" t="inlineStr">
        <is>
          <t>연결</t>
        </is>
      </c>
      <c r="E3772" t="inlineStr">
        <is>
          <t>2024Q4</t>
        </is>
      </c>
      <c r="F3772" s="2" t="n">
        <v>101459</v>
      </c>
      <c r="G3772" t="inlineStr"/>
      <c r="H3772" t="inlineStr"/>
      <c r="I3772" s="2" t="n">
        <v>20358</v>
      </c>
      <c r="J3772" t="inlineStr"/>
      <c r="K3772" t="inlineStr"/>
      <c r="L3772" s="2" t="n">
        <v>19872</v>
      </c>
      <c r="M3772" t="inlineStr"/>
      <c r="N3772" t="inlineStr">
        <is>
          <t>20250131900602</t>
        </is>
      </c>
      <c r="O3772">
        <f>HYPERLINK("https://dart.fss.or.kr/dsaf001/main.do?rcpNo=20250131900602", "공시열람")</f>
        <v/>
      </c>
    </row>
    <row r="3773">
      <c r="A3773" t="inlineStr">
        <is>
          <t>2025-01-31</t>
        </is>
      </c>
      <c r="B3773" t="inlineStr">
        <is>
          <t>대덕전자</t>
        </is>
      </c>
      <c r="C3773" t="inlineStr">
        <is>
          <t>353200</t>
        </is>
      </c>
      <c r="D3773" t="inlineStr">
        <is>
          <t>연결</t>
        </is>
      </c>
      <c r="E3773" t="inlineStr">
        <is>
          <t>2024Q4</t>
        </is>
      </c>
      <c r="F3773" s="2" t="n">
        <v>206477</v>
      </c>
      <c r="G3773" t="n">
        <v>-11.3</v>
      </c>
      <c r="H3773" t="n">
        <v>-11.9</v>
      </c>
      <c r="I3773" s="2" t="n">
        <v>-5976</v>
      </c>
      <c r="J3773" t="inlineStr"/>
      <c r="K3773" t="inlineStr"/>
      <c r="L3773" s="2" t="n">
        <v>4384</v>
      </c>
      <c r="M3773" t="n">
        <v>-28</v>
      </c>
      <c r="N3773" t="inlineStr">
        <is>
          <t>20250131800515</t>
        </is>
      </c>
      <c r="O3773">
        <f>HYPERLINK("https://dart.fss.or.kr/dsaf001/main.do?rcpNo=20250131800515", "공시열람")</f>
        <v/>
      </c>
    </row>
    <row r="3774">
      <c r="A3774" t="inlineStr">
        <is>
          <t>2025-01-31</t>
        </is>
      </c>
      <c r="B3774" t="inlineStr">
        <is>
          <t>녹십자웰빙</t>
        </is>
      </c>
      <c r="C3774" t="inlineStr">
        <is>
          <t>234690</t>
        </is>
      </c>
      <c r="D3774" t="inlineStr">
        <is>
          <t>연결</t>
        </is>
      </c>
      <c r="E3774" t="inlineStr">
        <is>
          <t>2024Q4</t>
        </is>
      </c>
      <c r="F3774" s="2" t="n">
        <v>35126</v>
      </c>
      <c r="G3774" t="inlineStr"/>
      <c r="H3774" t="inlineStr"/>
      <c r="I3774" s="2" t="n">
        <v>2280</v>
      </c>
      <c r="J3774" t="inlineStr"/>
      <c r="K3774" t="inlineStr"/>
      <c r="L3774" s="2" t="n">
        <v>792</v>
      </c>
      <c r="M3774" t="inlineStr"/>
      <c r="N3774" t="inlineStr">
        <is>
          <t>20250131900540</t>
        </is>
      </c>
      <c r="O3774">
        <f>HYPERLINK("https://dart.fss.or.kr/dsaf001/main.do?rcpNo=20250131900540", "공시열람")</f>
        <v/>
      </c>
    </row>
    <row r="3775">
      <c r="A3775" t="inlineStr">
        <is>
          <t>2025-01-31</t>
        </is>
      </c>
      <c r="B3775" t="inlineStr">
        <is>
          <t>삼성전자</t>
        </is>
      </c>
      <c r="C3775" t="inlineStr">
        <is>
          <t>005930</t>
        </is>
      </c>
      <c r="D3775" t="inlineStr">
        <is>
          <t>연결</t>
        </is>
      </c>
      <c r="E3775" t="inlineStr">
        <is>
          <t>2024Q4</t>
        </is>
      </c>
      <c r="F3775" s="2" t="n">
        <v>75788300</v>
      </c>
      <c r="G3775" t="n">
        <v>-4.19</v>
      </c>
      <c r="H3775" t="n">
        <v>11.82</v>
      </c>
      <c r="I3775" s="2" t="n">
        <v>6492700</v>
      </c>
      <c r="J3775" t="n">
        <v>-29.3</v>
      </c>
      <c r="K3775" t="n">
        <v>129.85</v>
      </c>
      <c r="L3775" s="2" t="n">
        <v>7754400</v>
      </c>
      <c r="M3775" t="n">
        <v>22.22</v>
      </c>
      <c r="N3775" t="inlineStr">
        <is>
          <t>20250131800091</t>
        </is>
      </c>
      <c r="O3775">
        <f>HYPERLINK("https://dart.fss.or.kr/dsaf001/main.do?rcpNo=20250131800091", "공시열람")</f>
        <v/>
      </c>
    </row>
    <row r="3776">
      <c r="A3776" t="inlineStr">
        <is>
          <t>2025-01-31</t>
        </is>
      </c>
      <c r="B3776" t="inlineStr">
        <is>
          <t>삼성전자</t>
        </is>
      </c>
      <c r="C3776" t="inlineStr">
        <is>
          <t>005930</t>
        </is>
      </c>
      <c r="D3776" t="inlineStr">
        <is>
          <t>연결</t>
        </is>
      </c>
      <c r="E3776" t="inlineStr">
        <is>
          <t>2024Q4</t>
        </is>
      </c>
      <c r="F3776" s="2" t="n">
        <v>76</v>
      </c>
      <c r="G3776" t="n">
        <v>-4.19</v>
      </c>
      <c r="H3776" t="n">
        <v>11.82</v>
      </c>
      <c r="I3776" s="2" t="n">
        <v>6</v>
      </c>
      <c r="J3776" t="n">
        <v>-29.3</v>
      </c>
      <c r="K3776" t="n">
        <v>129.85</v>
      </c>
      <c r="L3776" s="2" t="inlineStr"/>
      <c r="M3776" t="inlineStr"/>
      <c r="N3776" t="inlineStr">
        <is>
          <t>20250131800107</t>
        </is>
      </c>
      <c r="O3776">
        <f>HYPERLINK("https://dart.fss.or.kr/dsaf001/main.do?rcpNo=20250131800107", "공시열람")</f>
        <v/>
      </c>
    </row>
    <row r="3777">
      <c r="A3777" t="inlineStr">
        <is>
          <t>2025-01-31</t>
        </is>
      </c>
      <c r="B3777" t="inlineStr">
        <is>
          <t>유니드</t>
        </is>
      </c>
      <c r="C3777" t="inlineStr">
        <is>
          <t>014830</t>
        </is>
      </c>
      <c r="D3777" t="inlineStr">
        <is>
          <t>연결</t>
        </is>
      </c>
      <c r="E3777" t="inlineStr">
        <is>
          <t>2024Q4</t>
        </is>
      </c>
      <c r="F3777" s="2" t="n">
        <v>275508</v>
      </c>
      <c r="G3777" t="inlineStr"/>
      <c r="H3777" t="inlineStr"/>
      <c r="I3777" s="2" t="n">
        <v>10114</v>
      </c>
      <c r="J3777" t="inlineStr"/>
      <c r="K3777" t="inlineStr"/>
      <c r="L3777" s="2" t="n">
        <v>12104</v>
      </c>
      <c r="M3777" t="inlineStr"/>
      <c r="N3777" t="inlineStr">
        <is>
          <t>20250131800263</t>
        </is>
      </c>
      <c r="O3777">
        <f>HYPERLINK("https://dart.fss.or.kr/dsaf001/main.do?rcpNo=20250131800263", "공시열람")</f>
        <v/>
      </c>
    </row>
    <row r="3778">
      <c r="A3778" t="inlineStr">
        <is>
          <t>2025-01-31</t>
        </is>
      </c>
      <c r="B3778" t="inlineStr">
        <is>
          <t>녹십자웰빙</t>
        </is>
      </c>
      <c r="C3778" t="inlineStr">
        <is>
          <t>234690</t>
        </is>
      </c>
      <c r="D3778" t="inlineStr">
        <is>
          <t>연결</t>
        </is>
      </c>
      <c r="E3778" t="inlineStr">
        <is>
          <t>2024Q4</t>
        </is>
      </c>
      <c r="F3778" s="2" t="n">
        <v>35126</v>
      </c>
      <c r="G3778" t="inlineStr"/>
      <c r="H3778" t="inlineStr"/>
      <c r="I3778" s="2" t="n">
        <v>2280</v>
      </c>
      <c r="J3778" t="inlineStr"/>
      <c r="K3778" t="inlineStr"/>
      <c r="L3778" s="2" t="n">
        <v>970</v>
      </c>
      <c r="M3778" t="inlineStr"/>
      <c r="N3778" t="inlineStr">
        <is>
          <t>20250131900831</t>
        </is>
      </c>
      <c r="O3778">
        <f>HYPERLINK("https://dart.fss.or.kr/dsaf001/main.do?rcpNo=20250131900831", "공시열람")</f>
        <v/>
      </c>
    </row>
    <row r="3779">
      <c r="A3779" t="inlineStr">
        <is>
          <t>2025-01-31</t>
        </is>
      </c>
      <c r="B3779" t="inlineStr">
        <is>
          <t>송원산업</t>
        </is>
      </c>
      <c r="C3779" t="inlineStr">
        <is>
          <t>004430</t>
        </is>
      </c>
      <c r="D3779" t="inlineStr">
        <is>
          <t>연결</t>
        </is>
      </c>
      <c r="E3779" t="inlineStr">
        <is>
          <t>2024Q4</t>
        </is>
      </c>
      <c r="F3779" s="2" t="n">
        <v>255148</v>
      </c>
      <c r="G3779" t="inlineStr"/>
      <c r="H3779" t="inlineStr"/>
      <c r="I3779" s="2" t="n">
        <v>12104</v>
      </c>
      <c r="J3779" t="inlineStr"/>
      <c r="K3779" t="inlineStr"/>
      <c r="L3779" s="2" t="n">
        <v>13367</v>
      </c>
      <c r="M3779" t="inlineStr"/>
      <c r="N3779" t="inlineStr">
        <is>
          <t>20250131800292</t>
        </is>
      </c>
      <c r="O3779">
        <f>HYPERLINK("https://dart.fss.or.kr/dsaf001/main.do?rcpNo=20250131800292", "공시열람")</f>
        <v/>
      </c>
    </row>
    <row r="3780">
      <c r="A3780" t="inlineStr">
        <is>
          <t>2025-01-31</t>
        </is>
      </c>
      <c r="B3780" t="inlineStr">
        <is>
          <t>라온로보틱스</t>
        </is>
      </c>
      <c r="C3780" t="inlineStr">
        <is>
          <t>232680</t>
        </is>
      </c>
      <c r="D3780" t="inlineStr">
        <is>
          <t>별도</t>
        </is>
      </c>
      <c r="E3780" t="inlineStr">
        <is>
          <t>2024Q4</t>
        </is>
      </c>
      <c r="F3780" s="2" t="n">
        <v>15238</v>
      </c>
      <c r="G3780" t="inlineStr"/>
      <c r="H3780" t="inlineStr"/>
      <c r="I3780" s="2" t="n">
        <v>516</v>
      </c>
      <c r="J3780" t="inlineStr"/>
      <c r="K3780" t="inlineStr"/>
      <c r="L3780" s="2" t="n">
        <v>923</v>
      </c>
      <c r="M3780" t="inlineStr"/>
      <c r="N3780" t="inlineStr">
        <is>
          <t>20250131900420</t>
        </is>
      </c>
      <c r="O3780">
        <f>HYPERLINK("https://dart.fss.or.kr/dsaf001/main.do?rcpNo=20250131900420", "공시열람")</f>
        <v/>
      </c>
    </row>
    <row r="3781">
      <c r="A3781" t="inlineStr">
        <is>
          <t>2025-01-24</t>
        </is>
      </c>
      <c r="B3781" t="inlineStr">
        <is>
          <t>S-Oil</t>
        </is>
      </c>
      <c r="C3781" t="inlineStr">
        <is>
          <t>010950</t>
        </is>
      </c>
      <c r="D3781" t="inlineStr">
        <is>
          <t>연결</t>
        </is>
      </c>
      <c r="E3781" t="inlineStr">
        <is>
          <t>2024Q4</t>
        </is>
      </c>
      <c r="F3781" s="2" t="n">
        <v>8917081</v>
      </c>
      <c r="G3781" t="n">
        <v>0.9</v>
      </c>
      <c r="H3781" t="n">
        <v>-9.300000000000001</v>
      </c>
      <c r="I3781" s="2" t="n">
        <v>260780</v>
      </c>
      <c r="J3781" t="inlineStr"/>
      <c r="K3781" t="inlineStr"/>
      <c r="L3781" s="2" t="n">
        <v>-102109</v>
      </c>
      <c r="M3781" t="inlineStr"/>
      <c r="N3781" t="inlineStr">
        <is>
          <t>20250124800057</t>
        </is>
      </c>
      <c r="O3781">
        <f>HYPERLINK("https://dart.fss.or.kr/dsaf001/main.do?rcpNo=20250124800057", "공시열람")</f>
        <v/>
      </c>
    </row>
    <row r="3782">
      <c r="A3782" t="inlineStr">
        <is>
          <t>2025-01-24</t>
        </is>
      </c>
      <c r="B3782" t="inlineStr">
        <is>
          <t>삼성SDI</t>
        </is>
      </c>
      <c r="C3782" t="inlineStr">
        <is>
          <t>006400</t>
        </is>
      </c>
      <c r="D3782" t="inlineStr">
        <is>
          <t>연결</t>
        </is>
      </c>
      <c r="E3782" t="inlineStr">
        <is>
          <t>2024Q4</t>
        </is>
      </c>
      <c r="F3782" s="2" t="n">
        <v>3754500</v>
      </c>
      <c r="G3782" t="n">
        <v>-4.6</v>
      </c>
      <c r="H3782" t="n">
        <v>-28.8</v>
      </c>
      <c r="I3782" s="2" t="n">
        <v>-256700</v>
      </c>
      <c r="J3782" t="inlineStr"/>
      <c r="K3782" t="inlineStr"/>
      <c r="L3782" s="2" t="n">
        <v>-242700</v>
      </c>
      <c r="M3782" t="inlineStr"/>
      <c r="N3782" t="inlineStr">
        <is>
          <t>20250124800106</t>
        </is>
      </c>
      <c r="O3782">
        <f>HYPERLINK("https://dart.fss.or.kr/dsaf001/main.do?rcpNo=20250124800106", "공시열람")</f>
        <v/>
      </c>
    </row>
    <row r="3783">
      <c r="A3783" t="inlineStr">
        <is>
          <t>2025-01-24</t>
        </is>
      </c>
      <c r="B3783" t="inlineStr">
        <is>
          <t>삼성전기</t>
        </is>
      </c>
      <c r="C3783" t="inlineStr">
        <is>
          <t>009150</t>
        </is>
      </c>
      <c r="D3783" t="inlineStr">
        <is>
          <t>연결</t>
        </is>
      </c>
      <c r="E3783" t="inlineStr">
        <is>
          <t>2024Q4</t>
        </is>
      </c>
      <c r="F3783" s="2" t="n">
        <v>2492281</v>
      </c>
      <c r="G3783" t="inlineStr"/>
      <c r="H3783" t="inlineStr"/>
      <c r="I3783" s="2" t="n">
        <v>115034</v>
      </c>
      <c r="J3783" t="inlineStr"/>
      <c r="K3783" t="inlineStr"/>
      <c r="L3783" s="2" t="n">
        <v>211183</v>
      </c>
      <c r="M3783" t="inlineStr"/>
      <c r="N3783" t="inlineStr">
        <is>
          <t>20250124800244</t>
        </is>
      </c>
      <c r="O3783">
        <f>HYPERLINK("https://dart.fss.or.kr/dsaf001/main.do?rcpNo=20250124800244", "공시열람")</f>
        <v/>
      </c>
    </row>
    <row r="3784">
      <c r="A3784" t="inlineStr">
        <is>
          <t>2025-01-24</t>
        </is>
      </c>
      <c r="B3784" t="inlineStr">
        <is>
          <t>한화오션</t>
        </is>
      </c>
      <c r="C3784" t="inlineStr">
        <is>
          <t>042660</t>
        </is>
      </c>
      <c r="D3784" t="inlineStr">
        <is>
          <t>연결</t>
        </is>
      </c>
      <c r="E3784" t="inlineStr">
        <is>
          <t>2024Q4</t>
        </is>
      </c>
      <c r="F3784" s="2" t="n">
        <v>3253200</v>
      </c>
      <c r="G3784" t="n">
        <v>20.4</v>
      </c>
      <c r="H3784" t="n">
        <v>45.8</v>
      </c>
      <c r="I3784" s="2" t="n">
        <v>169000</v>
      </c>
      <c r="J3784" t="n">
        <v>560.2</v>
      </c>
      <c r="K3784" t="inlineStr"/>
      <c r="L3784" s="2" t="n">
        <v>576300</v>
      </c>
      <c r="M3784" t="n">
        <v>101.5</v>
      </c>
      <c r="N3784" t="inlineStr">
        <is>
          <t>20250124800294</t>
        </is>
      </c>
      <c r="O3784">
        <f>HYPERLINK("https://dart.fss.or.kr/dsaf001/main.do?rcpNo=20250124800294", "공시열람")</f>
        <v/>
      </c>
    </row>
    <row r="3785">
      <c r="A3785" t="inlineStr">
        <is>
          <t>2025-01-24</t>
        </is>
      </c>
      <c r="B3785" t="inlineStr">
        <is>
          <t>LG에너지솔루션</t>
        </is>
      </c>
      <c r="C3785" t="inlineStr">
        <is>
          <t>373220</t>
        </is>
      </c>
      <c r="D3785" t="inlineStr">
        <is>
          <t>연결</t>
        </is>
      </c>
      <c r="E3785" t="inlineStr">
        <is>
          <t>2024Q4</t>
        </is>
      </c>
      <c r="F3785" s="2" t="n">
        <v>6451200</v>
      </c>
      <c r="G3785" t="n">
        <v>-6.2</v>
      </c>
      <c r="H3785" t="n">
        <v>-19.4</v>
      </c>
      <c r="I3785" s="2" t="n">
        <v>-225500</v>
      </c>
      <c r="J3785" t="inlineStr"/>
      <c r="K3785" t="inlineStr"/>
      <c r="L3785" s="2" t="n">
        <v>-411000</v>
      </c>
      <c r="M3785" t="inlineStr"/>
      <c r="N3785" t="inlineStr">
        <is>
          <t>20250124800309</t>
        </is>
      </c>
      <c r="O3785">
        <f>HYPERLINK("https://dart.fss.or.kr/dsaf001/main.do?rcpNo=20250124800309", "공시열람")</f>
        <v/>
      </c>
    </row>
    <row r="3786">
      <c r="A3786" t="inlineStr">
        <is>
          <t>2025-01-24</t>
        </is>
      </c>
      <c r="B3786" t="inlineStr">
        <is>
          <t>기아</t>
        </is>
      </c>
      <c r="C3786" t="inlineStr">
        <is>
          <t>000270</t>
        </is>
      </c>
      <c r="D3786" t="inlineStr">
        <is>
          <t>연결</t>
        </is>
      </c>
      <c r="E3786" t="inlineStr">
        <is>
          <t>2024Q4</t>
        </is>
      </c>
      <c r="F3786" s="2" t="n">
        <v>27148117</v>
      </c>
      <c r="G3786" t="n">
        <v>2.4</v>
      </c>
      <c r="H3786" t="n">
        <v>11.6</v>
      </c>
      <c r="I3786" s="2" t="n">
        <v>2716417</v>
      </c>
      <c r="J3786" t="n">
        <v>-5.7</v>
      </c>
      <c r="K3786" t="n">
        <v>10.2</v>
      </c>
      <c r="L3786" s="2" t="n">
        <v>1757749</v>
      </c>
      <c r="M3786" t="n">
        <v>8.5</v>
      </c>
      <c r="N3786" t="inlineStr">
        <is>
          <t>20250124800406</t>
        </is>
      </c>
      <c r="O3786">
        <f>HYPERLINK("https://dart.fss.or.kr/dsaf001/main.do?rcpNo=20250124800406", "공시열람")</f>
        <v/>
      </c>
    </row>
    <row r="3787">
      <c r="A3787" t="inlineStr">
        <is>
          <t>2025-01-24</t>
        </is>
      </c>
      <c r="B3787" t="inlineStr">
        <is>
          <t>롯데에너지머티리얼즈</t>
        </is>
      </c>
      <c r="C3787" t="inlineStr">
        <is>
          <t>020150</t>
        </is>
      </c>
      <c r="D3787" t="inlineStr">
        <is>
          <t>연결</t>
        </is>
      </c>
      <c r="E3787" t="inlineStr">
        <is>
          <t>2024Q4</t>
        </is>
      </c>
      <c r="F3787" s="2" t="n">
        <v>186400</v>
      </c>
      <c r="G3787" t="n">
        <v>-11.8</v>
      </c>
      <c r="H3787" t="n">
        <v>-18.8</v>
      </c>
      <c r="I3787" s="2" t="n">
        <v>-40100</v>
      </c>
      <c r="J3787" t="n">
        <v>-26.2</v>
      </c>
      <c r="K3787" t="inlineStr"/>
      <c r="L3787" s="2" t="n">
        <v>40700</v>
      </c>
      <c r="M3787" t="inlineStr"/>
      <c r="N3787" t="inlineStr">
        <is>
          <t>20250124800555</t>
        </is>
      </c>
      <c r="O3787">
        <f>HYPERLINK("https://dart.fss.or.kr/dsaf001/main.do?rcpNo=20250124800555", "공시열람")</f>
        <v/>
      </c>
    </row>
    <row r="3788">
      <c r="A3788" t="inlineStr">
        <is>
          <t>2025-01-24</t>
        </is>
      </c>
      <c r="B3788" t="inlineStr">
        <is>
          <t>현대위아</t>
        </is>
      </c>
      <c r="C3788" t="inlineStr">
        <is>
          <t>011210</t>
        </is>
      </c>
      <c r="D3788" t="inlineStr">
        <is>
          <t>연결</t>
        </is>
      </c>
      <c r="E3788" t="inlineStr">
        <is>
          <t>2024Q4</t>
        </is>
      </c>
      <c r="F3788" s="2" t="n">
        <v>2006379</v>
      </c>
      <c r="G3788" t="n">
        <v>-0.1</v>
      </c>
      <c r="H3788" t="n">
        <v>-0.4</v>
      </c>
      <c r="I3788" s="2" t="n">
        <v>54699</v>
      </c>
      <c r="J3788" t="n">
        <v>6.8</v>
      </c>
      <c r="K3788" t="n">
        <v>19.2</v>
      </c>
      <c r="L3788" s="2" t="n">
        <v>58321</v>
      </c>
      <c r="M3788" t="n">
        <v>213.5</v>
      </c>
      <c r="N3788" t="inlineStr">
        <is>
          <t>20250124800556</t>
        </is>
      </c>
      <c r="O3788">
        <f>HYPERLINK("https://dart.fss.or.kr/dsaf001/main.do?rcpNo=20250124800556", "공시열람")</f>
        <v/>
      </c>
    </row>
    <row r="3789">
      <c r="A3789" t="inlineStr">
        <is>
          <t>2025-01-24</t>
        </is>
      </c>
      <c r="B3789" t="inlineStr">
        <is>
          <t>경동나비엔</t>
        </is>
      </c>
      <c r="C3789" t="inlineStr">
        <is>
          <t>009450</t>
        </is>
      </c>
      <c r="D3789" t="inlineStr">
        <is>
          <t>연결</t>
        </is>
      </c>
      <c r="E3789" t="inlineStr">
        <is>
          <t>2024Q4</t>
        </is>
      </c>
      <c r="F3789" s="2" t="n">
        <v>400372</v>
      </c>
      <c r="G3789" t="n">
        <v>24.1</v>
      </c>
      <c r="H3789" t="n">
        <v>6.7</v>
      </c>
      <c r="I3789" s="2" t="n">
        <v>33769</v>
      </c>
      <c r="J3789" t="n">
        <v>-8.300000000000001</v>
      </c>
      <c r="K3789" t="n">
        <v>-3.1</v>
      </c>
      <c r="L3789" s="2" t="n">
        <v>48216</v>
      </c>
      <c r="M3789" t="n">
        <v>115.4</v>
      </c>
      <c r="N3789" t="inlineStr">
        <is>
          <t>20250124800604</t>
        </is>
      </c>
      <c r="O3789">
        <f>HYPERLINK("https://dart.fss.or.kr/dsaf001/main.do?rcpNo=20250124800604", "공시열람")</f>
        <v/>
      </c>
    </row>
    <row r="3790">
      <c r="A3790" t="inlineStr">
        <is>
          <t>2025-01-24</t>
        </is>
      </c>
      <c r="B3790" t="inlineStr">
        <is>
          <t>국도화학</t>
        </is>
      </c>
      <c r="C3790" t="inlineStr">
        <is>
          <t>007690</t>
        </is>
      </c>
      <c r="D3790" t="inlineStr">
        <is>
          <t>연결</t>
        </is>
      </c>
      <c r="E3790" t="inlineStr">
        <is>
          <t>2024Q4</t>
        </is>
      </c>
      <c r="F3790" s="2" t="n">
        <v>326477</v>
      </c>
      <c r="G3790" t="n">
        <v>-4</v>
      </c>
      <c r="H3790" t="n">
        <v>6.8</v>
      </c>
      <c r="I3790" s="2" t="n">
        <v>7026</v>
      </c>
      <c r="J3790" t="n">
        <v>-1.7</v>
      </c>
      <c r="K3790" t="inlineStr"/>
      <c r="L3790" s="2" t="n">
        <v>3768</v>
      </c>
      <c r="M3790" t="inlineStr"/>
      <c r="N3790" t="inlineStr">
        <is>
          <t>20250124800636</t>
        </is>
      </c>
      <c r="O3790">
        <f>HYPERLINK("https://dart.fss.or.kr/dsaf001/main.do?rcpNo=20250124800636", "공시열람")</f>
        <v/>
      </c>
    </row>
    <row r="3791">
      <c r="A3791" t="inlineStr">
        <is>
          <t>2025-01-24</t>
        </is>
      </c>
      <c r="B3791" t="inlineStr">
        <is>
          <t>호텔신라</t>
        </is>
      </c>
      <c r="C3791" t="inlineStr">
        <is>
          <t>008770</t>
        </is>
      </c>
      <c r="D3791" t="inlineStr">
        <is>
          <t>연결</t>
        </is>
      </c>
      <c r="E3791" t="inlineStr">
        <is>
          <t>2024Q4</t>
        </is>
      </c>
      <c r="F3791" s="2" t="n">
        <v>947810</v>
      </c>
      <c r="G3791" t="n">
        <v>-6.7</v>
      </c>
      <c r="H3791" t="n">
        <v>1.1</v>
      </c>
      <c r="I3791" s="2" t="n">
        <v>-27949</v>
      </c>
      <c r="J3791" t="n">
        <v>-64.5</v>
      </c>
      <c r="K3791" t="n">
        <v>-53.1</v>
      </c>
      <c r="L3791" s="2" t="n">
        <v>-63988</v>
      </c>
      <c r="M3791" t="n">
        <v>-76.2</v>
      </c>
      <c r="N3791" t="inlineStr">
        <is>
          <t>20250124800671</t>
        </is>
      </c>
      <c r="O3791">
        <f>HYPERLINK("https://dart.fss.or.kr/dsaf001/main.do?rcpNo=20250124800671", "공시열람")</f>
        <v/>
      </c>
    </row>
    <row r="3792">
      <c r="A3792" t="inlineStr">
        <is>
          <t>2025-01-24</t>
        </is>
      </c>
      <c r="B3792" t="inlineStr">
        <is>
          <t>에스원</t>
        </is>
      </c>
      <c r="C3792" t="inlineStr">
        <is>
          <t>012750</t>
        </is>
      </c>
      <c r="D3792" t="inlineStr">
        <is>
          <t>연결</t>
        </is>
      </c>
      <c r="E3792" t="inlineStr">
        <is>
          <t>2024Q4</t>
        </is>
      </c>
      <c r="F3792" s="2" t="n">
        <v>763500</v>
      </c>
      <c r="G3792" t="n">
        <v>11.82</v>
      </c>
      <c r="H3792" t="n">
        <v>10</v>
      </c>
      <c r="I3792" s="2" t="n">
        <v>47871</v>
      </c>
      <c r="J3792" t="n">
        <v>-20.55</v>
      </c>
      <c r="K3792" t="n">
        <v>13.85</v>
      </c>
      <c r="L3792" s="2" t="n">
        <v>38379</v>
      </c>
      <c r="M3792" t="n">
        <v>-33.72</v>
      </c>
      <c r="N3792" t="inlineStr">
        <is>
          <t>20250124800811</t>
        </is>
      </c>
      <c r="O3792">
        <f>HYPERLINK("https://dart.fss.or.kr/dsaf001/main.do?rcpNo=20250124800811", "공시열람")</f>
        <v/>
      </c>
    </row>
    <row r="3793">
      <c r="A3793" t="inlineStr">
        <is>
          <t>2025-01-24</t>
        </is>
      </c>
      <c r="B3793" t="inlineStr">
        <is>
          <t>현대모비스</t>
        </is>
      </c>
      <c r="C3793" t="inlineStr">
        <is>
          <t>012330</t>
        </is>
      </c>
      <c r="D3793" t="inlineStr">
        <is>
          <t>연결</t>
        </is>
      </c>
      <c r="E3793" t="inlineStr">
        <is>
          <t>2024Q4</t>
        </is>
      </c>
      <c r="F3793" s="2" t="n">
        <v>14710656</v>
      </c>
      <c r="G3793" t="n">
        <v>5.06</v>
      </c>
      <c r="H3793" t="n">
        <v>0.26</v>
      </c>
      <c r="I3793" s="2" t="n">
        <v>986133</v>
      </c>
      <c r="J3793" t="n">
        <v>8.539999999999999</v>
      </c>
      <c r="K3793" t="n">
        <v>88.48</v>
      </c>
      <c r="L3793" s="2" t="n">
        <v>1278889</v>
      </c>
      <c r="M3793" t="n">
        <v>96.33</v>
      </c>
      <c r="N3793" t="inlineStr">
        <is>
          <t>20250124800088</t>
        </is>
      </c>
      <c r="O3793">
        <f>HYPERLINK("https://dart.fss.or.kr/dsaf001/main.do?rcpNo=20250124800088", "공시열람")</f>
        <v/>
      </c>
    </row>
    <row r="3794">
      <c r="A3794" t="inlineStr">
        <is>
          <t>2025-01-24</t>
        </is>
      </c>
      <c r="B3794" t="inlineStr">
        <is>
          <t>녹십자엠에스</t>
        </is>
      </c>
      <c r="C3794" t="inlineStr">
        <is>
          <t>142280</t>
        </is>
      </c>
      <c r="D3794" t="inlineStr">
        <is>
          <t>연결</t>
        </is>
      </c>
      <c r="E3794" t="inlineStr">
        <is>
          <t>2024Q4</t>
        </is>
      </c>
      <c r="F3794" s="2" t="n">
        <v>27752</v>
      </c>
      <c r="G3794" t="inlineStr"/>
      <c r="H3794" t="inlineStr"/>
      <c r="I3794" s="2" t="n">
        <v>971</v>
      </c>
      <c r="J3794" t="inlineStr"/>
      <c r="K3794" t="inlineStr"/>
      <c r="L3794" s="2" t="n">
        <v>2136</v>
      </c>
      <c r="M3794" t="inlineStr"/>
      <c r="N3794" t="inlineStr">
        <is>
          <t>20250124900003</t>
        </is>
      </c>
      <c r="O3794">
        <f>HYPERLINK("https://dart.fss.or.kr/dsaf001/main.do?rcpNo=20250124900003", "공시열람")</f>
        <v/>
      </c>
    </row>
    <row r="3795">
      <c r="A3795" t="inlineStr">
        <is>
          <t>2025-01-24</t>
        </is>
      </c>
      <c r="B3795" t="inlineStr">
        <is>
          <t>IPARK현대산업개발</t>
        </is>
      </c>
      <c r="C3795" t="inlineStr">
        <is>
          <t>294870</t>
        </is>
      </c>
      <c r="D3795" t="inlineStr">
        <is>
          <t>연결</t>
        </is>
      </c>
      <c r="E3795" t="inlineStr">
        <is>
          <t>2024Q4</t>
        </is>
      </c>
      <c r="F3795" s="2" t="n">
        <v>1125040</v>
      </c>
      <c r="G3795" t="n">
        <v>3.3</v>
      </c>
      <c r="H3795" t="n">
        <v>-2.1</v>
      </c>
      <c r="I3795" s="2" t="n">
        <v>41753</v>
      </c>
      <c r="J3795" t="n">
        <v>-12</v>
      </c>
      <c r="K3795" t="n">
        <v>-46.1</v>
      </c>
      <c r="L3795" s="2" t="n">
        <v>45163</v>
      </c>
      <c r="M3795" t="n">
        <v>-18.2</v>
      </c>
      <c r="N3795" t="inlineStr">
        <is>
          <t>20250124800864</t>
        </is>
      </c>
      <c r="O3795">
        <f>HYPERLINK("https://dart.fss.or.kr/dsaf001/main.do?rcpNo=20250124800864", "공시열람")</f>
        <v/>
      </c>
    </row>
    <row r="3796">
      <c r="A3796" t="inlineStr">
        <is>
          <t>2025-01-23</t>
        </is>
      </c>
      <c r="B3796" t="inlineStr">
        <is>
          <t>GS글로벌</t>
        </is>
      </c>
      <c r="C3796" t="inlineStr">
        <is>
          <t>001250</t>
        </is>
      </c>
      <c r="D3796" t="inlineStr">
        <is>
          <t>연결</t>
        </is>
      </c>
      <c r="E3796" t="inlineStr">
        <is>
          <t>2024Q4</t>
        </is>
      </c>
      <c r="F3796" s="2" t="n">
        <v>1091482</v>
      </c>
      <c r="G3796" t="n">
        <v>3.4</v>
      </c>
      <c r="H3796" t="n">
        <v>10.7</v>
      </c>
      <c r="I3796" s="2" t="n">
        <v>14932</v>
      </c>
      <c r="J3796" t="n">
        <v>-39.3</v>
      </c>
      <c r="K3796" t="n">
        <v>13.4</v>
      </c>
      <c r="L3796" s="2" t="n">
        <v>8284</v>
      </c>
      <c r="M3796" t="inlineStr"/>
      <c r="N3796" t="inlineStr">
        <is>
          <t>20250123800356</t>
        </is>
      </c>
      <c r="O3796">
        <f>HYPERLINK("https://dart.fss.or.kr/dsaf001/main.do?rcpNo=20250123800356", "공시열람")</f>
        <v/>
      </c>
    </row>
    <row r="3797">
      <c r="A3797" t="inlineStr">
        <is>
          <t>2025-01-23</t>
        </is>
      </c>
      <c r="B3797" t="inlineStr">
        <is>
          <t>엘에스일렉트릭</t>
        </is>
      </c>
      <c r="C3797" t="inlineStr">
        <is>
          <t>010120</t>
        </is>
      </c>
      <c r="D3797" t="inlineStr">
        <is>
          <t>연결</t>
        </is>
      </c>
      <c r="E3797" t="inlineStr">
        <is>
          <t>2024Q4</t>
        </is>
      </c>
      <c r="F3797" s="2" t="n">
        <v>1359546</v>
      </c>
      <c r="G3797" t="n">
        <v>33.13</v>
      </c>
      <c r="H3797" t="n">
        <v>31.95</v>
      </c>
      <c r="I3797" s="2" t="n">
        <v>119897</v>
      </c>
      <c r="J3797" t="n">
        <v>80.43000000000001</v>
      </c>
      <c r="K3797" t="n">
        <v>76.09</v>
      </c>
      <c r="L3797" s="2" t="n">
        <v>62756</v>
      </c>
      <c r="M3797" t="n">
        <v>44.05</v>
      </c>
      <c r="N3797" t="inlineStr">
        <is>
          <t>20250123800058</t>
        </is>
      </c>
      <c r="O3797">
        <f>HYPERLINK("https://dart.fss.or.kr/dsaf001/main.do?rcpNo=20250123800058", "공시열람")</f>
        <v/>
      </c>
    </row>
    <row r="3798">
      <c r="A3798" t="inlineStr">
        <is>
          <t>2025-01-23</t>
        </is>
      </c>
      <c r="B3798" t="inlineStr">
        <is>
          <t>강원랜드</t>
        </is>
      </c>
      <c r="C3798" t="inlineStr">
        <is>
          <t>035250</t>
        </is>
      </c>
      <c r="D3798" t="inlineStr">
        <is>
          <t>별도</t>
        </is>
      </c>
      <c r="E3798" t="inlineStr">
        <is>
          <t>2024Q4</t>
        </is>
      </c>
      <c r="F3798" s="2" t="n">
        <v>344338</v>
      </c>
      <c r="G3798" t="n">
        <v>-8.300000000000001</v>
      </c>
      <c r="H3798" t="n">
        <v>5.9</v>
      </c>
      <c r="I3798" s="2" t="n">
        <v>41769</v>
      </c>
      <c r="J3798" t="n">
        <v>-55.1</v>
      </c>
      <c r="K3798" t="n">
        <v>4.9</v>
      </c>
      <c r="L3798" s="2" t="n">
        <v>111460</v>
      </c>
      <c r="M3798" t="n">
        <v>61</v>
      </c>
      <c r="N3798" t="inlineStr">
        <is>
          <t>20250123800195</t>
        </is>
      </c>
      <c r="O3798">
        <f>HYPERLINK("https://dart.fss.or.kr/dsaf001/main.do?rcpNo=20250123800195", "공시열람")</f>
        <v/>
      </c>
    </row>
    <row r="3799">
      <c r="A3799" t="inlineStr">
        <is>
          <t>2025-01-23</t>
        </is>
      </c>
      <c r="B3799" t="inlineStr">
        <is>
          <t>삼성E&amp;A</t>
        </is>
      </c>
      <c r="C3799" t="inlineStr">
        <is>
          <t>028050</t>
        </is>
      </c>
      <c r="D3799" t="inlineStr">
        <is>
          <t>연결</t>
        </is>
      </c>
      <c r="E3799" t="inlineStr">
        <is>
          <t>2024Q4</t>
        </is>
      </c>
      <c r="F3799" s="2" t="n">
        <v>2578507</v>
      </c>
      <c r="G3799" t="n">
        <v>11.3</v>
      </c>
      <c r="H3799" t="n">
        <v>-8.800000000000001</v>
      </c>
      <c r="I3799" s="2" t="n">
        <v>295763</v>
      </c>
      <c r="J3799" t="n">
        <v>45</v>
      </c>
      <c r="K3799" t="n">
        <v>9.6</v>
      </c>
      <c r="L3799" s="2" t="n">
        <v>111036</v>
      </c>
      <c r="M3799" t="n">
        <v>-1.2</v>
      </c>
      <c r="N3799" t="inlineStr">
        <is>
          <t>20250123800208</t>
        </is>
      </c>
      <c r="O3799">
        <f>HYPERLINK("https://dart.fss.or.kr/dsaf001/main.do?rcpNo=20250123800208", "공시열람")</f>
        <v/>
      </c>
    </row>
    <row r="3800">
      <c r="A3800" t="inlineStr">
        <is>
          <t>2025-01-23</t>
        </is>
      </c>
      <c r="B3800" t="inlineStr">
        <is>
          <t>현대자동차</t>
        </is>
      </c>
      <c r="C3800" t="inlineStr">
        <is>
          <t>005380</t>
        </is>
      </c>
      <c r="D3800" t="inlineStr">
        <is>
          <t>연결</t>
        </is>
      </c>
      <c r="E3800" t="inlineStr">
        <is>
          <t>2024Q4</t>
        </is>
      </c>
      <c r="F3800" s="2" t="n">
        <v>46623701</v>
      </c>
      <c r="G3800" t="n">
        <v>8.6</v>
      </c>
      <c r="H3800" t="n">
        <v>11.9</v>
      </c>
      <c r="I3800" s="2" t="n">
        <v>2822194</v>
      </c>
      <c r="J3800" t="n">
        <v>-21.2</v>
      </c>
      <c r="K3800" t="n">
        <v>-17.2</v>
      </c>
      <c r="L3800" s="2" t="n">
        <v>2474157</v>
      </c>
      <c r="M3800" t="n">
        <v>12.3</v>
      </c>
      <c r="N3800" t="inlineStr">
        <is>
          <t>20250123800251</t>
        </is>
      </c>
      <c r="O3800">
        <f>HYPERLINK("https://dart.fss.or.kr/dsaf001/main.do?rcpNo=20250123800251", "공시열람")</f>
        <v/>
      </c>
    </row>
    <row r="3801">
      <c r="A3801" t="inlineStr">
        <is>
          <t>2025-01-23</t>
        </is>
      </c>
      <c r="B3801" t="inlineStr">
        <is>
          <t>애경산업</t>
        </is>
      </c>
      <c r="C3801" t="inlineStr">
        <is>
          <t>018250</t>
        </is>
      </c>
      <c r="D3801" t="inlineStr">
        <is>
          <t>연결</t>
        </is>
      </c>
      <c r="E3801" t="inlineStr">
        <is>
          <t>2024Q4</t>
        </is>
      </c>
      <c r="F3801" s="2" t="n">
        <v>171076</v>
      </c>
      <c r="G3801" t="inlineStr"/>
      <c r="H3801" t="inlineStr"/>
      <c r="I3801" s="2" t="n">
        <v>3888</v>
      </c>
      <c r="J3801" t="inlineStr"/>
      <c r="K3801" t="inlineStr"/>
      <c r="L3801" s="2" t="n">
        <v>7962</v>
      </c>
      <c r="M3801" t="inlineStr"/>
      <c r="N3801" t="inlineStr">
        <is>
          <t>20250123800394</t>
        </is>
      </c>
      <c r="O3801">
        <f>HYPERLINK("https://dart.fss.or.kr/dsaf001/main.do?rcpNo=20250123800394", "공시열람")</f>
        <v/>
      </c>
    </row>
    <row r="3802">
      <c r="A3802" t="inlineStr">
        <is>
          <t>2025-01-23</t>
        </is>
      </c>
      <c r="B3802" t="inlineStr">
        <is>
          <t>삼성에스디에스</t>
        </is>
      </c>
      <c r="C3802" t="inlineStr">
        <is>
          <t>018260</t>
        </is>
      </c>
      <c r="D3802" t="inlineStr">
        <is>
          <t>연결</t>
        </is>
      </c>
      <c r="E3802" t="inlineStr">
        <is>
          <t>2024Q4</t>
        </is>
      </c>
      <c r="F3802" s="2" t="n">
        <v>3642324</v>
      </c>
      <c r="G3802" t="inlineStr"/>
      <c r="H3802" t="inlineStr"/>
      <c r="I3802" s="2" t="n">
        <v>211511</v>
      </c>
      <c r="J3802" t="inlineStr"/>
      <c r="K3802" t="inlineStr"/>
      <c r="L3802" s="2" t="n">
        <v>196258</v>
      </c>
      <c r="M3802" t="inlineStr"/>
      <c r="N3802" t="inlineStr">
        <is>
          <t>20250123800109</t>
        </is>
      </c>
      <c r="O3802">
        <f>HYPERLINK("https://dart.fss.or.kr/dsaf001/main.do?rcpNo=20250123800109", "공시열람")</f>
        <v/>
      </c>
    </row>
    <row r="3803">
      <c r="A3803" t="inlineStr">
        <is>
          <t>2025-01-23</t>
        </is>
      </c>
      <c r="B3803" t="inlineStr">
        <is>
          <t>SK하이닉스</t>
        </is>
      </c>
      <c r="C3803" t="inlineStr">
        <is>
          <t>000660</t>
        </is>
      </c>
      <c r="D3803" t="inlineStr">
        <is>
          <t>연결</t>
        </is>
      </c>
      <c r="E3803" t="inlineStr">
        <is>
          <t>2024Q4</t>
        </is>
      </c>
      <c r="F3803" s="2" t="n">
        <v>19767035</v>
      </c>
      <c r="G3803" t="n">
        <v>12.5</v>
      </c>
      <c r="H3803" t="n">
        <v>74.8</v>
      </c>
      <c r="I3803" s="2" t="n">
        <v>8082797</v>
      </c>
      <c r="J3803" t="n">
        <v>15</v>
      </c>
      <c r="K3803" t="n">
        <v>2235.8</v>
      </c>
      <c r="L3803" s="2" t="n">
        <v>8006487</v>
      </c>
      <c r="M3803" t="inlineStr"/>
      <c r="N3803" t="inlineStr">
        <is>
          <t>20250123800014</t>
        </is>
      </c>
      <c r="O3803">
        <f>HYPERLINK("https://dart.fss.or.kr/dsaf001/main.do?rcpNo=20250123800014", "공시열람")</f>
        <v/>
      </c>
    </row>
    <row r="3804">
      <c r="A3804" t="inlineStr">
        <is>
          <t>2025-01-23</t>
        </is>
      </c>
      <c r="B3804" t="inlineStr">
        <is>
          <t>LG전자</t>
        </is>
      </c>
      <c r="C3804" t="inlineStr">
        <is>
          <t>066570</t>
        </is>
      </c>
      <c r="D3804" t="inlineStr">
        <is>
          <t>연결</t>
        </is>
      </c>
      <c r="E3804" t="inlineStr">
        <is>
          <t>2024Q4</t>
        </is>
      </c>
      <c r="F3804" s="2" t="n">
        <v>22761500</v>
      </c>
      <c r="G3804" t="inlineStr"/>
      <c r="H3804" t="inlineStr"/>
      <c r="I3804" s="2" t="n">
        <v>135400</v>
      </c>
      <c r="J3804" t="inlineStr"/>
      <c r="K3804" t="inlineStr"/>
      <c r="L3804" s="2" t="n">
        <v>-713700</v>
      </c>
      <c r="M3804" t="inlineStr"/>
      <c r="N3804" t="inlineStr">
        <is>
          <t>20250123800280</t>
        </is>
      </c>
      <c r="O3804">
        <f>HYPERLINK("https://dart.fss.or.kr/dsaf001/main.do?rcpNo=20250123800280", "공시열람")</f>
        <v/>
      </c>
    </row>
    <row r="3805">
      <c r="A3805" t="inlineStr">
        <is>
          <t>2025-01-23</t>
        </is>
      </c>
      <c r="B3805" t="inlineStr">
        <is>
          <t>한솔제지</t>
        </is>
      </c>
      <c r="C3805" t="inlineStr">
        <is>
          <t>213500</t>
        </is>
      </c>
      <c r="D3805" t="inlineStr">
        <is>
          <t>별도</t>
        </is>
      </c>
      <c r="E3805" t="inlineStr">
        <is>
          <t>2024Q4</t>
        </is>
      </c>
      <c r="F3805" s="2" t="n">
        <v>556194</v>
      </c>
      <c r="G3805" t="n">
        <v>9.5</v>
      </c>
      <c r="H3805" t="n">
        <v>0.7</v>
      </c>
      <c r="I3805" s="2" t="n">
        <v>-7059</v>
      </c>
      <c r="J3805" t="n">
        <v>60.6</v>
      </c>
      <c r="K3805" t="inlineStr"/>
      <c r="L3805" s="2" t="n">
        <v>-27293</v>
      </c>
      <c r="M3805" t="n">
        <v>-403.4</v>
      </c>
      <c r="N3805" t="inlineStr">
        <is>
          <t>20250123800399</t>
        </is>
      </c>
      <c r="O3805">
        <f>HYPERLINK("https://dart.fss.or.kr/dsaf001/main.do?rcpNo=20250123800399", "공시열람")</f>
        <v/>
      </c>
    </row>
    <row r="3806">
      <c r="A3806" t="inlineStr">
        <is>
          <t>2025-01-22</t>
        </is>
      </c>
      <c r="B3806" t="inlineStr">
        <is>
          <t>LX세미콘</t>
        </is>
      </c>
      <c r="C3806" t="inlineStr">
        <is>
          <t>108320</t>
        </is>
      </c>
      <c r="D3806" t="inlineStr">
        <is>
          <t>연결</t>
        </is>
      </c>
      <c r="E3806" t="inlineStr">
        <is>
          <t>2024Q4</t>
        </is>
      </c>
      <c r="F3806" s="2" t="n">
        <v>502566</v>
      </c>
      <c r="G3806" t="n">
        <v>19.7</v>
      </c>
      <c r="H3806" t="n">
        <v>-2</v>
      </c>
      <c r="I3806" s="2" t="n">
        <v>30505</v>
      </c>
      <c r="J3806" t="n">
        <v>-11</v>
      </c>
      <c r="K3806" t="n">
        <v>-54.6</v>
      </c>
      <c r="L3806" s="2" t="n">
        <v>20772</v>
      </c>
      <c r="M3806" t="n">
        <v>-55.7</v>
      </c>
      <c r="N3806" t="inlineStr">
        <is>
          <t>20250122800512</t>
        </is>
      </c>
      <c r="O3806">
        <f>HYPERLINK("https://dart.fss.or.kr/dsaf001/main.do?rcpNo=20250122800512", "공시열람")</f>
        <v/>
      </c>
    </row>
    <row r="3807">
      <c r="A3807" t="inlineStr">
        <is>
          <t>2025-01-22</t>
        </is>
      </c>
      <c r="B3807" t="inlineStr">
        <is>
          <t>LG이노텍</t>
        </is>
      </c>
      <c r="C3807" t="inlineStr">
        <is>
          <t>011070</t>
        </is>
      </c>
      <c r="D3807" t="inlineStr">
        <is>
          <t>연결</t>
        </is>
      </c>
      <c r="E3807" t="inlineStr">
        <is>
          <t>2024Q4</t>
        </is>
      </c>
      <c r="F3807" s="2" t="n">
        <v>6626849</v>
      </c>
      <c r="G3807" t="n">
        <v>16.6</v>
      </c>
      <c r="H3807" t="n">
        <v>-12.3</v>
      </c>
      <c r="I3807" s="2" t="n">
        <v>247889</v>
      </c>
      <c r="J3807" t="n">
        <v>90.09999999999999</v>
      </c>
      <c r="K3807" t="n">
        <v>-48.8</v>
      </c>
      <c r="L3807" s="2" t="n">
        <v>106922</v>
      </c>
      <c r="M3807" t="n">
        <v>-69.5</v>
      </c>
      <c r="N3807" t="inlineStr">
        <is>
          <t>20250122800336</t>
        </is>
      </c>
      <c r="O3807">
        <f>HYPERLINK("https://dart.fss.or.kr/dsaf001/main.do?rcpNo=20250122800336", "공시열람")</f>
        <v/>
      </c>
    </row>
    <row r="3808">
      <c r="A3808" t="inlineStr">
        <is>
          <t>2025-01-22</t>
        </is>
      </c>
      <c r="B3808" t="inlineStr">
        <is>
          <t>삼성물산</t>
        </is>
      </c>
      <c r="C3808" t="inlineStr">
        <is>
          <t>028260</t>
        </is>
      </c>
      <c r="D3808" t="inlineStr">
        <is>
          <t>연결</t>
        </is>
      </c>
      <c r="E3808" t="inlineStr">
        <is>
          <t>2024Q4</t>
        </is>
      </c>
      <c r="F3808" s="2" t="n">
        <v>9992763</v>
      </c>
      <c r="G3808" t="inlineStr"/>
      <c r="H3808" t="inlineStr"/>
      <c r="I3808" s="2" t="n">
        <v>634564</v>
      </c>
      <c r="J3808" t="inlineStr"/>
      <c r="K3808" t="inlineStr"/>
      <c r="L3808" s="2" t="n">
        <v>655808</v>
      </c>
      <c r="M3808" t="inlineStr"/>
      <c r="N3808" t="inlineStr">
        <is>
          <t>20250122800309</t>
        </is>
      </c>
      <c r="O3808">
        <f>HYPERLINK("https://dart.fss.or.kr/dsaf001/main.do?rcpNo=20250122800309", "공시열람")</f>
        <v/>
      </c>
    </row>
    <row r="3809">
      <c r="A3809" t="inlineStr">
        <is>
          <t>2025-01-22</t>
        </is>
      </c>
      <c r="B3809" t="inlineStr">
        <is>
          <t>삼성바이오로직스</t>
        </is>
      </c>
      <c r="C3809" t="inlineStr">
        <is>
          <t>207940</t>
        </is>
      </c>
      <c r="D3809" t="inlineStr">
        <is>
          <t>연결</t>
        </is>
      </c>
      <c r="E3809" t="inlineStr">
        <is>
          <t>2024Q4</t>
        </is>
      </c>
      <c r="F3809" s="2" t="n">
        <v>1256439</v>
      </c>
      <c r="G3809" t="n">
        <v>5.84</v>
      </c>
      <c r="H3809" t="n">
        <v>17.04</v>
      </c>
      <c r="I3809" s="2" t="n">
        <v>325664</v>
      </c>
      <c r="J3809" t="n">
        <v>-3.81</v>
      </c>
      <c r="K3809" t="n">
        <v>-6.94</v>
      </c>
      <c r="L3809" s="2" t="n">
        <v>321494</v>
      </c>
      <c r="M3809" t="n">
        <v>10.6</v>
      </c>
      <c r="N3809" t="inlineStr">
        <is>
          <t>20250122800342</t>
        </is>
      </c>
      <c r="O3809">
        <f>HYPERLINK("https://dart.fss.or.kr/dsaf001/main.do?rcpNo=20250122800342", "공시열람")</f>
        <v/>
      </c>
    </row>
    <row r="3810">
      <c r="A3810" t="inlineStr">
        <is>
          <t>2025-01-22</t>
        </is>
      </c>
      <c r="B3810" t="inlineStr">
        <is>
          <t>한진</t>
        </is>
      </c>
      <c r="C3810" t="inlineStr">
        <is>
          <t>002320</t>
        </is>
      </c>
      <c r="D3810" t="inlineStr">
        <is>
          <t>연결</t>
        </is>
      </c>
      <c r="E3810" t="inlineStr">
        <is>
          <t>2024Q4</t>
        </is>
      </c>
      <c r="F3810" s="2" t="n">
        <v>811300</v>
      </c>
      <c r="G3810" t="n">
        <v>7.2</v>
      </c>
      <c r="H3810" t="n">
        <v>8.4</v>
      </c>
      <c r="I3810" s="2" t="n">
        <v>300</v>
      </c>
      <c r="J3810" t="n">
        <v>-99.2</v>
      </c>
      <c r="K3810" t="n">
        <v>-99</v>
      </c>
      <c r="L3810" s="2" t="inlineStr"/>
      <c r="M3810" t="inlineStr"/>
      <c r="N3810" t="inlineStr">
        <is>
          <t>20250122800233</t>
        </is>
      </c>
      <c r="O3810">
        <f>HYPERLINK("https://dart.fss.or.kr/dsaf001/main.do?rcpNo=20250122800233", "공시열람")</f>
        <v/>
      </c>
    </row>
    <row r="3811">
      <c r="A3811" t="inlineStr">
        <is>
          <t>2025-01-22</t>
        </is>
      </c>
      <c r="B3811" t="inlineStr">
        <is>
          <t>현대제철</t>
        </is>
      </c>
      <c r="C3811" t="inlineStr">
        <is>
          <t>004020</t>
        </is>
      </c>
      <c r="D3811" t="inlineStr">
        <is>
          <t>연결</t>
        </is>
      </c>
      <c r="E3811" t="inlineStr">
        <is>
          <t>2024Q4</t>
        </is>
      </c>
      <c r="F3811" s="2" t="n">
        <v>5612700</v>
      </c>
      <c r="G3811" t="n">
        <v>-0.2</v>
      </c>
      <c r="H3811" t="n">
        <v>-8.1</v>
      </c>
      <c r="I3811" s="2" t="n">
        <v>109000</v>
      </c>
      <c r="J3811" t="n">
        <v>111.6</v>
      </c>
      <c r="K3811" t="inlineStr"/>
      <c r="L3811" s="2" t="n">
        <v>105800</v>
      </c>
      <c r="M3811" t="inlineStr"/>
      <c r="N3811" t="inlineStr">
        <is>
          <t>20250122800200</t>
        </is>
      </c>
      <c r="O3811">
        <f>HYPERLINK("https://dart.fss.or.kr/dsaf001/main.do?rcpNo=20250122800200", "공시열람")</f>
        <v/>
      </c>
    </row>
    <row r="3812">
      <c r="A3812" t="inlineStr">
        <is>
          <t>2025-01-22</t>
        </is>
      </c>
      <c r="B3812" t="inlineStr">
        <is>
          <t>한올바이오파마</t>
        </is>
      </c>
      <c r="C3812" t="inlineStr">
        <is>
          <t>009420</t>
        </is>
      </c>
      <c r="D3812" t="inlineStr">
        <is>
          <t>연결</t>
        </is>
      </c>
      <c r="E3812" t="inlineStr">
        <is>
          <t>2024Q4</t>
        </is>
      </c>
      <c r="F3812" s="2" t="n">
        <v>36417</v>
      </c>
      <c r="G3812" t="n">
        <v>-1.1</v>
      </c>
      <c r="H3812" t="n">
        <v>14.8</v>
      </c>
      <c r="I3812" s="2" t="n">
        <v>2739</v>
      </c>
      <c r="J3812" t="n">
        <v>536.7</v>
      </c>
      <c r="K3812" t="inlineStr"/>
      <c r="L3812" s="2" t="n">
        <v>1495</v>
      </c>
      <c r="M3812" t="inlineStr"/>
      <c r="N3812" t="inlineStr">
        <is>
          <t>20250122800400</t>
        </is>
      </c>
      <c r="O3812">
        <f>HYPERLINK("https://dart.fss.or.kr/dsaf001/main.do?rcpNo=20250122800400", "공시열람")</f>
        <v/>
      </c>
    </row>
    <row r="3813">
      <c r="A3813" t="inlineStr">
        <is>
          <t>2025-01-22</t>
        </is>
      </c>
      <c r="B3813" t="inlineStr">
        <is>
          <t>현대건설</t>
        </is>
      </c>
      <c r="C3813" t="inlineStr">
        <is>
          <t>000720</t>
        </is>
      </c>
      <c r="D3813" t="inlineStr">
        <is>
          <t>연결</t>
        </is>
      </c>
      <c r="E3813" t="inlineStr">
        <is>
          <t>2024Q4</t>
        </is>
      </c>
      <c r="F3813" s="2" t="n">
        <v>7270985</v>
      </c>
      <c r="G3813" t="n">
        <v>-11.9</v>
      </c>
      <c r="H3813" t="n">
        <v>-15.4</v>
      </c>
      <c r="I3813" s="2" t="n">
        <v>-1733392</v>
      </c>
      <c r="J3813" t="inlineStr"/>
      <c r="K3813" t="inlineStr"/>
      <c r="L3813" s="2" t="n">
        <v>-1130965</v>
      </c>
      <c r="M3813" t="inlineStr"/>
      <c r="N3813" t="inlineStr">
        <is>
          <t>20250122800166</t>
        </is>
      </c>
      <c r="O3813">
        <f>HYPERLINK("https://dart.fss.or.kr/dsaf001/main.do?rcpNo=20250122800166", "공시열람")</f>
        <v/>
      </c>
    </row>
    <row r="3814">
      <c r="A3814" t="inlineStr">
        <is>
          <t>2025-01-22</t>
        </is>
      </c>
      <c r="B3814" t="inlineStr">
        <is>
          <t>현대차증권</t>
        </is>
      </c>
      <c r="C3814" t="inlineStr">
        <is>
          <t>001500</t>
        </is>
      </c>
      <c r="D3814" t="inlineStr">
        <is>
          <t>연결</t>
        </is>
      </c>
      <c r="E3814" t="inlineStr">
        <is>
          <t>2024Q4</t>
        </is>
      </c>
      <c r="F3814" s="2" t="n">
        <v>634139</v>
      </c>
      <c r="G3814" t="n">
        <v>151.6</v>
      </c>
      <c r="H3814" t="n">
        <v>41.6</v>
      </c>
      <c r="I3814" s="2" t="n">
        <v>7549</v>
      </c>
      <c r="J3814" t="n">
        <v>-48.1</v>
      </c>
      <c r="K3814" t="n">
        <v>3032.4</v>
      </c>
      <c r="L3814" s="2" t="n">
        <v>340</v>
      </c>
      <c r="M3814" t="n">
        <v>-25.4</v>
      </c>
      <c r="N3814" t="inlineStr">
        <is>
          <t>20250122800667</t>
        </is>
      </c>
      <c r="O3814">
        <f>HYPERLINK("https://dart.fss.or.kr/dsaf001/main.do?rcpNo=20250122800667", "공시열람")</f>
        <v/>
      </c>
    </row>
    <row r="3815">
      <c r="A3815" t="inlineStr">
        <is>
          <t>2025-01-22</t>
        </is>
      </c>
      <c r="B3815" t="inlineStr">
        <is>
          <t>인크로스</t>
        </is>
      </c>
      <c r="C3815" t="inlineStr">
        <is>
          <t>216050</t>
        </is>
      </c>
      <c r="D3815" t="inlineStr">
        <is>
          <t>별도</t>
        </is>
      </c>
      <c r="E3815" t="inlineStr">
        <is>
          <t>2024Q4</t>
        </is>
      </c>
      <c r="F3815" s="2" t="n">
        <v>15478</v>
      </c>
      <c r="G3815" t="inlineStr"/>
      <c r="H3815" t="inlineStr"/>
      <c r="I3815" s="2" t="n">
        <v>3230</v>
      </c>
      <c r="J3815" t="inlineStr"/>
      <c r="K3815" t="inlineStr"/>
      <c r="L3815" s="2" t="n">
        <v>2316</v>
      </c>
      <c r="M3815" t="inlineStr"/>
      <c r="N3815" t="inlineStr">
        <is>
          <t>20250122900098</t>
        </is>
      </c>
      <c r="O3815">
        <f>HYPERLINK("https://dart.fss.or.kr/dsaf001/main.do?rcpNo=20250122900098", "공시열람")</f>
        <v/>
      </c>
    </row>
    <row r="3816">
      <c r="A3816" t="inlineStr">
        <is>
          <t>2025-01-22</t>
        </is>
      </c>
      <c r="B3816" t="inlineStr">
        <is>
          <t>인크로스</t>
        </is>
      </c>
      <c r="C3816" t="inlineStr">
        <is>
          <t>216050</t>
        </is>
      </c>
      <c r="D3816" t="inlineStr">
        <is>
          <t>연결</t>
        </is>
      </c>
      <c r="E3816" t="inlineStr">
        <is>
          <t>2024Q4</t>
        </is>
      </c>
      <c r="F3816" s="2" t="n">
        <v>17088</v>
      </c>
      <c r="G3816" t="inlineStr"/>
      <c r="H3816" t="inlineStr"/>
      <c r="I3816" s="2" t="n">
        <v>3298</v>
      </c>
      <c r="J3816" t="inlineStr"/>
      <c r="K3816" t="inlineStr"/>
      <c r="L3816" s="2" t="n">
        <v>2486</v>
      </c>
      <c r="M3816" t="inlineStr"/>
      <c r="N3816" t="inlineStr">
        <is>
          <t>20250122900099</t>
        </is>
      </c>
      <c r="O3816">
        <f>HYPERLINK("https://dart.fss.or.kr/dsaf001/main.do?rcpNo=20250122900099", "공시열람")</f>
        <v/>
      </c>
    </row>
    <row r="3817">
      <c r="A3817" t="inlineStr">
        <is>
          <t>2025-01-22</t>
        </is>
      </c>
      <c r="B3817" t="inlineStr">
        <is>
          <t>현대제철</t>
        </is>
      </c>
      <c r="C3817" t="inlineStr">
        <is>
          <t>004020</t>
        </is>
      </c>
      <c r="D3817" t="inlineStr">
        <is>
          <t>별도</t>
        </is>
      </c>
      <c r="E3817" t="inlineStr">
        <is>
          <t>2024Q4</t>
        </is>
      </c>
      <c r="F3817" s="2" t="n">
        <v>4483500</v>
      </c>
      <c r="G3817" t="n">
        <v>0.5</v>
      </c>
      <c r="H3817" t="n">
        <v>-8.5</v>
      </c>
      <c r="I3817" s="2" t="n">
        <v>700</v>
      </c>
      <c r="J3817" t="n">
        <v>-97.8</v>
      </c>
      <c r="K3817" t="inlineStr"/>
      <c r="L3817" s="2" t="n">
        <v>1800</v>
      </c>
      <c r="M3817" t="inlineStr"/>
      <c r="N3817" t="inlineStr">
        <is>
          <t>20250122800199</t>
        </is>
      </c>
      <c r="O3817">
        <f>HYPERLINK("https://dart.fss.or.kr/dsaf001/main.do?rcpNo=20250122800199", "공시열람")</f>
        <v/>
      </c>
    </row>
    <row r="3818">
      <c r="A3818" t="inlineStr">
        <is>
          <t>2025-01-22</t>
        </is>
      </c>
      <c r="B3818" t="inlineStr">
        <is>
          <t>LG디스플레이</t>
        </is>
      </c>
      <c r="C3818" t="inlineStr">
        <is>
          <t>034220</t>
        </is>
      </c>
      <c r="D3818" t="inlineStr">
        <is>
          <t>연결</t>
        </is>
      </c>
      <c r="E3818" t="inlineStr">
        <is>
          <t>2024Q4</t>
        </is>
      </c>
      <c r="F3818" s="2" t="n">
        <v>7832872</v>
      </c>
      <c r="G3818" t="n">
        <v>15</v>
      </c>
      <c r="H3818" t="n">
        <v>6</v>
      </c>
      <c r="I3818" s="2" t="n">
        <v>83108</v>
      </c>
      <c r="J3818" t="inlineStr"/>
      <c r="K3818" t="n">
        <v>-37</v>
      </c>
      <c r="L3818" s="2" t="n">
        <v>-839118</v>
      </c>
      <c r="M3818" t="inlineStr"/>
      <c r="N3818" t="inlineStr">
        <is>
          <t>20250122800194</t>
        </is>
      </c>
      <c r="O3818">
        <f>HYPERLINK("https://dart.fss.or.kr/dsaf001/main.do?rcpNo=20250122800194", "공시열람")</f>
        <v/>
      </c>
    </row>
    <row r="3819">
      <c r="A3819" t="inlineStr">
        <is>
          <t>2025-01-21</t>
        </is>
      </c>
      <c r="B3819" t="inlineStr">
        <is>
          <t>엘앤에프</t>
        </is>
      </c>
      <c r="C3819" t="inlineStr">
        <is>
          <t>066970</t>
        </is>
      </c>
      <c r="D3819" t="inlineStr">
        <is>
          <t>연결</t>
        </is>
      </c>
      <c r="E3819" t="inlineStr">
        <is>
          <t>2024Q4</t>
        </is>
      </c>
      <c r="F3819" s="2" t="n">
        <v>365350</v>
      </c>
      <c r="G3819" t="n">
        <v>3.9</v>
      </c>
      <c r="H3819" t="n">
        <v>-44.4</v>
      </c>
      <c r="I3819" s="2" t="n">
        <v>-149773</v>
      </c>
      <c r="J3819" t="n">
        <v>-106.8</v>
      </c>
      <c r="K3819" t="n">
        <v>46.6</v>
      </c>
      <c r="L3819" s="2" t="n">
        <v>-104457</v>
      </c>
      <c r="M3819" t="n">
        <v>63.3</v>
      </c>
      <c r="N3819" t="inlineStr">
        <is>
          <t>20250121800397</t>
        </is>
      </c>
      <c r="O3819">
        <f>HYPERLINK("https://dart.fss.or.kr/dsaf001/main.do?rcpNo=20250121800397", "공시열람")</f>
        <v/>
      </c>
    </row>
    <row r="3820">
      <c r="A3820" t="inlineStr">
        <is>
          <t>2025-01-21</t>
        </is>
      </c>
      <c r="B3820" t="inlineStr">
        <is>
          <t>지역난방공사</t>
        </is>
      </c>
      <c r="C3820" t="inlineStr">
        <is>
          <t>071320</t>
        </is>
      </c>
      <c r="D3820" t="inlineStr">
        <is>
          <t>별도</t>
        </is>
      </c>
      <c r="E3820" t="inlineStr">
        <is>
          <t>2024Q4</t>
        </is>
      </c>
      <c r="F3820" s="2" t="inlineStr"/>
      <c r="G3820" t="inlineStr"/>
      <c r="H3820" t="inlineStr"/>
      <c r="I3820" s="2" t="inlineStr"/>
      <c r="J3820" t="inlineStr"/>
      <c r="K3820" t="inlineStr"/>
      <c r="L3820" s="2" t="inlineStr"/>
      <c r="M3820" t="inlineStr"/>
      <c r="N3820" t="inlineStr">
        <is>
          <t>20250121800165</t>
        </is>
      </c>
      <c r="O3820">
        <f>HYPERLINK("https://dart.fss.or.kr/dsaf001/main.do?rcpNo=20250121800165", "공시열람")</f>
        <v/>
      </c>
    </row>
    <row r="3821">
      <c r="A3821" t="inlineStr">
        <is>
          <t>2025-01-20</t>
        </is>
      </c>
      <c r="B3821" t="inlineStr">
        <is>
          <t>조이시티</t>
        </is>
      </c>
      <c r="C3821" t="inlineStr">
        <is>
          <t>067000</t>
        </is>
      </c>
      <c r="D3821" t="inlineStr">
        <is>
          <t>연결</t>
        </is>
      </c>
      <c r="E3821" t="inlineStr">
        <is>
          <t>2024Q4</t>
        </is>
      </c>
      <c r="F3821" s="2" t="n">
        <v>33317</v>
      </c>
      <c r="G3821" t="inlineStr"/>
      <c r="H3821" t="inlineStr"/>
      <c r="I3821" s="2" t="n">
        <v>2344</v>
      </c>
      <c r="J3821" t="inlineStr"/>
      <c r="K3821" t="inlineStr"/>
      <c r="L3821" s="2" t="n">
        <v>-8917</v>
      </c>
      <c r="M3821" t="inlineStr"/>
      <c r="N3821" t="inlineStr">
        <is>
          <t>20250120900864</t>
        </is>
      </c>
      <c r="O3821">
        <f>HYPERLINK("https://dart.fss.or.kr/dsaf001/main.do?rcpNo=20250120900864", "공시열람")</f>
        <v/>
      </c>
    </row>
    <row r="3822">
      <c r="A3822" t="inlineStr">
        <is>
          <t>2025-01-20</t>
        </is>
      </c>
      <c r="B3822" t="inlineStr">
        <is>
          <t>진에어</t>
        </is>
      </c>
      <c r="C3822" t="inlineStr">
        <is>
          <t>272450</t>
        </is>
      </c>
      <c r="D3822" t="inlineStr">
        <is>
          <t>별도</t>
        </is>
      </c>
      <c r="E3822" t="inlineStr">
        <is>
          <t>2024Q4</t>
        </is>
      </c>
      <c r="F3822" s="2" t="n">
        <v>358224</v>
      </c>
      <c r="G3822" t="n">
        <v>-1.7</v>
      </c>
      <c r="H3822" t="n">
        <v>4.4</v>
      </c>
      <c r="I3822" s="2" t="n">
        <v>27157</v>
      </c>
      <c r="J3822" t="n">
        <v>-32.4</v>
      </c>
      <c r="K3822" t="n">
        <v>-42</v>
      </c>
      <c r="L3822" s="2" t="n">
        <v>-4398</v>
      </c>
      <c r="M3822" t="inlineStr"/>
      <c r="N3822" t="inlineStr">
        <is>
          <t>20250120800663</t>
        </is>
      </c>
      <c r="O3822">
        <f>HYPERLINK("https://dart.fss.or.kr/dsaf001/main.do?rcpNo=20250120800663", "공시열람")</f>
        <v/>
      </c>
    </row>
    <row r="3823">
      <c r="A3823" t="inlineStr">
        <is>
          <t>2025-01-20</t>
        </is>
      </c>
      <c r="B3823" t="inlineStr">
        <is>
          <t>HD현대일렉트릭</t>
        </is>
      </c>
      <c r="C3823" t="inlineStr">
        <is>
          <t>267260</t>
        </is>
      </c>
      <c r="D3823" t="inlineStr">
        <is>
          <t>연결</t>
        </is>
      </c>
      <c r="E3823" t="inlineStr">
        <is>
          <t>2024Q4</t>
        </is>
      </c>
      <c r="F3823" s="2" t="n">
        <v>815700</v>
      </c>
      <c r="G3823" t="n">
        <v>3.4</v>
      </c>
      <c r="H3823" t="n">
        <v>2.3</v>
      </c>
      <c r="I3823" s="2" t="n">
        <v>166300</v>
      </c>
      <c r="J3823" t="n">
        <v>1.5</v>
      </c>
      <c r="K3823" t="n">
        <v>33.4</v>
      </c>
      <c r="L3823" s="2" t="n">
        <v>123900</v>
      </c>
      <c r="M3823" t="n">
        <v>-10.9</v>
      </c>
      <c r="N3823" t="inlineStr">
        <is>
          <t>20250120800375</t>
        </is>
      </c>
      <c r="O3823">
        <f>HYPERLINK("https://dart.fss.or.kr/dsaf001/main.do?rcpNo=20250120800375", "공시열람")</f>
        <v/>
      </c>
    </row>
    <row r="3824">
      <c r="A3824" t="inlineStr">
        <is>
          <t>2025-01-17</t>
        </is>
      </c>
      <c r="B3824" t="inlineStr">
        <is>
          <t>삼성E&amp;A</t>
        </is>
      </c>
      <c r="C3824" t="inlineStr">
        <is>
          <t>028050</t>
        </is>
      </c>
      <c r="D3824" t="inlineStr">
        <is>
          <t>연결</t>
        </is>
      </c>
      <c r="E3824" t="inlineStr">
        <is>
          <t>2024Q4</t>
        </is>
      </c>
      <c r="F3824" s="2" t="n">
        <v>2578600</v>
      </c>
      <c r="G3824" t="n">
        <v>11.3</v>
      </c>
      <c r="H3824" t="n">
        <v>-8.800000000000001</v>
      </c>
      <c r="I3824" s="2" t="n">
        <v>295800</v>
      </c>
      <c r="J3824" t="n">
        <v>45.1</v>
      </c>
      <c r="K3824" t="n">
        <v>9.6</v>
      </c>
      <c r="L3824" s="2" t="inlineStr"/>
      <c r="M3824" t="inlineStr"/>
      <c r="N3824" t="inlineStr">
        <is>
          <t>20250117800002</t>
        </is>
      </c>
      <c r="O3824">
        <f>HYPERLINK("https://dart.fss.or.kr/dsaf001/main.do?rcpNo=20250117800002", "공시열람")</f>
        <v/>
      </c>
    </row>
    <row r="3825">
      <c r="A3825" t="inlineStr">
        <is>
          <t>2025-01-17</t>
        </is>
      </c>
      <c r="B3825" t="inlineStr">
        <is>
          <t>효성 ITX</t>
        </is>
      </c>
      <c r="C3825" t="inlineStr">
        <is>
          <t>094280</t>
        </is>
      </c>
      <c r="D3825" t="inlineStr">
        <is>
          <t>연결</t>
        </is>
      </c>
      <c r="E3825" t="inlineStr">
        <is>
          <t>2024Q4</t>
        </is>
      </c>
      <c r="F3825" s="2" t="n">
        <v>137672</v>
      </c>
      <c r="G3825" t="n">
        <v>13.12</v>
      </c>
      <c r="H3825" t="n">
        <v>2.53</v>
      </c>
      <c r="I3825" s="2" t="n">
        <v>5808</v>
      </c>
      <c r="J3825" t="n">
        <v>46.87</v>
      </c>
      <c r="K3825" t="n">
        <v>18.51</v>
      </c>
      <c r="L3825" s="2" t="n">
        <v>2928</v>
      </c>
      <c r="M3825" t="n">
        <v>-26.32</v>
      </c>
      <c r="N3825" t="inlineStr">
        <is>
          <t>20250117800648</t>
        </is>
      </c>
      <c r="O3825">
        <f>HYPERLINK("https://dart.fss.or.kr/dsaf001/main.do?rcpNo=20250117800648", "공시열람")</f>
        <v/>
      </c>
    </row>
    <row r="3826">
      <c r="A3826" t="inlineStr">
        <is>
          <t>2025-01-17</t>
        </is>
      </c>
      <c r="B3826" t="inlineStr">
        <is>
          <t>HD한국조선해양</t>
        </is>
      </c>
      <c r="C3826" t="inlineStr">
        <is>
          <t>009540</t>
        </is>
      </c>
      <c r="D3826" t="inlineStr">
        <is>
          <t>별도</t>
        </is>
      </c>
      <c r="E3826" t="inlineStr">
        <is>
          <t>2024Q4</t>
        </is>
      </c>
      <c r="F3826" s="2" t="inlineStr"/>
      <c r="G3826" t="inlineStr"/>
      <c r="H3826" t="inlineStr"/>
      <c r="I3826" s="2" t="inlineStr"/>
      <c r="J3826" t="inlineStr"/>
      <c r="K3826" t="inlineStr"/>
      <c r="L3826" s="2" t="inlineStr"/>
      <c r="M3826" t="inlineStr"/>
      <c r="N3826" t="inlineStr">
        <is>
          <t>20250117800637</t>
        </is>
      </c>
      <c r="O3826">
        <f>HYPERLINK("https://dart.fss.or.kr/dsaf001/main.do?rcpNo=20250117800637", "공시열람")</f>
        <v/>
      </c>
    </row>
    <row r="3827">
      <c r="A3827" t="inlineStr">
        <is>
          <t>2025-01-17</t>
        </is>
      </c>
      <c r="B3827" t="inlineStr">
        <is>
          <t>HD현대중공업</t>
        </is>
      </c>
      <c r="C3827" t="inlineStr">
        <is>
          <t>329180</t>
        </is>
      </c>
      <c r="D3827" t="inlineStr">
        <is>
          <t>별도</t>
        </is>
      </c>
      <c r="E3827" t="inlineStr">
        <is>
          <t>2024Q4</t>
        </is>
      </c>
      <c r="F3827" s="2" t="inlineStr"/>
      <c r="G3827" t="inlineStr"/>
      <c r="H3827" t="inlineStr"/>
      <c r="I3827" s="2" t="inlineStr"/>
      <c r="J3827" t="inlineStr"/>
      <c r="K3827" t="inlineStr"/>
      <c r="L3827" s="2" t="inlineStr"/>
      <c r="M3827" t="inlineStr"/>
      <c r="N3827" t="inlineStr">
        <is>
          <t>20250117800634</t>
        </is>
      </c>
      <c r="O3827">
        <f>HYPERLINK("https://dart.fss.or.kr/dsaf001/main.do?rcpNo=20250117800634", "공시열람")</f>
        <v/>
      </c>
    </row>
    <row r="3828">
      <c r="A3828" t="inlineStr">
        <is>
          <t>2025-01-14</t>
        </is>
      </c>
      <c r="B3828" t="inlineStr">
        <is>
          <t>서울반도체</t>
        </is>
      </c>
      <c r="C3828" t="inlineStr">
        <is>
          <t>046890</t>
        </is>
      </c>
      <c r="D3828" t="inlineStr">
        <is>
          <t>연결</t>
        </is>
      </c>
      <c r="E3828" t="inlineStr">
        <is>
          <t>2024Q4</t>
        </is>
      </c>
      <c r="F3828" s="2" t="n">
        <v>262622</v>
      </c>
      <c r="G3828" t="inlineStr"/>
      <c r="H3828" t="inlineStr"/>
      <c r="I3828" s="2" t="inlineStr"/>
      <c r="J3828" t="inlineStr"/>
      <c r="K3828" t="inlineStr"/>
      <c r="L3828" s="2" t="inlineStr"/>
      <c r="M3828" t="inlineStr"/>
      <c r="N3828" t="inlineStr">
        <is>
          <t>20250114900446</t>
        </is>
      </c>
      <c r="O3828">
        <f>HYPERLINK("https://dart.fss.or.kr/dsaf001/main.do?rcpNo=20250114900446", "공시열람")</f>
        <v/>
      </c>
    </row>
    <row r="3829">
      <c r="A3829" t="inlineStr">
        <is>
          <t>2025-01-13</t>
        </is>
      </c>
      <c r="B3829" t="inlineStr">
        <is>
          <t>서울바이오시스</t>
        </is>
      </c>
      <c r="C3829" t="inlineStr">
        <is>
          <t>092190</t>
        </is>
      </c>
      <c r="D3829" t="inlineStr">
        <is>
          <t>연결</t>
        </is>
      </c>
      <c r="E3829" t="inlineStr">
        <is>
          <t>2024Q4</t>
        </is>
      </c>
      <c r="F3829" s="2" t="n">
        <v>174744</v>
      </c>
      <c r="G3829" t="inlineStr"/>
      <c r="H3829" t="inlineStr"/>
      <c r="I3829" s="2" t="inlineStr"/>
      <c r="J3829" t="inlineStr"/>
      <c r="K3829" t="inlineStr"/>
      <c r="L3829" s="2" t="inlineStr"/>
      <c r="M3829" t="inlineStr"/>
      <c r="N3829" t="inlineStr">
        <is>
          <t>20250113900591</t>
        </is>
      </c>
      <c r="O3829">
        <f>HYPERLINK("https://dart.fss.or.kr/dsaf001/main.do?rcpNo=20250113900591", "공시열람")</f>
        <v/>
      </c>
    </row>
    <row r="3830">
      <c r="A3830" t="inlineStr">
        <is>
          <t>2025-01-13</t>
        </is>
      </c>
      <c r="B3830" t="inlineStr">
        <is>
          <t>일월지엠엘</t>
        </is>
      </c>
      <c r="C3830" t="inlineStr">
        <is>
          <t>178780</t>
        </is>
      </c>
      <c r="D3830" t="inlineStr">
        <is>
          <t>별도</t>
        </is>
      </c>
      <c r="E3830" t="inlineStr">
        <is>
          <t>2024Q4</t>
        </is>
      </c>
      <c r="F3830" s="2" t="n">
        <v>39374</v>
      </c>
      <c r="G3830" t="inlineStr"/>
      <c r="H3830" t="inlineStr"/>
      <c r="I3830" s="2" t="n">
        <v>4738</v>
      </c>
      <c r="J3830" t="inlineStr"/>
      <c r="K3830" t="inlineStr"/>
      <c r="L3830" s="2" t="n">
        <v>6519</v>
      </c>
      <c r="M3830" t="inlineStr"/>
      <c r="N3830" t="inlineStr">
        <is>
          <t>20250113900163</t>
        </is>
      </c>
      <c r="O3830">
        <f>HYPERLINK("https://dart.fss.or.kr/dsaf001/main.do?rcpNo=20250113900163", "공시열람")</f>
        <v/>
      </c>
    </row>
    <row r="3831">
      <c r="A3831" t="inlineStr">
        <is>
          <t>2025-01-10</t>
        </is>
      </c>
      <c r="B3831" t="inlineStr">
        <is>
          <t>이마트</t>
        </is>
      </c>
      <c r="C3831" t="inlineStr">
        <is>
          <t>139480</t>
        </is>
      </c>
      <c r="D3831" t="inlineStr">
        <is>
          <t>별도</t>
        </is>
      </c>
      <c r="E3831" t="inlineStr">
        <is>
          <t>2024Q4</t>
        </is>
      </c>
      <c r="F3831" s="2" t="n">
        <v>1316300</v>
      </c>
      <c r="G3831" t="n">
        <v>-2</v>
      </c>
      <c r="H3831" t="n">
        <v>-0</v>
      </c>
      <c r="I3831" s="2" t="inlineStr"/>
      <c r="J3831" t="inlineStr"/>
      <c r="K3831" t="inlineStr"/>
      <c r="L3831" s="2" t="inlineStr"/>
      <c r="M3831" t="inlineStr"/>
      <c r="N3831" t="inlineStr">
        <is>
          <t>20250110800162</t>
        </is>
      </c>
      <c r="O3831">
        <f>HYPERLINK("https://dart.fss.or.kr/dsaf001/main.do?rcpNo=20250110800162", "공시열람")</f>
        <v/>
      </c>
    </row>
    <row r="3832">
      <c r="A3832" t="inlineStr">
        <is>
          <t>2025-01-09</t>
        </is>
      </c>
      <c r="B3832" t="inlineStr">
        <is>
          <t>LG에너지솔루션</t>
        </is>
      </c>
      <c r="C3832" t="inlineStr">
        <is>
          <t>373220</t>
        </is>
      </c>
      <c r="D3832" t="inlineStr">
        <is>
          <t>연결</t>
        </is>
      </c>
      <c r="E3832" t="inlineStr">
        <is>
          <t>2024Q4</t>
        </is>
      </c>
      <c r="F3832" s="2" t="n">
        <v>6451200</v>
      </c>
      <c r="G3832" t="n">
        <v>-6.2</v>
      </c>
      <c r="H3832" t="n">
        <v>-19.4</v>
      </c>
      <c r="I3832" s="2" t="n">
        <v>-225500</v>
      </c>
      <c r="J3832" t="inlineStr"/>
      <c r="K3832" t="inlineStr"/>
      <c r="L3832" s="2" t="inlineStr"/>
      <c r="M3832" t="inlineStr"/>
      <c r="N3832" t="inlineStr">
        <is>
          <t>20250109800175</t>
        </is>
      </c>
      <c r="O3832">
        <f>HYPERLINK("https://dart.fss.or.kr/dsaf001/main.do?rcpNo=20250109800175", "공시열람")</f>
        <v/>
      </c>
    </row>
    <row r="3833">
      <c r="A3833" t="inlineStr">
        <is>
          <t>2025-01-09</t>
        </is>
      </c>
      <c r="B3833" t="inlineStr">
        <is>
          <t>광주신세계</t>
        </is>
      </c>
      <c r="C3833" t="inlineStr">
        <is>
          <t>037710</t>
        </is>
      </c>
      <c r="D3833" t="inlineStr">
        <is>
          <t>별도</t>
        </is>
      </c>
      <c r="E3833" t="inlineStr">
        <is>
          <t>2024Q4</t>
        </is>
      </c>
      <c r="F3833" s="2" t="n">
        <v>18751</v>
      </c>
      <c r="G3833" t="n">
        <v>6.1</v>
      </c>
      <c r="H3833" t="n">
        <v>12.3</v>
      </c>
      <c r="I3833" s="2" t="inlineStr"/>
      <c r="J3833" t="inlineStr"/>
      <c r="K3833" t="inlineStr"/>
      <c r="L3833" s="2" t="inlineStr"/>
      <c r="M3833" t="inlineStr"/>
      <c r="N3833" t="inlineStr">
        <is>
          <t>20250109800548</t>
        </is>
      </c>
      <c r="O3833">
        <f>HYPERLINK("https://dart.fss.or.kr/dsaf001/main.do?rcpNo=20250109800548", "공시열람")</f>
        <v/>
      </c>
    </row>
    <row r="3834">
      <c r="A3834" t="inlineStr">
        <is>
          <t>2025-01-09</t>
        </is>
      </c>
      <c r="B3834" t="inlineStr">
        <is>
          <t>신세계</t>
        </is>
      </c>
      <c r="C3834" t="inlineStr">
        <is>
          <t>004170</t>
        </is>
      </c>
      <c r="D3834" t="inlineStr">
        <is>
          <t>별도</t>
        </is>
      </c>
      <c r="E3834" t="inlineStr">
        <is>
          <t>2024Q4</t>
        </is>
      </c>
      <c r="F3834" s="2" t="n">
        <v>201171</v>
      </c>
      <c r="G3834" t="n">
        <v>17.71</v>
      </c>
      <c r="H3834" t="n">
        <v>5.7</v>
      </c>
      <c r="I3834" s="2" t="inlineStr"/>
      <c r="J3834" t="inlineStr"/>
      <c r="K3834" t="inlineStr"/>
      <c r="L3834" s="2" t="inlineStr"/>
      <c r="M3834" t="inlineStr"/>
      <c r="N3834" t="inlineStr">
        <is>
          <t>20250109800489</t>
        </is>
      </c>
      <c r="O3834">
        <f>HYPERLINK("https://dart.fss.or.kr/dsaf001/main.do?rcpNo=20250109800489", "공시열람")</f>
        <v/>
      </c>
    </row>
    <row r="3835">
      <c r="A3835" t="inlineStr">
        <is>
          <t>2025-01-09</t>
        </is>
      </c>
      <c r="B3835" t="inlineStr">
        <is>
          <t>한국가스공사</t>
        </is>
      </c>
      <c r="C3835" t="inlineStr">
        <is>
          <t>036460</t>
        </is>
      </c>
      <c r="D3835" t="inlineStr">
        <is>
          <t>별도</t>
        </is>
      </c>
      <c r="E3835" t="inlineStr">
        <is>
          <t>2024Q4</t>
        </is>
      </c>
      <c r="F3835" s="2" t="inlineStr"/>
      <c r="G3835" t="inlineStr"/>
      <c r="H3835" t="inlineStr"/>
      <c r="I3835" s="2" t="inlineStr"/>
      <c r="J3835" t="inlineStr"/>
      <c r="K3835" t="inlineStr"/>
      <c r="L3835" s="2" t="inlineStr"/>
      <c r="M3835" t="inlineStr"/>
      <c r="N3835" t="inlineStr">
        <is>
          <t>20250109800302</t>
        </is>
      </c>
      <c r="O3835">
        <f>HYPERLINK("https://dart.fss.or.kr/dsaf001/main.do?rcpNo=20250109800302", "공시열람")</f>
        <v/>
      </c>
    </row>
    <row r="3836">
      <c r="A3836" t="inlineStr">
        <is>
          <t>2025-01-08</t>
        </is>
      </c>
      <c r="B3836" t="inlineStr">
        <is>
          <t>삼성전자</t>
        </is>
      </c>
      <c r="C3836" t="inlineStr">
        <is>
          <t>005930</t>
        </is>
      </c>
      <c r="D3836" t="inlineStr">
        <is>
          <t>연결</t>
        </is>
      </c>
      <c r="E3836" t="inlineStr">
        <is>
          <t>2024Q4</t>
        </is>
      </c>
      <c r="F3836" s="2" t="n">
        <v>75</v>
      </c>
      <c r="G3836" t="n">
        <v>-5.18</v>
      </c>
      <c r="H3836" t="n">
        <v>10.65</v>
      </c>
      <c r="I3836" s="2" t="n">
        <v>6</v>
      </c>
      <c r="J3836" t="n">
        <v>-29.19</v>
      </c>
      <c r="K3836" t="n">
        <v>130.5</v>
      </c>
      <c r="L3836" s="2" t="inlineStr"/>
      <c r="M3836" t="inlineStr"/>
      <c r="N3836" t="inlineStr">
        <is>
          <t>20250108800024</t>
        </is>
      </c>
      <c r="O3836">
        <f>HYPERLINK("https://dart.fss.or.kr/dsaf001/main.do?rcpNo=20250108800024", "공시열람")</f>
        <v/>
      </c>
    </row>
    <row r="3837">
      <c r="A3837" t="inlineStr">
        <is>
          <t>2025-01-08</t>
        </is>
      </c>
      <c r="B3837" t="inlineStr">
        <is>
          <t>LG전자</t>
        </is>
      </c>
      <c r="C3837" t="inlineStr">
        <is>
          <t>066570</t>
        </is>
      </c>
      <c r="D3837" t="inlineStr">
        <is>
          <t>연결</t>
        </is>
      </c>
      <c r="E3837" t="inlineStr">
        <is>
          <t>2024Q4</t>
        </is>
      </c>
      <c r="F3837" s="2" t="n">
        <v>22777500</v>
      </c>
      <c r="G3837" t="inlineStr"/>
      <c r="H3837" t="inlineStr"/>
      <c r="I3837" s="2" t="n">
        <v>146100</v>
      </c>
      <c r="J3837" t="inlineStr"/>
      <c r="K3837" t="inlineStr"/>
      <c r="L3837" s="2" t="inlineStr"/>
      <c r="M3837" t="inlineStr"/>
      <c r="N3837" t="inlineStr">
        <is>
          <t>20250108800162</t>
        </is>
      </c>
      <c r="O3837">
        <f>HYPERLINK("https://dart.fss.or.kr/dsaf001/main.do?rcpNo=20250108800162", "공시열람")</f>
        <v/>
      </c>
    </row>
    <row r="3838">
      <c r="A3838" t="inlineStr">
        <is>
          <t>2025-01-03</t>
        </is>
      </c>
      <c r="B3838" t="inlineStr">
        <is>
          <t>기아</t>
        </is>
      </c>
      <c r="C3838" t="inlineStr">
        <is>
          <t>000270</t>
        </is>
      </c>
      <c r="D3838" t="inlineStr">
        <is>
          <t>별도</t>
        </is>
      </c>
      <c r="E3838" t="inlineStr">
        <is>
          <t>2024Q4</t>
        </is>
      </c>
      <c r="F3838" s="2" t="inlineStr"/>
      <c r="G3838" t="inlineStr"/>
      <c r="H3838" t="inlineStr"/>
      <c r="I3838" s="2" t="inlineStr"/>
      <c r="J3838" t="inlineStr"/>
      <c r="K3838" t="inlineStr"/>
      <c r="L3838" s="2" t="inlineStr"/>
      <c r="M3838" t="inlineStr"/>
      <c r="N3838" t="inlineStr">
        <is>
          <t>20250103800322</t>
        </is>
      </c>
      <c r="O3838">
        <f>HYPERLINK("https://dart.fss.or.kr/dsaf001/main.do?rcpNo=20250103800322", "공시열람")</f>
        <v/>
      </c>
    </row>
    <row r="3839">
      <c r="A3839" t="inlineStr">
        <is>
          <t>2025-01-03</t>
        </is>
      </c>
      <c r="B3839" t="inlineStr">
        <is>
          <t>KG모빌리티</t>
        </is>
      </c>
      <c r="C3839" t="inlineStr">
        <is>
          <t>003620</t>
        </is>
      </c>
      <c r="D3839" t="inlineStr">
        <is>
          <t>별도</t>
        </is>
      </c>
      <c r="E3839" t="inlineStr">
        <is>
          <t>2024Q4</t>
        </is>
      </c>
      <c r="F3839" s="2" t="inlineStr"/>
      <c r="G3839" t="inlineStr"/>
      <c r="H3839" t="inlineStr"/>
      <c r="I3839" s="2" t="inlineStr"/>
      <c r="J3839" t="inlineStr"/>
      <c r="K3839" t="inlineStr"/>
      <c r="L3839" s="2" t="inlineStr"/>
      <c r="M3839" t="inlineStr"/>
      <c r="N3839" t="inlineStr">
        <is>
          <t>20250103800334</t>
        </is>
      </c>
      <c r="O3839">
        <f>HYPERLINK("https://dart.fss.or.kr/dsaf001/main.do?rcpNo=20250103800334", "공시열람")</f>
        <v/>
      </c>
    </row>
    <row r="3840">
      <c r="A3840" t="inlineStr">
        <is>
          <t>2025-01-03</t>
        </is>
      </c>
      <c r="B3840" t="inlineStr">
        <is>
          <t>GKL</t>
        </is>
      </c>
      <c r="C3840" t="inlineStr">
        <is>
          <t>114090</t>
        </is>
      </c>
      <c r="D3840" t="inlineStr">
        <is>
          <t>별도</t>
        </is>
      </c>
      <c r="E3840" t="inlineStr">
        <is>
          <t>2024Q4</t>
        </is>
      </c>
      <c r="F3840" s="2" t="inlineStr"/>
      <c r="G3840" t="inlineStr"/>
      <c r="H3840" t="inlineStr"/>
      <c r="I3840" s="2" t="inlineStr"/>
      <c r="J3840" t="inlineStr"/>
      <c r="K3840" t="inlineStr"/>
      <c r="L3840" s="2" t="inlineStr"/>
      <c r="M3840" t="inlineStr"/>
      <c r="N3840" t="inlineStr">
        <is>
          <t>20250103800135</t>
        </is>
      </c>
      <c r="O3840">
        <f>HYPERLINK("https://dart.fss.or.kr/dsaf001/main.do?rcpNo=20250103800135", "공시열람")</f>
        <v/>
      </c>
    </row>
    <row r="3841">
      <c r="A3841" t="inlineStr">
        <is>
          <t>2025-01-03</t>
        </is>
      </c>
      <c r="B3841" t="inlineStr">
        <is>
          <t>현대자동차</t>
        </is>
      </c>
      <c r="C3841" t="inlineStr">
        <is>
          <t>005380</t>
        </is>
      </c>
      <c r="D3841" t="inlineStr">
        <is>
          <t>별도</t>
        </is>
      </c>
      <c r="E3841" t="inlineStr">
        <is>
          <t>2024Q4</t>
        </is>
      </c>
      <c r="F3841" s="2" t="inlineStr"/>
      <c r="G3841" t="inlineStr"/>
      <c r="H3841" t="inlineStr"/>
      <c r="I3841" s="2" t="inlineStr"/>
      <c r="J3841" t="inlineStr"/>
      <c r="K3841" t="inlineStr"/>
      <c r="L3841" s="2" t="inlineStr"/>
      <c r="M3841" t="inlineStr"/>
      <c r="N3841" t="inlineStr">
        <is>
          <t>20250103800472</t>
        </is>
      </c>
      <c r="O3841">
        <f>HYPERLINK("https://dart.fss.or.kr/dsaf001/main.do?rcpNo=20250103800472", "공시열람")</f>
        <v/>
      </c>
    </row>
    <row r="3842">
      <c r="A3842" t="inlineStr">
        <is>
          <t>2025-01-02</t>
        </is>
      </c>
      <c r="B3842" t="inlineStr">
        <is>
          <t>파라다이스</t>
        </is>
      </c>
      <c r="C3842" t="inlineStr">
        <is>
          <t>034230</t>
        </is>
      </c>
      <c r="D3842" t="inlineStr">
        <is>
          <t>연결</t>
        </is>
      </c>
      <c r="E3842" t="inlineStr">
        <is>
          <t>2024Q4</t>
        </is>
      </c>
      <c r="F3842" s="2" t="inlineStr"/>
      <c r="G3842" t="inlineStr"/>
      <c r="H3842" t="inlineStr"/>
      <c r="I3842" s="2" t="inlineStr"/>
      <c r="J3842" t="inlineStr"/>
      <c r="K3842" t="inlineStr"/>
      <c r="L3842" s="2" t="inlineStr"/>
      <c r="M3842" t="inlineStr"/>
      <c r="N3842" t="inlineStr">
        <is>
          <t>20250102800378</t>
        </is>
      </c>
      <c r="O3842">
        <f>HYPERLINK("https://dart.fss.or.kr/dsaf001/main.do?rcpNo=20250102800378", "공시열람")</f>
        <v/>
      </c>
    </row>
    <row r="3843">
      <c r="A3843" t="inlineStr">
        <is>
          <t>2025-01-02</t>
        </is>
      </c>
      <c r="B3843" t="inlineStr">
        <is>
          <t>롯데관광개발</t>
        </is>
      </c>
      <c r="C3843" t="inlineStr">
        <is>
          <t>032350</t>
        </is>
      </c>
      <c r="D3843" t="inlineStr">
        <is>
          <t>연결</t>
        </is>
      </c>
      <c r="E3843" t="inlineStr">
        <is>
          <t>2024Q4</t>
        </is>
      </c>
      <c r="F3843" s="2" t="inlineStr"/>
      <c r="G3843" t="inlineStr"/>
      <c r="H3843" t="inlineStr"/>
      <c r="I3843" s="2" t="inlineStr"/>
      <c r="J3843" t="inlineStr"/>
      <c r="K3843" t="inlineStr"/>
      <c r="L3843" s="2" t="inlineStr"/>
      <c r="M3843" t="inlineStr"/>
      <c r="N3843" t="inlineStr">
        <is>
          <t>20250102800350</t>
        </is>
      </c>
      <c r="O3843">
        <f>HYPERLINK("https://dart.fss.or.kr/dsaf001/main.do?rcpNo=20250102800350", "공시열람")</f>
        <v/>
      </c>
    </row>
    <row r="3844">
      <c r="A3844" t="inlineStr">
        <is>
          <t>2024-12-30</t>
        </is>
      </c>
      <c r="B3844" t="inlineStr">
        <is>
          <t>HD한국조선해양</t>
        </is>
      </c>
      <c r="C3844" t="inlineStr">
        <is>
          <t>009540</t>
        </is>
      </c>
      <c r="D3844" t="inlineStr">
        <is>
          <t>별도</t>
        </is>
      </c>
      <c r="E3844" t="inlineStr">
        <is>
          <t>2024Q4</t>
        </is>
      </c>
      <c r="F3844" s="2" t="n">
        <v>6999700</v>
      </c>
      <c r="G3844" t="n">
        <v>17.47</v>
      </c>
      <c r="H3844" t="inlineStr"/>
      <c r="I3844" s="2" t="inlineStr"/>
      <c r="J3844" t="inlineStr"/>
      <c r="K3844" t="inlineStr"/>
      <c r="L3844" s="2" t="inlineStr"/>
      <c r="M3844" t="inlineStr"/>
      <c r="N3844" t="inlineStr">
        <is>
          <t>20241230800712</t>
        </is>
      </c>
      <c r="O3844">
        <f>HYPERLINK("https://dart.fss.or.kr/dsaf001/main.do?rcpNo=20241230800712", "공시열람")</f>
        <v/>
      </c>
    </row>
    <row r="3845">
      <c r="A3845" t="inlineStr">
        <is>
          <t>2024-12-18</t>
        </is>
      </c>
      <c r="B3845" t="inlineStr">
        <is>
          <t>지역난방공사</t>
        </is>
      </c>
      <c r="C3845" t="inlineStr">
        <is>
          <t>071320</t>
        </is>
      </c>
      <c r="D3845" t="inlineStr">
        <is>
          <t>별도</t>
        </is>
      </c>
      <c r="E3845" t="inlineStr">
        <is>
          <t>2024Q3</t>
        </is>
      </c>
      <c r="F3845" s="2" t="inlineStr"/>
      <c r="G3845" t="inlineStr"/>
      <c r="H3845" t="inlineStr"/>
      <c r="I3845" s="2" t="inlineStr"/>
      <c r="J3845" t="inlineStr"/>
      <c r="K3845" t="inlineStr"/>
      <c r="L3845" s="2" t="inlineStr"/>
      <c r="M3845" t="inlineStr"/>
      <c r="N3845" t="inlineStr">
        <is>
          <t>20241218800036</t>
        </is>
      </c>
      <c r="O3845">
        <f>HYPERLINK("https://dart.fss.or.kr/dsaf001/main.do?rcpNo=20241218800036", "공시열람")</f>
        <v/>
      </c>
    </row>
    <row r="3846">
      <c r="A3846" t="inlineStr">
        <is>
          <t>2024-12-17</t>
        </is>
      </c>
      <c r="B3846" t="inlineStr">
        <is>
          <t>오리온</t>
        </is>
      </c>
      <c r="C3846" t="inlineStr">
        <is>
          <t>271560</t>
        </is>
      </c>
      <c r="D3846" t="inlineStr">
        <is>
          <t>연결</t>
        </is>
      </c>
      <c r="E3846" t="inlineStr">
        <is>
          <t>2024Q3</t>
        </is>
      </c>
      <c r="F3846" s="2" t="inlineStr"/>
      <c r="G3846" t="inlineStr"/>
      <c r="H3846" t="inlineStr"/>
      <c r="I3846" s="2" t="inlineStr"/>
      <c r="J3846" t="inlineStr"/>
      <c r="K3846" t="inlineStr"/>
      <c r="L3846" s="2" t="inlineStr"/>
      <c r="M3846" t="inlineStr"/>
      <c r="N3846" t="inlineStr">
        <is>
          <t>20241217800094</t>
        </is>
      </c>
      <c r="O3846">
        <f>HYPERLINK("https://dart.fss.or.kr/dsaf001/main.do?rcpNo=20241217800094", "공시열람")</f>
        <v/>
      </c>
    </row>
    <row r="3847">
      <c r="A3847" t="inlineStr">
        <is>
          <t>2024-12-17</t>
        </is>
      </c>
      <c r="B3847" t="inlineStr">
        <is>
          <t>HD한국조선해양</t>
        </is>
      </c>
      <c r="C3847" t="inlineStr">
        <is>
          <t>009540</t>
        </is>
      </c>
      <c r="D3847" t="inlineStr">
        <is>
          <t>별도</t>
        </is>
      </c>
      <c r="E3847" t="inlineStr">
        <is>
          <t>2024Q3</t>
        </is>
      </c>
      <c r="F3847" s="2" t="n">
        <v>613362</v>
      </c>
      <c r="G3847" t="n">
        <v>7.56</v>
      </c>
      <c r="H3847" t="n">
        <v>6.82</v>
      </c>
      <c r="I3847" s="2" t="inlineStr"/>
      <c r="J3847" t="inlineStr"/>
      <c r="K3847" t="inlineStr"/>
      <c r="L3847" s="2" t="inlineStr"/>
      <c r="M3847" t="inlineStr"/>
      <c r="N3847" t="inlineStr">
        <is>
          <t>20241217800408</t>
        </is>
      </c>
      <c r="O3847">
        <f>HYPERLINK("https://dart.fss.or.kr/dsaf001/main.do?rcpNo=20241217800408", "공시열람")</f>
        <v/>
      </c>
    </row>
    <row r="3848">
      <c r="A3848" t="inlineStr">
        <is>
          <t>2024-12-17</t>
        </is>
      </c>
      <c r="B3848" t="inlineStr">
        <is>
          <t>HD현대중공업</t>
        </is>
      </c>
      <c r="C3848" t="inlineStr">
        <is>
          <t>329180</t>
        </is>
      </c>
      <c r="D3848" t="inlineStr">
        <is>
          <t>별도</t>
        </is>
      </c>
      <c r="E3848" t="inlineStr">
        <is>
          <t>2024Q3</t>
        </is>
      </c>
      <c r="F3848" s="2" t="n">
        <v>1451169</v>
      </c>
      <c r="G3848" t="n">
        <v>19.2</v>
      </c>
      <c r="H3848" t="n">
        <v>30.43</v>
      </c>
      <c r="I3848" s="2" t="inlineStr"/>
      <c r="J3848" t="inlineStr"/>
      <c r="K3848" t="inlineStr"/>
      <c r="L3848" s="2" t="inlineStr"/>
      <c r="M3848" t="inlineStr"/>
      <c r="N3848" t="inlineStr">
        <is>
          <t>20241217800394</t>
        </is>
      </c>
      <c r="O3848">
        <f>HYPERLINK("https://dart.fss.or.kr/dsaf001/main.do?rcpNo=20241217800394", "공시열람")</f>
        <v/>
      </c>
    </row>
    <row r="3849">
      <c r="A3849" t="inlineStr">
        <is>
          <t>2024-12-12</t>
        </is>
      </c>
      <c r="B3849" t="inlineStr">
        <is>
          <t>한국가스공사</t>
        </is>
      </c>
      <c r="C3849" t="inlineStr">
        <is>
          <t>036460</t>
        </is>
      </c>
      <c r="D3849" t="inlineStr">
        <is>
          <t>별도</t>
        </is>
      </c>
      <c r="E3849" t="inlineStr">
        <is>
          <t>2024Q3</t>
        </is>
      </c>
      <c r="F3849" s="2" t="inlineStr"/>
      <c r="G3849" t="inlineStr"/>
      <c r="H3849" t="inlineStr"/>
      <c r="I3849" s="2" t="inlineStr"/>
      <c r="J3849" t="inlineStr"/>
      <c r="K3849" t="inlineStr"/>
      <c r="L3849" s="2" t="inlineStr"/>
      <c r="M3849" t="inlineStr"/>
      <c r="N3849" t="inlineStr">
        <is>
          <t>20241212800324</t>
        </is>
      </c>
      <c r="O3849">
        <f>HYPERLINK("https://dart.fss.or.kr/dsaf001/main.do?rcpNo=20241212800324", "공시열람")</f>
        <v/>
      </c>
    </row>
    <row r="3850">
      <c r="A3850" t="inlineStr">
        <is>
          <t>2024-12-10</t>
        </is>
      </c>
      <c r="B3850" t="inlineStr">
        <is>
          <t>이마트</t>
        </is>
      </c>
      <c r="C3850" t="inlineStr">
        <is>
          <t>139480</t>
        </is>
      </c>
      <c r="D3850" t="inlineStr">
        <is>
          <t>별도</t>
        </is>
      </c>
      <c r="E3850" t="inlineStr">
        <is>
          <t>2024Q3</t>
        </is>
      </c>
      <c r="F3850" s="2" t="n">
        <v>1343700</v>
      </c>
      <c r="G3850" t="n">
        <v>8.4</v>
      </c>
      <c r="H3850" t="n">
        <v>10.9</v>
      </c>
      <c r="I3850" s="2" t="inlineStr"/>
      <c r="J3850" t="inlineStr"/>
      <c r="K3850" t="inlineStr"/>
      <c r="L3850" s="2" t="inlineStr"/>
      <c r="M3850" t="inlineStr"/>
      <c r="N3850" t="inlineStr">
        <is>
          <t>20241210800218</t>
        </is>
      </c>
      <c r="O3850">
        <f>HYPERLINK("https://dart.fss.or.kr/dsaf001/main.do?rcpNo=20241210800218", "공시열람")</f>
        <v/>
      </c>
    </row>
    <row r="3851">
      <c r="A3851" t="inlineStr">
        <is>
          <t>2024-12-10</t>
        </is>
      </c>
      <c r="B3851" t="inlineStr">
        <is>
          <t>신세계</t>
        </is>
      </c>
      <c r="C3851" t="inlineStr">
        <is>
          <t>004170</t>
        </is>
      </c>
      <c r="D3851" t="inlineStr">
        <is>
          <t>별도</t>
        </is>
      </c>
      <c r="E3851" t="inlineStr">
        <is>
          <t>2024Q3</t>
        </is>
      </c>
      <c r="F3851" s="2" t="n">
        <v>170902</v>
      </c>
      <c r="G3851" t="n">
        <v>2.55</v>
      </c>
      <c r="H3851" t="n">
        <v>3.53</v>
      </c>
      <c r="I3851" s="2" t="inlineStr"/>
      <c r="J3851" t="inlineStr"/>
      <c r="K3851" t="inlineStr"/>
      <c r="L3851" s="2" t="inlineStr"/>
      <c r="M3851" t="inlineStr"/>
      <c r="N3851" t="inlineStr">
        <is>
          <t>20241210800513</t>
        </is>
      </c>
      <c r="O3851">
        <f>HYPERLINK("https://dart.fss.or.kr/dsaf001/main.do?rcpNo=20241210800513", "공시열람")</f>
        <v/>
      </c>
    </row>
    <row r="3852">
      <c r="A3852" t="inlineStr">
        <is>
          <t>2024-12-10</t>
        </is>
      </c>
      <c r="B3852" t="inlineStr">
        <is>
          <t>광주신세계</t>
        </is>
      </c>
      <c r="C3852" t="inlineStr">
        <is>
          <t>037710</t>
        </is>
      </c>
      <c r="D3852" t="inlineStr">
        <is>
          <t>별도</t>
        </is>
      </c>
      <c r="E3852" t="inlineStr">
        <is>
          <t>2024Q3</t>
        </is>
      </c>
      <c r="F3852" s="2" t="n">
        <v>17667</v>
      </c>
      <c r="G3852" t="n">
        <v>5.2</v>
      </c>
      <c r="H3852" t="n">
        <v>11.1</v>
      </c>
      <c r="I3852" s="2" t="inlineStr"/>
      <c r="J3852" t="inlineStr"/>
      <c r="K3852" t="inlineStr"/>
      <c r="L3852" s="2" t="inlineStr"/>
      <c r="M3852" t="inlineStr"/>
      <c r="N3852" t="inlineStr">
        <is>
          <t>20241210800715</t>
        </is>
      </c>
      <c r="O3852">
        <f>HYPERLINK("https://dart.fss.or.kr/dsaf001/main.do?rcpNo=20241210800715", "공시열람")</f>
        <v/>
      </c>
    </row>
    <row r="3853">
      <c r="A3853" t="inlineStr">
        <is>
          <t>2024-12-03</t>
        </is>
      </c>
      <c r="B3853" t="inlineStr">
        <is>
          <t>GKL</t>
        </is>
      </c>
      <c r="C3853" t="inlineStr">
        <is>
          <t>114090</t>
        </is>
      </c>
      <c r="D3853" t="inlineStr">
        <is>
          <t>별도</t>
        </is>
      </c>
      <c r="E3853" t="inlineStr">
        <is>
          <t>2024Q3</t>
        </is>
      </c>
      <c r="F3853" s="2" t="inlineStr"/>
      <c r="G3853" t="inlineStr"/>
      <c r="H3853" t="inlineStr"/>
      <c r="I3853" s="2" t="inlineStr"/>
      <c r="J3853" t="inlineStr"/>
      <c r="K3853" t="inlineStr"/>
      <c r="L3853" s="2" t="inlineStr"/>
      <c r="M3853" t="inlineStr"/>
      <c r="N3853" t="inlineStr">
        <is>
          <t>20241203800189</t>
        </is>
      </c>
      <c r="O3853">
        <f>HYPERLINK("https://dart.fss.or.kr/dsaf001/main.do?rcpNo=20241203800189", "공시열람")</f>
        <v/>
      </c>
    </row>
    <row r="3854">
      <c r="A3854" t="inlineStr">
        <is>
          <t>2024-12-03</t>
        </is>
      </c>
      <c r="B3854" t="inlineStr">
        <is>
          <t>파라다이스</t>
        </is>
      </c>
      <c r="C3854" t="inlineStr">
        <is>
          <t>034230</t>
        </is>
      </c>
      <c r="D3854" t="inlineStr">
        <is>
          <t>연결</t>
        </is>
      </c>
      <c r="E3854" t="inlineStr">
        <is>
          <t>2024Q3</t>
        </is>
      </c>
      <c r="F3854" s="2" t="inlineStr"/>
      <c r="G3854" t="inlineStr"/>
      <c r="H3854" t="inlineStr"/>
      <c r="I3854" s="2" t="inlineStr"/>
      <c r="J3854" t="inlineStr"/>
      <c r="K3854" t="inlineStr"/>
      <c r="L3854" s="2" t="inlineStr"/>
      <c r="M3854" t="inlineStr"/>
      <c r="N3854" t="inlineStr">
        <is>
          <t>20241203800111</t>
        </is>
      </c>
      <c r="O3854">
        <f>HYPERLINK("https://dart.fss.or.kr/dsaf001/main.do?rcpNo=20241203800111", "공시열람")</f>
        <v/>
      </c>
    </row>
    <row r="3855">
      <c r="A3855" t="inlineStr">
        <is>
          <t>2024-12-02</t>
        </is>
      </c>
      <c r="B3855" t="inlineStr">
        <is>
          <t>현대자동차</t>
        </is>
      </c>
      <c r="C3855" t="inlineStr">
        <is>
          <t>005380</t>
        </is>
      </c>
      <c r="D3855" t="inlineStr">
        <is>
          <t>별도</t>
        </is>
      </c>
      <c r="E3855" t="inlineStr">
        <is>
          <t>2024Q3</t>
        </is>
      </c>
      <c r="F3855" s="2" t="inlineStr"/>
      <c r="G3855" t="inlineStr"/>
      <c r="H3855" t="inlineStr"/>
      <c r="I3855" s="2" t="inlineStr"/>
      <c r="J3855" t="inlineStr"/>
      <c r="K3855" t="inlineStr"/>
      <c r="L3855" s="2" t="inlineStr"/>
      <c r="M3855" t="inlineStr"/>
      <c r="N3855" t="inlineStr">
        <is>
          <t>20241202800350</t>
        </is>
      </c>
      <c r="O3855">
        <f>HYPERLINK("https://dart.fss.or.kr/dsaf001/main.do?rcpNo=20241202800350", "공시열람")</f>
        <v/>
      </c>
    </row>
    <row r="3856">
      <c r="A3856" t="inlineStr">
        <is>
          <t>2024-12-02</t>
        </is>
      </c>
      <c r="B3856" t="inlineStr">
        <is>
          <t>KG모빌리티</t>
        </is>
      </c>
      <c r="C3856" t="inlineStr">
        <is>
          <t>003620</t>
        </is>
      </c>
      <c r="D3856" t="inlineStr">
        <is>
          <t>별도</t>
        </is>
      </c>
      <c r="E3856" t="inlineStr">
        <is>
          <t>2024Q3</t>
        </is>
      </c>
      <c r="F3856" s="2" t="inlineStr"/>
      <c r="G3856" t="inlineStr"/>
      <c r="H3856" t="inlineStr"/>
      <c r="I3856" s="2" t="inlineStr"/>
      <c r="J3856" t="inlineStr"/>
      <c r="K3856" t="inlineStr"/>
      <c r="L3856" s="2" t="inlineStr"/>
      <c r="M3856" t="inlineStr"/>
      <c r="N3856" t="inlineStr">
        <is>
          <t>20241202800218</t>
        </is>
      </c>
      <c r="O3856">
        <f>HYPERLINK("https://dart.fss.or.kr/dsaf001/main.do?rcpNo=20241202800218", "공시열람")</f>
        <v/>
      </c>
    </row>
    <row r="3857">
      <c r="A3857" t="inlineStr">
        <is>
          <t>2024-12-02</t>
        </is>
      </c>
      <c r="B3857" t="inlineStr">
        <is>
          <t>롯데관광개발</t>
        </is>
      </c>
      <c r="C3857" t="inlineStr">
        <is>
          <t>032350</t>
        </is>
      </c>
      <c r="D3857" t="inlineStr">
        <is>
          <t>연결</t>
        </is>
      </c>
      <c r="E3857" t="inlineStr">
        <is>
          <t>2024Q3</t>
        </is>
      </c>
      <c r="F3857" s="2" t="inlineStr"/>
      <c r="G3857" t="inlineStr"/>
      <c r="H3857" t="inlineStr"/>
      <c r="I3857" s="2" t="inlineStr"/>
      <c r="J3857" t="inlineStr"/>
      <c r="K3857" t="inlineStr"/>
      <c r="L3857" s="2" t="inlineStr"/>
      <c r="M3857" t="inlineStr"/>
      <c r="N3857" t="inlineStr">
        <is>
          <t>20241202800276</t>
        </is>
      </c>
      <c r="O3857">
        <f>HYPERLINK("https://dart.fss.or.kr/dsaf001/main.do?rcpNo=20241202800276", "공시열람")</f>
        <v/>
      </c>
    </row>
    <row r="3858">
      <c r="A3858" t="inlineStr">
        <is>
          <t>2024-12-02</t>
        </is>
      </c>
      <c r="B3858" t="inlineStr">
        <is>
          <t>기아</t>
        </is>
      </c>
      <c r="C3858" t="inlineStr">
        <is>
          <t>000270</t>
        </is>
      </c>
      <c r="D3858" t="inlineStr">
        <is>
          <t>별도</t>
        </is>
      </c>
      <c r="E3858" t="inlineStr">
        <is>
          <t>2024Q3</t>
        </is>
      </c>
      <c r="F3858" s="2" t="inlineStr"/>
      <c r="G3858" t="inlineStr"/>
      <c r="H3858" t="inlineStr"/>
      <c r="I3858" s="2" t="inlineStr"/>
      <c r="J3858" t="inlineStr"/>
      <c r="K3858" t="inlineStr"/>
      <c r="L3858" s="2" t="inlineStr"/>
      <c r="M3858" t="inlineStr"/>
      <c r="N3858" t="inlineStr">
        <is>
          <t>20241202800308</t>
        </is>
      </c>
      <c r="O3858">
        <f>HYPERLINK("https://dart.fss.or.kr/dsaf001/main.do?rcpNo=20241202800308", "공시열람")</f>
        <v/>
      </c>
    </row>
    <row r="3859">
      <c r="A3859" t="inlineStr">
        <is>
          <t>2024-11-28</t>
        </is>
      </c>
      <c r="B3859" t="inlineStr">
        <is>
          <t>노머스</t>
        </is>
      </c>
      <c r="C3859" t="inlineStr">
        <is>
          <t>473980</t>
        </is>
      </c>
      <c r="D3859" t="inlineStr">
        <is>
          <t>연결</t>
        </is>
      </c>
      <c r="E3859" t="inlineStr">
        <is>
          <t>2024Q3</t>
        </is>
      </c>
      <c r="F3859" s="2" t="n">
        <v>26397</v>
      </c>
      <c r="G3859" t="inlineStr"/>
      <c r="H3859" t="inlineStr"/>
      <c r="I3859" s="2" t="n">
        <v>3738</v>
      </c>
      <c r="J3859" t="inlineStr"/>
      <c r="K3859" t="inlineStr"/>
      <c r="L3859" s="2" t="n">
        <v>4005</v>
      </c>
      <c r="M3859" t="inlineStr"/>
      <c r="N3859" t="inlineStr">
        <is>
          <t>20241128900409</t>
        </is>
      </c>
      <c r="O3859">
        <f>HYPERLINK("https://dart.fss.or.kr/dsaf001/main.do?rcpNo=20241128900409", "공시열람")</f>
        <v/>
      </c>
    </row>
    <row r="3860">
      <c r="A3860" t="inlineStr">
        <is>
          <t>2024-11-20</t>
        </is>
      </c>
      <c r="B3860" t="inlineStr">
        <is>
          <t>지역난방공사</t>
        </is>
      </c>
      <c r="C3860" t="inlineStr">
        <is>
          <t>071320</t>
        </is>
      </c>
      <c r="D3860" t="inlineStr">
        <is>
          <t>별도</t>
        </is>
      </c>
      <c r="E3860" t="inlineStr">
        <is>
          <t>2024Q3</t>
        </is>
      </c>
      <c r="F3860" s="2" t="inlineStr"/>
      <c r="G3860" t="inlineStr"/>
      <c r="H3860" t="inlineStr"/>
      <c r="I3860" s="2" t="inlineStr"/>
      <c r="J3860" t="inlineStr"/>
      <c r="K3860" t="inlineStr"/>
      <c r="L3860" s="2" t="inlineStr"/>
      <c r="M3860" t="inlineStr"/>
      <c r="N3860" t="inlineStr">
        <is>
          <t>20241120800054</t>
        </is>
      </c>
      <c r="O3860">
        <f>HYPERLINK("https://dart.fss.or.kr/dsaf001/main.do?rcpNo=20241120800054", "공시열람")</f>
        <v/>
      </c>
    </row>
    <row r="3861">
      <c r="A3861" t="inlineStr">
        <is>
          <t>2024-11-19</t>
        </is>
      </c>
      <c r="B3861" t="inlineStr">
        <is>
          <t>HD한국조선해양</t>
        </is>
      </c>
      <c r="C3861" t="inlineStr">
        <is>
          <t>009540</t>
        </is>
      </c>
      <c r="D3861" t="inlineStr">
        <is>
          <t>별도</t>
        </is>
      </c>
      <c r="E3861" t="inlineStr">
        <is>
          <t>2024Q3</t>
        </is>
      </c>
      <c r="F3861" s="2" t="n">
        <v>570276</v>
      </c>
      <c r="G3861" t="n">
        <v>4.29</v>
      </c>
      <c r="H3861" t="n">
        <v>-0.14</v>
      </c>
      <c r="I3861" s="2" t="inlineStr"/>
      <c r="J3861" t="inlineStr"/>
      <c r="K3861" t="inlineStr"/>
      <c r="L3861" s="2" t="inlineStr"/>
      <c r="M3861" t="inlineStr"/>
      <c r="N3861" t="inlineStr">
        <is>
          <t>20241119800290</t>
        </is>
      </c>
      <c r="O3861">
        <f>HYPERLINK("https://dart.fss.or.kr/dsaf001/main.do?rcpNo=20241119800290", "공시열람")</f>
        <v/>
      </c>
    </row>
    <row r="3862">
      <c r="A3862" t="inlineStr">
        <is>
          <t>2024-11-19</t>
        </is>
      </c>
      <c r="B3862" t="inlineStr">
        <is>
          <t>오리온</t>
        </is>
      </c>
      <c r="C3862" t="inlineStr">
        <is>
          <t>271560</t>
        </is>
      </c>
      <c r="D3862" t="inlineStr">
        <is>
          <t>연결</t>
        </is>
      </c>
      <c r="E3862" t="inlineStr">
        <is>
          <t>2024Q3</t>
        </is>
      </c>
      <c r="F3862" s="2" t="inlineStr"/>
      <c r="G3862" t="inlineStr"/>
      <c r="H3862" t="inlineStr"/>
      <c r="I3862" s="2" t="inlineStr"/>
      <c r="J3862" t="inlineStr"/>
      <c r="K3862" t="inlineStr"/>
      <c r="L3862" s="2" t="inlineStr"/>
      <c r="M3862" t="inlineStr"/>
      <c r="N3862" t="inlineStr">
        <is>
          <t>20241119800076</t>
        </is>
      </c>
      <c r="O3862">
        <f>HYPERLINK("https://dart.fss.or.kr/dsaf001/main.do?rcpNo=20241119800076", "공시열람")</f>
        <v/>
      </c>
    </row>
    <row r="3863">
      <c r="A3863" t="inlineStr">
        <is>
          <t>2024-11-19</t>
        </is>
      </c>
      <c r="B3863" t="inlineStr">
        <is>
          <t>HD현대중공업</t>
        </is>
      </c>
      <c r="C3863" t="inlineStr">
        <is>
          <t>329180</t>
        </is>
      </c>
      <c r="D3863" t="inlineStr">
        <is>
          <t>별도</t>
        </is>
      </c>
      <c r="E3863" t="inlineStr">
        <is>
          <t>2024Q3</t>
        </is>
      </c>
      <c r="F3863" s="2" t="n">
        <v>1217463</v>
      </c>
      <c r="G3863" t="n">
        <v>-1</v>
      </c>
      <c r="H3863" t="n">
        <v>24.02</v>
      </c>
      <c r="I3863" s="2" t="inlineStr"/>
      <c r="J3863" t="inlineStr"/>
      <c r="K3863" t="inlineStr"/>
      <c r="L3863" s="2" t="inlineStr"/>
      <c r="M3863" t="inlineStr"/>
      <c r="N3863" t="inlineStr">
        <is>
          <t>20241119800286</t>
        </is>
      </c>
      <c r="O3863">
        <f>HYPERLINK("https://dart.fss.or.kr/dsaf001/main.do?rcpNo=20241119800286", "공시열람")</f>
        <v/>
      </c>
    </row>
    <row r="3864">
      <c r="A3864" t="inlineStr">
        <is>
          <t>2024-11-14</t>
        </is>
      </c>
      <c r="B3864" t="inlineStr">
        <is>
          <t>현대해상</t>
        </is>
      </c>
      <c r="C3864" t="inlineStr">
        <is>
          <t>001450</t>
        </is>
      </c>
      <c r="D3864" t="inlineStr">
        <is>
          <t>별도</t>
        </is>
      </c>
      <c r="E3864" t="inlineStr">
        <is>
          <t>2024Q3</t>
        </is>
      </c>
      <c r="F3864" s="2" t="n">
        <v>3739486</v>
      </c>
      <c r="G3864" t="n">
        <v>-11.8</v>
      </c>
      <c r="H3864" t="n">
        <v>-5.9</v>
      </c>
      <c r="I3864" s="2" t="n">
        <v>292662</v>
      </c>
      <c r="J3864" t="n">
        <v>-38.4</v>
      </c>
      <c r="K3864" t="n">
        <v>-26.1</v>
      </c>
      <c r="L3864" s="2" t="n">
        <v>213429</v>
      </c>
      <c r="M3864" t="n">
        <v>-26.2</v>
      </c>
      <c r="N3864" t="inlineStr">
        <is>
          <t>20241114801285</t>
        </is>
      </c>
      <c r="O3864">
        <f>HYPERLINK("https://dart.fss.or.kr/dsaf001/main.do?rcpNo=20241114801285", "공시열람")</f>
        <v/>
      </c>
    </row>
    <row r="3865">
      <c r="A3865" t="inlineStr">
        <is>
          <t>2024-11-14</t>
        </is>
      </c>
      <c r="B3865" t="inlineStr">
        <is>
          <t>이마트</t>
        </is>
      </c>
      <c r="C3865" t="inlineStr">
        <is>
          <t>139480</t>
        </is>
      </c>
      <c r="D3865" t="inlineStr">
        <is>
          <t>연결</t>
        </is>
      </c>
      <c r="E3865" t="inlineStr">
        <is>
          <t>2024Q3</t>
        </is>
      </c>
      <c r="F3865" s="2" t="n">
        <v>7508500</v>
      </c>
      <c r="G3865" t="n">
        <v>6.4</v>
      </c>
      <c r="H3865" t="n">
        <v>-2.6</v>
      </c>
      <c r="I3865" s="2" t="n">
        <v>111700</v>
      </c>
      <c r="J3865" t="inlineStr"/>
      <c r="K3865" t="n">
        <v>43.4</v>
      </c>
      <c r="L3865" s="2" t="n">
        <v>105400</v>
      </c>
      <c r="M3865" t="n">
        <v>423.9</v>
      </c>
      <c r="N3865" t="inlineStr">
        <is>
          <t>20241114800073</t>
        </is>
      </c>
      <c r="O3865">
        <f>HYPERLINK("https://dart.fss.or.kr/dsaf001/main.do?rcpNo=20241114800073", "공시열람")</f>
        <v/>
      </c>
    </row>
    <row r="3866">
      <c r="A3866" t="inlineStr">
        <is>
          <t>2024-11-14</t>
        </is>
      </c>
      <c r="B3866" t="inlineStr">
        <is>
          <t>LG</t>
        </is>
      </c>
      <c r="C3866" t="inlineStr">
        <is>
          <t>003550</t>
        </is>
      </c>
      <c r="D3866" t="inlineStr">
        <is>
          <t>연결</t>
        </is>
      </c>
      <c r="E3866" t="inlineStr">
        <is>
          <t>2024Q3</t>
        </is>
      </c>
      <c r="F3866" s="2" t="n">
        <v>1944212</v>
      </c>
      <c r="G3866" t="inlineStr"/>
      <c r="H3866" t="inlineStr"/>
      <c r="I3866" s="2" t="n">
        <v>476714</v>
      </c>
      <c r="J3866" t="inlineStr"/>
      <c r="K3866" t="inlineStr"/>
      <c r="L3866" s="2" t="n">
        <v>442895</v>
      </c>
      <c r="M3866" t="inlineStr"/>
      <c r="N3866" t="inlineStr">
        <is>
          <t>20241114800775</t>
        </is>
      </c>
      <c r="O3866">
        <f>HYPERLINK("https://dart.fss.or.kr/dsaf001/main.do?rcpNo=20241114800775", "공시열람")</f>
        <v/>
      </c>
    </row>
    <row r="3867">
      <c r="A3867" t="inlineStr">
        <is>
          <t>2024-11-14</t>
        </is>
      </c>
      <c r="B3867" t="inlineStr">
        <is>
          <t>삼성화재해상보험</t>
        </is>
      </c>
      <c r="C3867" t="inlineStr">
        <is>
          <t>000810</t>
        </is>
      </c>
      <c r="D3867" t="inlineStr">
        <is>
          <t>연결</t>
        </is>
      </c>
      <c r="E3867" t="inlineStr">
        <is>
          <t>2024Q3</t>
        </is>
      </c>
      <c r="F3867" s="2" t="n">
        <v>5325966</v>
      </c>
      <c r="G3867" t="n">
        <v>-3.6</v>
      </c>
      <c r="H3867" t="n">
        <v>0.5</v>
      </c>
      <c r="I3867" s="2" t="n">
        <v>717461</v>
      </c>
      <c r="J3867" t="n">
        <v>-8.300000000000001</v>
      </c>
      <c r="K3867" t="n">
        <v>25.2</v>
      </c>
      <c r="L3867" s="2" t="n">
        <v>554559</v>
      </c>
      <c r="M3867" t="n">
        <v>29.4</v>
      </c>
      <c r="N3867" t="inlineStr">
        <is>
          <t>20241114800006</t>
        </is>
      </c>
      <c r="O3867">
        <f>HYPERLINK("https://dart.fss.or.kr/dsaf001/main.do?rcpNo=20241114800006", "공시열람")</f>
        <v/>
      </c>
    </row>
    <row r="3868">
      <c r="A3868" t="inlineStr">
        <is>
          <t>2024-11-14</t>
        </is>
      </c>
      <c r="B3868" t="inlineStr">
        <is>
          <t>한국가스공사</t>
        </is>
      </c>
      <c r="C3868" t="inlineStr">
        <is>
          <t>036460</t>
        </is>
      </c>
      <c r="D3868" t="inlineStr">
        <is>
          <t>별도</t>
        </is>
      </c>
      <c r="E3868" t="inlineStr">
        <is>
          <t>2024Q3</t>
        </is>
      </c>
      <c r="F3868" s="2" t="inlineStr"/>
      <c r="G3868" t="inlineStr"/>
      <c r="H3868" t="inlineStr"/>
      <c r="I3868" s="2" t="inlineStr"/>
      <c r="J3868" t="inlineStr"/>
      <c r="K3868" t="inlineStr"/>
      <c r="L3868" s="2" t="inlineStr"/>
      <c r="M3868" t="inlineStr"/>
      <c r="N3868" t="inlineStr">
        <is>
          <t>20241114800640</t>
        </is>
      </c>
      <c r="O3868">
        <f>HYPERLINK("https://dart.fss.or.kr/dsaf001/main.do?rcpNo=20241114800640", "공시열람")</f>
        <v/>
      </c>
    </row>
    <row r="3869">
      <c r="A3869" t="inlineStr">
        <is>
          <t>2024-11-14</t>
        </is>
      </c>
      <c r="B3869" t="inlineStr">
        <is>
          <t>DB손해보험</t>
        </is>
      </c>
      <c r="C3869" t="inlineStr">
        <is>
          <t>005830</t>
        </is>
      </c>
      <c r="D3869" t="inlineStr">
        <is>
          <t>별도</t>
        </is>
      </c>
      <c r="E3869" t="inlineStr">
        <is>
          <t>2024Q3</t>
        </is>
      </c>
      <c r="F3869" s="2" t="n">
        <v>4366329</v>
      </c>
      <c r="G3869" t="n">
        <v>-6.8</v>
      </c>
      <c r="H3869" t="n">
        <v>-8.1</v>
      </c>
      <c r="I3869" s="2" t="n">
        <v>606109</v>
      </c>
      <c r="J3869" t="n">
        <v>-14.1</v>
      </c>
      <c r="K3869" t="n">
        <v>27.9</v>
      </c>
      <c r="L3869" s="2" t="n">
        <v>453867</v>
      </c>
      <c r="M3869" t="n">
        <v>24.9</v>
      </c>
      <c r="N3869" t="inlineStr">
        <is>
          <t>20241114800557</t>
        </is>
      </c>
      <c r="O3869">
        <f>HYPERLINK("https://dart.fss.or.kr/dsaf001/main.do?rcpNo=20241114800557", "공시열람")</f>
        <v/>
      </c>
    </row>
    <row r="3870">
      <c r="A3870" t="inlineStr">
        <is>
          <t>2024-11-14</t>
        </is>
      </c>
      <c r="B3870" t="inlineStr">
        <is>
          <t>이마트</t>
        </is>
      </c>
      <c r="C3870" t="inlineStr">
        <is>
          <t>139480</t>
        </is>
      </c>
      <c r="D3870" t="inlineStr">
        <is>
          <t>별도</t>
        </is>
      </c>
      <c r="E3870" t="inlineStr">
        <is>
          <t>2024Q3</t>
        </is>
      </c>
      <c r="F3870" s="2" t="n">
        <v>1239900</v>
      </c>
      <c r="G3870" t="n">
        <v>-17.2</v>
      </c>
      <c r="H3870" t="n">
        <v>5.9</v>
      </c>
      <c r="I3870" s="2" t="inlineStr"/>
      <c r="J3870" t="inlineStr"/>
      <c r="K3870" t="inlineStr"/>
      <c r="L3870" s="2" t="inlineStr"/>
      <c r="M3870" t="inlineStr"/>
      <c r="N3870" t="inlineStr">
        <is>
          <t>20241114800096</t>
        </is>
      </c>
      <c r="O3870">
        <f>HYPERLINK("https://dart.fss.or.kr/dsaf001/main.do?rcpNo=20241114800096", "공시열람")</f>
        <v/>
      </c>
    </row>
    <row r="3871">
      <c r="A3871" t="inlineStr">
        <is>
          <t>2024-11-14</t>
        </is>
      </c>
      <c r="B3871" t="inlineStr">
        <is>
          <t>코리안리</t>
        </is>
      </c>
      <c r="C3871" t="inlineStr">
        <is>
          <t>003690</t>
        </is>
      </c>
      <c r="D3871" t="inlineStr">
        <is>
          <t>별도</t>
        </is>
      </c>
      <c r="E3871" t="inlineStr">
        <is>
          <t>2024Q3</t>
        </is>
      </c>
      <c r="F3871" s="2" t="n">
        <v>1538232</v>
      </c>
      <c r="G3871" t="n">
        <v>-14</v>
      </c>
      <c r="H3871" t="n">
        <v>-10.3</v>
      </c>
      <c r="I3871" s="2" t="n">
        <v>80157</v>
      </c>
      <c r="J3871" t="n">
        <v>-34.4</v>
      </c>
      <c r="K3871" t="n">
        <v>124.3</v>
      </c>
      <c r="L3871" s="2" t="n">
        <v>67003</v>
      </c>
      <c r="M3871" t="n">
        <v>178.8</v>
      </c>
      <c r="N3871" t="inlineStr">
        <is>
          <t>20241114802550</t>
        </is>
      </c>
      <c r="O3871">
        <f>HYPERLINK("https://dart.fss.or.kr/dsaf001/main.do?rcpNo=20241114802550", "공시열람")</f>
        <v/>
      </c>
    </row>
    <row r="3872">
      <c r="A3872" t="inlineStr">
        <is>
          <t>2024-11-14</t>
        </is>
      </c>
      <c r="B3872" t="inlineStr">
        <is>
          <t>컴투스홀딩스</t>
        </is>
      </c>
      <c r="C3872" t="inlineStr">
        <is>
          <t>063080</t>
        </is>
      </c>
      <c r="D3872" t="inlineStr">
        <is>
          <t>연결</t>
        </is>
      </c>
      <c r="E3872" t="inlineStr">
        <is>
          <t>2024Q3</t>
        </is>
      </c>
      <c r="F3872" s="2" t="n">
        <v>45207</v>
      </c>
      <c r="G3872" t="inlineStr"/>
      <c r="H3872" t="inlineStr"/>
      <c r="I3872" s="2" t="n">
        <v>-6370</v>
      </c>
      <c r="J3872" t="inlineStr"/>
      <c r="K3872" t="inlineStr"/>
      <c r="L3872" s="2" t="n">
        <v>-11116</v>
      </c>
      <c r="M3872" t="inlineStr"/>
      <c r="N3872" t="inlineStr">
        <is>
          <t>20241114902707</t>
        </is>
      </c>
      <c r="O3872">
        <f>HYPERLINK("https://dart.fss.or.kr/dsaf001/main.do?rcpNo=20241114902707", "공시열람")</f>
        <v/>
      </c>
    </row>
    <row r="3873">
      <c r="A3873" t="inlineStr">
        <is>
          <t>2024-11-13</t>
        </is>
      </c>
      <c r="B3873" t="inlineStr">
        <is>
          <t>미투온</t>
        </is>
      </c>
      <c r="C3873" t="inlineStr">
        <is>
          <t>201490</t>
        </is>
      </c>
      <c r="D3873" t="inlineStr">
        <is>
          <t>연결</t>
        </is>
      </c>
      <c r="E3873" t="inlineStr">
        <is>
          <t>2024Q3</t>
        </is>
      </c>
      <c r="F3873" s="2" t="n">
        <v>22155</v>
      </c>
      <c r="G3873" t="inlineStr"/>
      <c r="H3873" t="inlineStr"/>
      <c r="I3873" s="2" t="n">
        <v>2240</v>
      </c>
      <c r="J3873" t="inlineStr"/>
      <c r="K3873" t="inlineStr"/>
      <c r="L3873" s="2" t="n">
        <v>2677</v>
      </c>
      <c r="M3873" t="inlineStr"/>
      <c r="N3873" t="inlineStr">
        <is>
          <t>20241113900886</t>
        </is>
      </c>
      <c r="O3873">
        <f>HYPERLINK("https://dart.fss.or.kr/dsaf001/main.do?rcpNo=20241113900886", "공시열람")</f>
        <v/>
      </c>
    </row>
    <row r="3874">
      <c r="A3874" t="inlineStr">
        <is>
          <t>2024-11-13</t>
        </is>
      </c>
      <c r="B3874" t="inlineStr">
        <is>
          <t>광동제약</t>
        </is>
      </c>
      <c r="C3874" t="inlineStr">
        <is>
          <t>009290</t>
        </is>
      </c>
      <c r="D3874" t="inlineStr">
        <is>
          <t>연결</t>
        </is>
      </c>
      <c r="E3874" t="inlineStr">
        <is>
          <t>2024Q3</t>
        </is>
      </c>
      <c r="F3874" s="2" t="n">
        <v>424589</v>
      </c>
      <c r="G3874" t="n">
        <v>2.9</v>
      </c>
      <c r="H3874" t="n">
        <v>6.7</v>
      </c>
      <c r="I3874" s="2" t="n">
        <v>1372</v>
      </c>
      <c r="J3874" t="n">
        <v>-72.8</v>
      </c>
      <c r="K3874" t="n">
        <v>-87.59999999999999</v>
      </c>
      <c r="L3874" s="2" t="n">
        <v>8954</v>
      </c>
      <c r="M3874" t="n">
        <v>-3.9</v>
      </c>
      <c r="N3874" t="inlineStr">
        <is>
          <t>20241113800877</t>
        </is>
      </c>
      <c r="O3874">
        <f>HYPERLINK("https://dart.fss.or.kr/dsaf001/main.do?rcpNo=20241113800877", "공시열람")</f>
        <v/>
      </c>
    </row>
    <row r="3875">
      <c r="A3875" t="inlineStr">
        <is>
          <t>2024-11-13</t>
        </is>
      </c>
      <c r="B3875" t="inlineStr">
        <is>
          <t>한온시스템</t>
        </is>
      </c>
      <c r="C3875" t="inlineStr">
        <is>
          <t>018880</t>
        </is>
      </c>
      <c r="D3875" t="inlineStr">
        <is>
          <t>연결</t>
        </is>
      </c>
      <c r="E3875" t="inlineStr">
        <is>
          <t>2024Q3</t>
        </is>
      </c>
      <c r="F3875" s="2" t="n">
        <v>2499779</v>
      </c>
      <c r="G3875" t="inlineStr"/>
      <c r="H3875" t="inlineStr"/>
      <c r="I3875" s="2" t="n">
        <v>93717</v>
      </c>
      <c r="J3875" t="inlineStr"/>
      <c r="K3875" t="inlineStr"/>
      <c r="L3875" s="2" t="n">
        <v>-19424</v>
      </c>
      <c r="M3875" t="inlineStr"/>
      <c r="N3875" t="inlineStr">
        <is>
          <t>20241113800229</t>
        </is>
      </c>
      <c r="O3875">
        <f>HYPERLINK("https://dart.fss.or.kr/dsaf001/main.do?rcpNo=20241113800229", "공시열람")</f>
        <v/>
      </c>
    </row>
    <row r="3876">
      <c r="A3876" t="inlineStr">
        <is>
          <t>2024-11-13</t>
        </is>
      </c>
      <c r="B3876" t="inlineStr">
        <is>
          <t>탑런토탈솔루션</t>
        </is>
      </c>
      <c r="C3876" t="inlineStr">
        <is>
          <t>336680</t>
        </is>
      </c>
      <c r="D3876" t="inlineStr">
        <is>
          <t>연결</t>
        </is>
      </c>
      <c r="E3876" t="inlineStr">
        <is>
          <t>2024Q3</t>
        </is>
      </c>
      <c r="F3876" s="2" t="n">
        <v>137990</v>
      </c>
      <c r="G3876" t="inlineStr"/>
      <c r="H3876" t="inlineStr"/>
      <c r="I3876" s="2" t="n">
        <v>6924</v>
      </c>
      <c r="J3876" t="inlineStr"/>
      <c r="K3876" t="inlineStr"/>
      <c r="L3876" s="2" t="n">
        <v>6870</v>
      </c>
      <c r="M3876" t="inlineStr"/>
      <c r="N3876" t="inlineStr">
        <is>
          <t>20241113900170</t>
        </is>
      </c>
      <c r="O3876">
        <f>HYPERLINK("https://dart.fss.or.kr/dsaf001/main.do?rcpNo=20241113900170", "공시열람")</f>
        <v/>
      </c>
    </row>
    <row r="3877">
      <c r="A3877" t="inlineStr">
        <is>
          <t>2024-11-13</t>
        </is>
      </c>
      <c r="B3877" t="inlineStr">
        <is>
          <t>동양생명</t>
        </is>
      </c>
      <c r="C3877" t="inlineStr">
        <is>
          <t>082640</t>
        </is>
      </c>
      <c r="D3877" t="inlineStr">
        <is>
          <t>연결</t>
        </is>
      </c>
      <c r="E3877" t="inlineStr">
        <is>
          <t>2024Q3</t>
        </is>
      </c>
      <c r="F3877" s="2" t="n">
        <v>548890</v>
      </c>
      <c r="G3877" t="n">
        <v>-38.87</v>
      </c>
      <c r="H3877" t="n">
        <v>-22.23</v>
      </c>
      <c r="I3877" s="2" t="n">
        <v>116691</v>
      </c>
      <c r="J3877" t="n">
        <v>2.86</v>
      </c>
      <c r="K3877" t="n">
        <v>527.8099999999999</v>
      </c>
      <c r="L3877" s="2" t="n">
        <v>89259</v>
      </c>
      <c r="M3877" t="n">
        <v>705.73</v>
      </c>
      <c r="N3877" t="inlineStr">
        <is>
          <t>20241113800116</t>
        </is>
      </c>
      <c r="O3877">
        <f>HYPERLINK("https://dart.fss.or.kr/dsaf001/main.do?rcpNo=20241113800116", "공시열람")</f>
        <v/>
      </c>
    </row>
    <row r="3878">
      <c r="A3878" t="inlineStr">
        <is>
          <t>2024-11-13</t>
        </is>
      </c>
      <c r="B3878" t="inlineStr">
        <is>
          <t>동양생명</t>
        </is>
      </c>
      <c r="C3878" t="inlineStr">
        <is>
          <t>082640</t>
        </is>
      </c>
      <c r="D3878" t="inlineStr">
        <is>
          <t>별도</t>
        </is>
      </c>
      <c r="E3878" t="inlineStr">
        <is>
          <t>2024Q3</t>
        </is>
      </c>
      <c r="F3878" s="2" t="n">
        <v>540603</v>
      </c>
      <c r="G3878" t="n">
        <v>-39.45</v>
      </c>
      <c r="H3878" t="n">
        <v>-22.37</v>
      </c>
      <c r="I3878" s="2" t="n">
        <v>117841</v>
      </c>
      <c r="J3878" t="n">
        <v>2.83</v>
      </c>
      <c r="K3878" t="n">
        <v>375.99</v>
      </c>
      <c r="L3878" s="2" t="n">
        <v>90377</v>
      </c>
      <c r="M3878" t="n">
        <v>424.11</v>
      </c>
      <c r="N3878" t="inlineStr">
        <is>
          <t>20241113800113</t>
        </is>
      </c>
      <c r="O3878">
        <f>HYPERLINK("https://dart.fss.or.kr/dsaf001/main.do?rcpNo=20241113800113", "공시열람")</f>
        <v/>
      </c>
    </row>
    <row r="3879">
      <c r="A3879" t="inlineStr">
        <is>
          <t>2024-11-13</t>
        </is>
      </c>
      <c r="B3879" t="inlineStr">
        <is>
          <t>파마리서치</t>
        </is>
      </c>
      <c r="C3879" t="inlineStr">
        <is>
          <t>214450</t>
        </is>
      </c>
      <c r="D3879" t="inlineStr">
        <is>
          <t>연결</t>
        </is>
      </c>
      <c r="E3879" t="inlineStr">
        <is>
          <t>2024Q3</t>
        </is>
      </c>
      <c r="F3879" s="2" t="n">
        <v>89209</v>
      </c>
      <c r="G3879" t="inlineStr"/>
      <c r="H3879" t="inlineStr"/>
      <c r="I3879" s="2" t="n">
        <v>34923</v>
      </c>
      <c r="J3879" t="inlineStr"/>
      <c r="K3879" t="inlineStr"/>
      <c r="L3879" s="2" t="n">
        <v>25512</v>
      </c>
      <c r="M3879" t="inlineStr"/>
      <c r="N3879" t="inlineStr">
        <is>
          <t>20241113900112</t>
        </is>
      </c>
      <c r="O3879">
        <f>HYPERLINK("https://dart.fss.or.kr/dsaf001/main.do?rcpNo=20241113900112", "공시열람")</f>
        <v/>
      </c>
    </row>
    <row r="3880">
      <c r="A3880" t="inlineStr">
        <is>
          <t>2024-11-13</t>
        </is>
      </c>
      <c r="B3880" t="inlineStr">
        <is>
          <t>원익QnC</t>
        </is>
      </c>
      <c r="C3880" t="inlineStr">
        <is>
          <t>074600</t>
        </is>
      </c>
      <c r="D3880" t="inlineStr">
        <is>
          <t>연결</t>
        </is>
      </c>
      <c r="E3880" t="inlineStr">
        <is>
          <t>2024Q3</t>
        </is>
      </c>
      <c r="F3880" s="2" t="n">
        <v>225115</v>
      </c>
      <c r="G3880" t="inlineStr"/>
      <c r="H3880" t="inlineStr"/>
      <c r="I3880" s="2" t="n">
        <v>29921</v>
      </c>
      <c r="J3880" t="inlineStr"/>
      <c r="K3880" t="inlineStr"/>
      <c r="L3880" s="2" t="n">
        <v>13048</v>
      </c>
      <c r="M3880" t="inlineStr"/>
      <c r="N3880" t="inlineStr">
        <is>
          <t>20241113900074</t>
        </is>
      </c>
      <c r="O3880">
        <f>HYPERLINK("https://dart.fss.or.kr/dsaf001/main.do?rcpNo=20241113900074", "공시열람")</f>
        <v/>
      </c>
    </row>
    <row r="3881">
      <c r="A3881" t="inlineStr">
        <is>
          <t>2024-11-13</t>
        </is>
      </c>
      <c r="B3881" t="inlineStr">
        <is>
          <t>메리츠금융지주</t>
        </is>
      </c>
      <c r="C3881" t="inlineStr">
        <is>
          <t>138040</t>
        </is>
      </c>
      <c r="D3881" t="inlineStr">
        <is>
          <t>연결</t>
        </is>
      </c>
      <c r="E3881" t="inlineStr">
        <is>
          <t>2024Q3</t>
        </is>
      </c>
      <c r="F3881" s="2" t="n">
        <v>8179879</v>
      </c>
      <c r="G3881" t="n">
        <v>-5.9</v>
      </c>
      <c r="H3881" t="n">
        <v>-20.8</v>
      </c>
      <c r="I3881" s="2" t="n">
        <v>242948</v>
      </c>
      <c r="J3881" t="n">
        <v>-29.8</v>
      </c>
      <c r="K3881" t="n">
        <v>50.2</v>
      </c>
      <c r="L3881" s="2" t="n">
        <v>175270</v>
      </c>
      <c r="M3881" t="n">
        <v>48.9</v>
      </c>
      <c r="N3881" t="inlineStr">
        <is>
          <t>20241113800472</t>
        </is>
      </c>
      <c r="O3881">
        <f>HYPERLINK("https://dart.fss.or.kr/dsaf001/main.do?rcpNo=20241113800472", "공시열람")</f>
        <v/>
      </c>
    </row>
    <row r="3882">
      <c r="A3882" t="inlineStr">
        <is>
          <t>2024-11-13</t>
        </is>
      </c>
      <c r="B3882" t="inlineStr">
        <is>
          <t>메리츠금융지주</t>
        </is>
      </c>
      <c r="C3882" t="inlineStr">
        <is>
          <t>138040</t>
        </is>
      </c>
      <c r="D3882" t="inlineStr">
        <is>
          <t>연결</t>
        </is>
      </c>
      <c r="E3882" t="inlineStr">
        <is>
          <t>2024Q3</t>
        </is>
      </c>
      <c r="F3882" s="2" t="n">
        <v>10906898</v>
      </c>
      <c r="G3882" t="n">
        <v>-2.8</v>
      </c>
      <c r="H3882" t="n">
        <v>-14.4</v>
      </c>
      <c r="I3882" s="2" t="n">
        <v>901536</v>
      </c>
      <c r="J3882" t="n">
        <v>-10.3</v>
      </c>
      <c r="K3882" t="n">
        <v>11.5</v>
      </c>
      <c r="L3882" s="2" t="n">
        <v>656030</v>
      </c>
      <c r="M3882" t="n">
        <v>13.1</v>
      </c>
      <c r="N3882" t="inlineStr">
        <is>
          <t>20241113800482</t>
        </is>
      </c>
      <c r="O3882">
        <f>HYPERLINK("https://dart.fss.or.kr/dsaf001/main.do?rcpNo=20241113800482", "공시열람")</f>
        <v/>
      </c>
    </row>
    <row r="3883">
      <c r="A3883" t="inlineStr">
        <is>
          <t>2024-11-13</t>
        </is>
      </c>
      <c r="B3883" t="inlineStr">
        <is>
          <t>SK네트웍스</t>
        </is>
      </c>
      <c r="C3883" t="inlineStr">
        <is>
          <t>001740</t>
        </is>
      </c>
      <c r="D3883" t="inlineStr">
        <is>
          <t>연결</t>
        </is>
      </c>
      <c r="E3883" t="inlineStr">
        <is>
          <t>2024Q3</t>
        </is>
      </c>
      <c r="F3883" s="2" t="n">
        <v>2042849</v>
      </c>
      <c r="G3883" t="n">
        <v>20.9</v>
      </c>
      <c r="H3883" t="n">
        <v>13.9</v>
      </c>
      <c r="I3883" s="2" t="n">
        <v>28642</v>
      </c>
      <c r="J3883" t="n">
        <v>-1.5</v>
      </c>
      <c r="K3883" t="n">
        <v>74.90000000000001</v>
      </c>
      <c r="L3883" s="2" t="n">
        <v>65836</v>
      </c>
      <c r="M3883" t="n">
        <v>390.8</v>
      </c>
      <c r="N3883" t="inlineStr">
        <is>
          <t>20241113800487</t>
        </is>
      </c>
      <c r="O3883">
        <f>HYPERLINK("https://dart.fss.or.kr/dsaf001/main.do?rcpNo=20241113800487", "공시열람")</f>
        <v/>
      </c>
    </row>
    <row r="3884">
      <c r="A3884" t="inlineStr">
        <is>
          <t>2024-11-13</t>
        </is>
      </c>
      <c r="B3884" t="inlineStr">
        <is>
          <t>옵티시스</t>
        </is>
      </c>
      <c r="C3884" t="inlineStr">
        <is>
          <t>109080</t>
        </is>
      </c>
      <c r="D3884" t="inlineStr">
        <is>
          <t>별도</t>
        </is>
      </c>
      <c r="E3884" t="inlineStr">
        <is>
          <t>2024Q3</t>
        </is>
      </c>
      <c r="F3884" s="2" t="n">
        <v>5677</v>
      </c>
      <c r="G3884" t="inlineStr"/>
      <c r="H3884" t="inlineStr"/>
      <c r="I3884" s="2" t="n">
        <v>997</v>
      </c>
      <c r="J3884" t="inlineStr"/>
      <c r="K3884" t="inlineStr"/>
      <c r="L3884" s="2" t="n">
        <v>826</v>
      </c>
      <c r="M3884" t="inlineStr"/>
      <c r="N3884" t="inlineStr">
        <is>
          <t>20241113900557</t>
        </is>
      </c>
      <c r="O3884">
        <f>HYPERLINK("https://dart.fss.or.kr/dsaf001/main.do?rcpNo=20241113900557", "공시열람")</f>
        <v/>
      </c>
    </row>
    <row r="3885">
      <c r="A3885" t="inlineStr">
        <is>
          <t>2024-11-13</t>
        </is>
      </c>
      <c r="B3885" t="inlineStr">
        <is>
          <t>메리츠금융지주</t>
        </is>
      </c>
      <c r="C3885" t="inlineStr">
        <is>
          <t>138040</t>
        </is>
      </c>
      <c r="D3885" t="inlineStr">
        <is>
          <t>별도</t>
        </is>
      </c>
      <c r="E3885" t="inlineStr">
        <is>
          <t>2024Q3</t>
        </is>
      </c>
      <c r="F3885" s="2" t="n">
        <v>2799466</v>
      </c>
      <c r="G3885" t="n">
        <v>-1.5</v>
      </c>
      <c r="H3885" t="n">
        <v>2.1</v>
      </c>
      <c r="I3885" s="2" t="n">
        <v>667029</v>
      </c>
      <c r="J3885" t="n">
        <v>-1.4</v>
      </c>
      <c r="K3885" t="n">
        <v>4.1</v>
      </c>
      <c r="L3885" s="2" t="n">
        <v>495099</v>
      </c>
      <c r="M3885" t="n">
        <v>3.1</v>
      </c>
      <c r="N3885" t="inlineStr">
        <is>
          <t>20241113800460</t>
        </is>
      </c>
      <c r="O3885">
        <f>HYPERLINK("https://dart.fss.or.kr/dsaf001/main.do?rcpNo=20241113800460", "공시열람")</f>
        <v/>
      </c>
    </row>
    <row r="3886">
      <c r="A3886" t="inlineStr">
        <is>
          <t>2024-11-13</t>
        </is>
      </c>
      <c r="B3886" t="inlineStr">
        <is>
          <t>에어부산</t>
        </is>
      </c>
      <c r="C3886" t="inlineStr">
        <is>
          <t>298690</t>
        </is>
      </c>
      <c r="D3886" t="inlineStr">
        <is>
          <t>별도</t>
        </is>
      </c>
      <c r="E3886" t="inlineStr">
        <is>
          <t>2024Q3</t>
        </is>
      </c>
      <c r="F3886" s="2" t="n">
        <v>250179</v>
      </c>
      <c r="G3886" t="n">
        <v>6.3</v>
      </c>
      <c r="H3886" t="n">
        <v>8.6</v>
      </c>
      <c r="I3886" s="2" t="n">
        <v>37494</v>
      </c>
      <c r="J3886" t="n">
        <v>107.4</v>
      </c>
      <c r="K3886" t="n">
        <v>-13.3</v>
      </c>
      <c r="L3886" s="2" t="n">
        <v>50942</v>
      </c>
      <c r="M3886" t="n">
        <v>231.3</v>
      </c>
      <c r="N3886" t="inlineStr">
        <is>
          <t>20241113800996</t>
        </is>
      </c>
      <c r="O3886">
        <f>HYPERLINK("https://dart.fss.or.kr/dsaf001/main.do?rcpNo=20241113800996", "공시열람")</f>
        <v/>
      </c>
    </row>
    <row r="3887">
      <c r="A3887" t="inlineStr">
        <is>
          <t>2024-11-13</t>
        </is>
      </c>
      <c r="B3887" t="inlineStr">
        <is>
          <t>에이치피오</t>
        </is>
      </c>
      <c r="C3887" t="inlineStr">
        <is>
          <t>357230</t>
        </is>
      </c>
      <c r="D3887" t="inlineStr">
        <is>
          <t>연결</t>
        </is>
      </c>
      <c r="E3887" t="inlineStr">
        <is>
          <t>2024Q3</t>
        </is>
      </c>
      <c r="F3887" s="2" t="n">
        <v>58876</v>
      </c>
      <c r="G3887" t="inlineStr"/>
      <c r="H3887" t="inlineStr"/>
      <c r="I3887" s="2" t="n">
        <v>1761</v>
      </c>
      <c r="J3887" t="inlineStr"/>
      <c r="K3887" t="inlineStr"/>
      <c r="L3887" s="2" t="n">
        <v>890</v>
      </c>
      <c r="M3887" t="inlineStr"/>
      <c r="N3887" t="inlineStr">
        <is>
          <t>20241113900923</t>
        </is>
      </c>
      <c r="O3887">
        <f>HYPERLINK("https://dart.fss.or.kr/dsaf001/main.do?rcpNo=20241113900923", "공시열람")</f>
        <v/>
      </c>
    </row>
    <row r="3888">
      <c r="A3888" t="inlineStr">
        <is>
          <t>2024-11-13</t>
        </is>
      </c>
      <c r="B3888" t="inlineStr">
        <is>
          <t>고스트스튜디오</t>
        </is>
      </c>
      <c r="C3888" t="inlineStr">
        <is>
          <t>950190</t>
        </is>
      </c>
      <c r="D3888" t="inlineStr">
        <is>
          <t>연결</t>
        </is>
      </c>
      <c r="E3888" t="inlineStr">
        <is>
          <t>2024Q3</t>
        </is>
      </c>
      <c r="F3888" s="2" t="n">
        <v>20067</v>
      </c>
      <c r="G3888" t="inlineStr"/>
      <c r="H3888" t="inlineStr"/>
      <c r="I3888" s="2" t="n">
        <v>3132</v>
      </c>
      <c r="J3888" t="inlineStr"/>
      <c r="K3888" t="inlineStr"/>
      <c r="L3888" s="2" t="n">
        <v>3580</v>
      </c>
      <c r="M3888" t="inlineStr"/>
      <c r="N3888" t="inlineStr">
        <is>
          <t>20241113900901</t>
        </is>
      </c>
      <c r="O3888">
        <f>HYPERLINK("https://dart.fss.or.kr/dsaf001/main.do?rcpNo=20241113900901", "공시열람")</f>
        <v/>
      </c>
    </row>
    <row r="3889">
      <c r="A3889" t="inlineStr">
        <is>
          <t>2024-11-13</t>
        </is>
      </c>
      <c r="B3889" t="inlineStr">
        <is>
          <t>한국전력공사</t>
        </is>
      </c>
      <c r="C3889" t="inlineStr">
        <is>
          <t>015760</t>
        </is>
      </c>
      <c r="D3889" t="inlineStr">
        <is>
          <t>연결</t>
        </is>
      </c>
      <c r="E3889" t="inlineStr">
        <is>
          <t>2024Q3</t>
        </is>
      </c>
      <c r="F3889" s="2" t="n">
        <v>26103357</v>
      </c>
      <c r="G3889" t="n">
        <v>27.5</v>
      </c>
      <c r="H3889" t="n">
        <v>6.7</v>
      </c>
      <c r="I3889" s="2" t="n">
        <v>3396055</v>
      </c>
      <c r="J3889" t="n">
        <v>171.6</v>
      </c>
      <c r="K3889" t="n">
        <v>70.09999999999999</v>
      </c>
      <c r="L3889" s="2" t="n">
        <v>1879646</v>
      </c>
      <c r="M3889" t="n">
        <v>125.6</v>
      </c>
      <c r="N3889" t="inlineStr">
        <is>
          <t>20241113800273</t>
        </is>
      </c>
      <c r="O3889">
        <f>HYPERLINK("https://dart.fss.or.kr/dsaf001/main.do?rcpNo=20241113800273", "공시열람")</f>
        <v/>
      </c>
    </row>
    <row r="3890">
      <c r="A3890" t="inlineStr">
        <is>
          <t>2024-11-12</t>
        </is>
      </c>
      <c r="B3890" t="inlineStr">
        <is>
          <t>더블유게임즈</t>
        </is>
      </c>
      <c r="C3890" t="inlineStr">
        <is>
          <t>192080</t>
        </is>
      </c>
      <c r="D3890" t="inlineStr">
        <is>
          <t>별도</t>
        </is>
      </c>
      <c r="E3890" t="inlineStr">
        <is>
          <t>2024Q3</t>
        </is>
      </c>
      <c r="F3890" s="2" t="n">
        <v>42653</v>
      </c>
      <c r="G3890" t="n">
        <v>-4.4</v>
      </c>
      <c r="H3890" t="n">
        <v>-4.3</v>
      </c>
      <c r="I3890" s="2" t="n">
        <v>14717</v>
      </c>
      <c r="J3890" t="n">
        <v>-15.9</v>
      </c>
      <c r="K3890" t="n">
        <v>-2.5</v>
      </c>
      <c r="L3890" s="2" t="n">
        <v>10260</v>
      </c>
      <c r="M3890" t="n">
        <v>-35.9</v>
      </c>
      <c r="N3890" t="inlineStr">
        <is>
          <t>20241112800007</t>
        </is>
      </c>
      <c r="O3890">
        <f>HYPERLINK("https://dart.fss.or.kr/dsaf001/main.do?rcpNo=20241112800007", "공시열람")</f>
        <v/>
      </c>
    </row>
    <row r="3891">
      <c r="A3891" t="inlineStr">
        <is>
          <t>2024-11-12</t>
        </is>
      </c>
      <c r="B3891" t="inlineStr">
        <is>
          <t>한국가스공사</t>
        </is>
      </c>
      <c r="C3891" t="inlineStr">
        <is>
          <t>036460</t>
        </is>
      </c>
      <c r="D3891" t="inlineStr">
        <is>
          <t>연결</t>
        </is>
      </c>
      <c r="E3891" t="inlineStr">
        <is>
          <t>2024Q3</t>
        </is>
      </c>
      <c r="F3891" s="2" t="n">
        <v>8109308</v>
      </c>
      <c r="G3891" t="n">
        <v>8.300000000000001</v>
      </c>
      <c r="H3891" t="n">
        <v>2.8</v>
      </c>
      <c r="I3891" s="2" t="n">
        <v>439728</v>
      </c>
      <c r="J3891" t="n">
        <v>-5.6</v>
      </c>
      <c r="K3891" t="n">
        <v>90.90000000000001</v>
      </c>
      <c r="L3891" s="2" t="n">
        <v>155208</v>
      </c>
      <c r="M3891" t="inlineStr"/>
      <c r="N3891" t="inlineStr">
        <is>
          <t>20241112800250</t>
        </is>
      </c>
      <c r="O3891">
        <f>HYPERLINK("https://dart.fss.or.kr/dsaf001/main.do?rcpNo=20241112800250", "공시열람")</f>
        <v/>
      </c>
    </row>
    <row r="3892">
      <c r="A3892" t="inlineStr">
        <is>
          <t>2024-11-12</t>
        </is>
      </c>
      <c r="B3892" t="inlineStr">
        <is>
          <t>스톰테크</t>
        </is>
      </c>
      <c r="C3892" t="inlineStr">
        <is>
          <t>352090</t>
        </is>
      </c>
      <c r="D3892" t="inlineStr">
        <is>
          <t>연결</t>
        </is>
      </c>
      <c r="E3892" t="inlineStr">
        <is>
          <t>2024Q3</t>
        </is>
      </c>
      <c r="F3892" s="2" t="n">
        <v>17420</v>
      </c>
      <c r="G3892" t="inlineStr"/>
      <c r="H3892" t="inlineStr"/>
      <c r="I3892" s="2" t="n">
        <v>3631</v>
      </c>
      <c r="J3892" t="inlineStr"/>
      <c r="K3892" t="inlineStr"/>
      <c r="L3892" s="2" t="n">
        <v>4337</v>
      </c>
      <c r="M3892" t="inlineStr"/>
      <c r="N3892" t="inlineStr">
        <is>
          <t>20241112900717</t>
        </is>
      </c>
      <c r="O3892">
        <f>HYPERLINK("https://dart.fss.or.kr/dsaf001/main.do?rcpNo=20241112900717", "공시열람")</f>
        <v/>
      </c>
    </row>
    <row r="3893">
      <c r="A3893" t="inlineStr">
        <is>
          <t>2024-11-12</t>
        </is>
      </c>
      <c r="B3893" t="inlineStr">
        <is>
          <t>한국공항</t>
        </is>
      </c>
      <c r="C3893" t="inlineStr">
        <is>
          <t>005430</t>
        </is>
      </c>
      <c r="D3893" t="inlineStr">
        <is>
          <t>연결</t>
        </is>
      </c>
      <c r="E3893" t="inlineStr">
        <is>
          <t>2024Q3</t>
        </is>
      </c>
      <c r="F3893" s="2" t="n">
        <v>157268</v>
      </c>
      <c r="G3893" t="n">
        <v>4.84</v>
      </c>
      <c r="H3893" t="n">
        <v>6.72</v>
      </c>
      <c r="I3893" s="2" t="n">
        <v>16242</v>
      </c>
      <c r="J3893" t="n">
        <v>13.95</v>
      </c>
      <c r="K3893" t="n">
        <v>-21.8</v>
      </c>
      <c r="L3893" s="2" t="n">
        <v>13279</v>
      </c>
      <c r="M3893" t="n">
        <v>-23.39</v>
      </c>
      <c r="N3893" t="inlineStr">
        <is>
          <t>20241112800513</t>
        </is>
      </c>
      <c r="O3893">
        <f>HYPERLINK("https://dart.fss.or.kr/dsaf001/main.do?rcpNo=20241112800513", "공시열람")</f>
        <v/>
      </c>
    </row>
    <row r="3894">
      <c r="A3894" t="inlineStr">
        <is>
          <t>2024-11-12</t>
        </is>
      </c>
      <c r="B3894" t="inlineStr">
        <is>
          <t>NHN</t>
        </is>
      </c>
      <c r="C3894" t="inlineStr">
        <is>
          <t>181710</t>
        </is>
      </c>
      <c r="D3894" t="inlineStr">
        <is>
          <t>연결</t>
        </is>
      </c>
      <c r="E3894" t="inlineStr">
        <is>
          <t>2024Q3</t>
        </is>
      </c>
      <c r="F3894" s="2" t="n">
        <v>608367</v>
      </c>
      <c r="G3894" t="inlineStr"/>
      <c r="H3894" t="inlineStr"/>
      <c r="I3894" s="2" t="n">
        <v>-113389</v>
      </c>
      <c r="J3894" t="inlineStr"/>
      <c r="K3894" t="inlineStr"/>
      <c r="L3894" s="2" t="n">
        <v>-110270</v>
      </c>
      <c r="M3894" t="inlineStr"/>
      <c r="N3894" t="inlineStr">
        <is>
          <t>20241112800015</t>
        </is>
      </c>
      <c r="O3894">
        <f>HYPERLINK("https://dart.fss.or.kr/dsaf001/main.do?rcpNo=20241112800015", "공시열람")</f>
        <v/>
      </c>
    </row>
    <row r="3895">
      <c r="A3895" t="inlineStr">
        <is>
          <t>2024-11-12</t>
        </is>
      </c>
      <c r="B3895" t="inlineStr">
        <is>
          <t>CJ제일제당</t>
        </is>
      </c>
      <c r="C3895" t="inlineStr">
        <is>
          <t>097950</t>
        </is>
      </c>
      <c r="D3895" t="inlineStr">
        <is>
          <t>연결</t>
        </is>
      </c>
      <c r="E3895" t="inlineStr">
        <is>
          <t>2024Q3</t>
        </is>
      </c>
      <c r="F3895" s="2" t="n">
        <v>7414279</v>
      </c>
      <c r="G3895" t="n">
        <v>2.4</v>
      </c>
      <c r="H3895" t="n">
        <v>-0.4</v>
      </c>
      <c r="I3895" s="2" t="n">
        <v>416194</v>
      </c>
      <c r="J3895" t="n">
        <v>8.5</v>
      </c>
      <c r="K3895" t="n">
        <v>5.1</v>
      </c>
      <c r="L3895" s="2" t="n">
        <v>212228</v>
      </c>
      <c r="M3895" t="n">
        <v>-8</v>
      </c>
      <c r="N3895" t="inlineStr">
        <is>
          <t>20241112800044</t>
        </is>
      </c>
      <c r="O3895">
        <f>HYPERLINK("https://dart.fss.or.kr/dsaf001/main.do?rcpNo=20241112800044", "공시열람")</f>
        <v/>
      </c>
    </row>
    <row r="3896">
      <c r="A3896" t="inlineStr">
        <is>
          <t>2024-11-12</t>
        </is>
      </c>
      <c r="B3896" t="inlineStr">
        <is>
          <t>네오위즈</t>
        </is>
      </c>
      <c r="C3896" t="inlineStr">
        <is>
          <t>095660</t>
        </is>
      </c>
      <c r="D3896" t="inlineStr">
        <is>
          <t>연결</t>
        </is>
      </c>
      <c r="E3896" t="inlineStr">
        <is>
          <t>2024Q3</t>
        </is>
      </c>
      <c r="F3896" s="2" t="n">
        <v>93134</v>
      </c>
      <c r="G3896" t="inlineStr"/>
      <c r="H3896" t="inlineStr"/>
      <c r="I3896" s="2" t="n">
        <v>6464</v>
      </c>
      <c r="J3896" t="inlineStr"/>
      <c r="K3896" t="inlineStr"/>
      <c r="L3896" s="2" t="n">
        <v>-1399</v>
      </c>
      <c r="M3896" t="inlineStr"/>
      <c r="N3896" t="inlineStr">
        <is>
          <t>20241112900049</t>
        </is>
      </c>
      <c r="O3896">
        <f>HYPERLINK("https://dart.fss.or.kr/dsaf001/main.do?rcpNo=20241112900049", "공시열람")</f>
        <v/>
      </c>
    </row>
    <row r="3897">
      <c r="A3897" t="inlineStr">
        <is>
          <t>2024-11-12</t>
        </is>
      </c>
      <c r="B3897" t="inlineStr">
        <is>
          <t>고려아연</t>
        </is>
      </c>
      <c r="C3897" t="inlineStr">
        <is>
          <t>010130</t>
        </is>
      </c>
      <c r="D3897" t="inlineStr">
        <is>
          <t>연결</t>
        </is>
      </c>
      <c r="E3897" t="inlineStr">
        <is>
          <t>2024Q3</t>
        </is>
      </c>
      <c r="F3897" s="2" t="n">
        <v>3206651</v>
      </c>
      <c r="G3897" t="n">
        <v>4.9</v>
      </c>
      <c r="H3897" t="n">
        <v>39.8</v>
      </c>
      <c r="I3897" s="2" t="n">
        <v>149979</v>
      </c>
      <c r="J3897" t="n">
        <v>-44.2</v>
      </c>
      <c r="K3897" t="n">
        <v>-6.5</v>
      </c>
      <c r="L3897" s="2" t="n">
        <v>152836</v>
      </c>
      <c r="M3897" t="n">
        <v>96.5</v>
      </c>
      <c r="N3897" t="inlineStr">
        <is>
          <t>20241112800059</t>
        </is>
      </c>
      <c r="O3897">
        <f>HYPERLINK("https://dart.fss.or.kr/dsaf001/main.do?rcpNo=20241112800059", "공시열람")</f>
        <v/>
      </c>
    </row>
    <row r="3898">
      <c r="A3898" t="inlineStr">
        <is>
          <t>2024-11-12</t>
        </is>
      </c>
      <c r="B3898" t="inlineStr">
        <is>
          <t>LX하우시스</t>
        </is>
      </c>
      <c r="C3898" t="inlineStr">
        <is>
          <t>108670</t>
        </is>
      </c>
      <c r="D3898" t="inlineStr">
        <is>
          <t>연결</t>
        </is>
      </c>
      <c r="E3898" t="inlineStr">
        <is>
          <t>2024Q3</t>
        </is>
      </c>
      <c r="F3898" s="2" t="n">
        <v>890090</v>
      </c>
      <c r="G3898" t="inlineStr"/>
      <c r="H3898" t="inlineStr"/>
      <c r="I3898" s="2" t="n">
        <v>22355</v>
      </c>
      <c r="J3898" t="inlineStr"/>
      <c r="K3898" t="inlineStr"/>
      <c r="L3898" s="2" t="n">
        <v>9763</v>
      </c>
      <c r="M3898" t="inlineStr"/>
      <c r="N3898" t="inlineStr">
        <is>
          <t>20241112800533</t>
        </is>
      </c>
      <c r="O3898">
        <f>HYPERLINK("https://dart.fss.or.kr/dsaf001/main.do?rcpNo=20241112800533", "공시열람")</f>
        <v/>
      </c>
    </row>
    <row r="3899">
      <c r="A3899" t="inlineStr">
        <is>
          <t>2024-11-12</t>
        </is>
      </c>
      <c r="B3899" t="inlineStr">
        <is>
          <t>고려아연</t>
        </is>
      </c>
      <c r="C3899" t="inlineStr">
        <is>
          <t>010130</t>
        </is>
      </c>
      <c r="D3899" t="inlineStr">
        <is>
          <t>별도</t>
        </is>
      </c>
      <c r="E3899" t="inlineStr">
        <is>
          <t>2024Q3</t>
        </is>
      </c>
      <c r="F3899" s="2" t="n">
        <v>2029279</v>
      </c>
      <c r="G3899" t="n">
        <v>2.1</v>
      </c>
      <c r="H3899" t="n">
        <v>13.8</v>
      </c>
      <c r="I3899" s="2" t="n">
        <v>179207</v>
      </c>
      <c r="J3899" t="n">
        <v>-30.4</v>
      </c>
      <c r="K3899" t="n">
        <v>7.5</v>
      </c>
      <c r="L3899" s="2" t="n">
        <v>195116</v>
      </c>
      <c r="M3899" t="n">
        <v>93.09999999999999</v>
      </c>
      <c r="N3899" t="inlineStr">
        <is>
          <t>20241112800062</t>
        </is>
      </c>
      <c r="O3899">
        <f>HYPERLINK("https://dart.fss.or.kr/dsaf001/main.do?rcpNo=20241112800062", "공시열람")</f>
        <v/>
      </c>
    </row>
    <row r="3900">
      <c r="A3900" t="inlineStr">
        <is>
          <t>2024-11-12</t>
        </is>
      </c>
      <c r="B3900" t="inlineStr">
        <is>
          <t>CJ씨푸드</t>
        </is>
      </c>
      <c r="C3900" t="inlineStr">
        <is>
          <t>011150</t>
        </is>
      </c>
      <c r="D3900" t="inlineStr">
        <is>
          <t>연결</t>
        </is>
      </c>
      <c r="E3900" t="inlineStr">
        <is>
          <t>2024Q3</t>
        </is>
      </c>
      <c r="F3900" s="2" t="n">
        <v>53620</v>
      </c>
      <c r="G3900" t="n">
        <v>12.9</v>
      </c>
      <c r="H3900" t="n">
        <v>42.2</v>
      </c>
      <c r="I3900" s="2" t="n">
        <v>788</v>
      </c>
      <c r="J3900" t="inlineStr"/>
      <c r="K3900" t="n">
        <v>-20.8</v>
      </c>
      <c r="L3900" s="2" t="n">
        <v>2006</v>
      </c>
      <c r="M3900" t="n">
        <v>-2.5</v>
      </c>
      <c r="N3900" t="inlineStr">
        <is>
          <t>20241112800165</t>
        </is>
      </c>
      <c r="O3900">
        <f>HYPERLINK("https://dart.fss.or.kr/dsaf001/main.do?rcpNo=20241112800165", "공시열람")</f>
        <v/>
      </c>
    </row>
    <row r="3901">
      <c r="A3901" t="inlineStr">
        <is>
          <t>2024-11-12</t>
        </is>
      </c>
      <c r="B3901" t="inlineStr">
        <is>
          <t>에스피지</t>
        </is>
      </c>
      <c r="C3901" t="inlineStr">
        <is>
          <t>058610</t>
        </is>
      </c>
      <c r="D3901" t="inlineStr">
        <is>
          <t>연결</t>
        </is>
      </c>
      <c r="E3901" t="inlineStr">
        <is>
          <t>2024Q3</t>
        </is>
      </c>
      <c r="F3901" s="2" t="n">
        <v>92206</v>
      </c>
      <c r="G3901" t="inlineStr"/>
      <c r="H3901" t="inlineStr"/>
      <c r="I3901" s="2" t="n">
        <v>3311</v>
      </c>
      <c r="J3901" t="inlineStr"/>
      <c r="K3901" t="inlineStr"/>
      <c r="L3901" s="2" t="n">
        <v>2485</v>
      </c>
      <c r="M3901" t="inlineStr"/>
      <c r="N3901" t="inlineStr">
        <is>
          <t>20241112900196</t>
        </is>
      </c>
      <c r="O3901">
        <f>HYPERLINK("https://dart.fss.or.kr/dsaf001/main.do?rcpNo=20241112900196", "공시열람")</f>
        <v/>
      </c>
    </row>
    <row r="3902">
      <c r="A3902" t="inlineStr">
        <is>
          <t>2024-11-12</t>
        </is>
      </c>
      <c r="B3902" t="inlineStr">
        <is>
          <t>케이아이엔엑스</t>
        </is>
      </c>
      <c r="C3902" t="inlineStr">
        <is>
          <t>093320</t>
        </is>
      </c>
      <c r="D3902" t="inlineStr">
        <is>
          <t>연결</t>
        </is>
      </c>
      <c r="E3902" t="inlineStr">
        <is>
          <t>2024Q3</t>
        </is>
      </c>
      <c r="F3902" s="2" t="n">
        <v>34741</v>
      </c>
      <c r="G3902" t="inlineStr"/>
      <c r="H3902" t="inlineStr"/>
      <c r="I3902" s="2" t="n">
        <v>5705</v>
      </c>
      <c r="J3902" t="inlineStr"/>
      <c r="K3902" t="inlineStr"/>
      <c r="L3902" s="2" t="n">
        <v>4260</v>
      </c>
      <c r="M3902" t="inlineStr"/>
      <c r="N3902" t="inlineStr">
        <is>
          <t>20241112900283</t>
        </is>
      </c>
      <c r="O3902">
        <f>HYPERLINK("https://dart.fss.or.kr/dsaf001/main.do?rcpNo=20241112900283", "공시열람")</f>
        <v/>
      </c>
    </row>
    <row r="3903">
      <c r="A3903" t="inlineStr">
        <is>
          <t>2024-11-12</t>
        </is>
      </c>
      <c r="B3903" t="inlineStr">
        <is>
          <t>더블유게임즈</t>
        </is>
      </c>
      <c r="C3903" t="inlineStr">
        <is>
          <t>192080</t>
        </is>
      </c>
      <c r="D3903" t="inlineStr">
        <is>
          <t>연결</t>
        </is>
      </c>
      <c r="E3903" t="inlineStr">
        <is>
          <t>2024Q3</t>
        </is>
      </c>
      <c r="F3903" s="2" t="n">
        <v>154060</v>
      </c>
      <c r="G3903" t="n">
        <v>-5.6</v>
      </c>
      <c r="H3903" t="n">
        <v>10.3</v>
      </c>
      <c r="I3903" s="2" t="n">
        <v>59468</v>
      </c>
      <c r="J3903" t="n">
        <v>-11.3</v>
      </c>
      <c r="K3903" t="n">
        <v>9.9</v>
      </c>
      <c r="L3903" s="2" t="n">
        <v>40851</v>
      </c>
      <c r="M3903" t="n">
        <v>-20.4</v>
      </c>
      <c r="N3903" t="inlineStr">
        <is>
          <t>20241112800004</t>
        </is>
      </c>
      <c r="O3903">
        <f>HYPERLINK("https://dart.fss.or.kr/dsaf001/main.do?rcpNo=20241112800004", "공시열람")</f>
        <v/>
      </c>
    </row>
    <row r="3904">
      <c r="A3904" t="inlineStr">
        <is>
          <t>2024-11-12</t>
        </is>
      </c>
      <c r="B3904" t="inlineStr">
        <is>
          <t>경동나비엔</t>
        </is>
      </c>
      <c r="C3904" t="inlineStr">
        <is>
          <t>009450</t>
        </is>
      </c>
      <c r="D3904" t="inlineStr">
        <is>
          <t>연결</t>
        </is>
      </c>
      <c r="E3904" t="inlineStr">
        <is>
          <t>2024Q3</t>
        </is>
      </c>
      <c r="F3904" s="2" t="n">
        <v>322696</v>
      </c>
      <c r="G3904" t="n">
        <v>4.9</v>
      </c>
      <c r="H3904" t="n">
        <v>14.3</v>
      </c>
      <c r="I3904" s="2" t="n">
        <v>36841</v>
      </c>
      <c r="J3904" t="n">
        <v>25</v>
      </c>
      <c r="K3904" t="n">
        <v>67.3</v>
      </c>
      <c r="L3904" s="2" t="n">
        <v>15750</v>
      </c>
      <c r="M3904" t="n">
        <v>-15.5</v>
      </c>
      <c r="N3904" t="inlineStr">
        <is>
          <t>20241112800355</t>
        </is>
      </c>
      <c r="O3904">
        <f>HYPERLINK("https://dart.fss.or.kr/dsaf001/main.do?rcpNo=20241112800355", "공시열람")</f>
        <v/>
      </c>
    </row>
    <row r="3905">
      <c r="A3905" t="inlineStr">
        <is>
          <t>2024-11-12</t>
        </is>
      </c>
      <c r="B3905" t="inlineStr">
        <is>
          <t>쏘카</t>
        </is>
      </c>
      <c r="C3905" t="inlineStr">
        <is>
          <t>403550</t>
        </is>
      </c>
      <c r="D3905" t="inlineStr">
        <is>
          <t>연결</t>
        </is>
      </c>
      <c r="E3905" t="inlineStr">
        <is>
          <t>2024Q3</t>
        </is>
      </c>
      <c r="F3905" s="2" t="n">
        <v>117004</v>
      </c>
      <c r="G3905" t="n">
        <v>15</v>
      </c>
      <c r="H3905" t="n">
        <v>3.8</v>
      </c>
      <c r="I3905" s="2" t="n">
        <v>4648</v>
      </c>
      <c r="J3905" t="inlineStr"/>
      <c r="K3905" t="inlineStr"/>
      <c r="L3905" s="2" t="n">
        <v>1163</v>
      </c>
      <c r="M3905" t="inlineStr"/>
      <c r="N3905" t="inlineStr">
        <is>
          <t>20241112800360</t>
        </is>
      </c>
      <c r="O3905">
        <f>HYPERLINK("https://dart.fss.or.kr/dsaf001/main.do?rcpNo=20241112800360", "공시열람")</f>
        <v/>
      </c>
    </row>
    <row r="3906">
      <c r="A3906" t="inlineStr">
        <is>
          <t>2024-11-12</t>
        </is>
      </c>
      <c r="B3906" t="inlineStr">
        <is>
          <t>코오롱글로벌</t>
        </is>
      </c>
      <c r="C3906" t="inlineStr">
        <is>
          <t>003070</t>
        </is>
      </c>
      <c r="D3906" t="inlineStr">
        <is>
          <t>연결</t>
        </is>
      </c>
      <c r="E3906" t="inlineStr">
        <is>
          <t>2024Q3</t>
        </is>
      </c>
      <c r="F3906" s="2" t="n">
        <v>709786</v>
      </c>
      <c r="G3906" t="n">
        <v>-10.9</v>
      </c>
      <c r="H3906" t="n">
        <v>13.7</v>
      </c>
      <c r="I3906" s="2" t="n">
        <v>-21056</v>
      </c>
      <c r="J3906" t="n">
        <v>-5667.4</v>
      </c>
      <c r="K3906" t="inlineStr"/>
      <c r="L3906" s="2" t="n">
        <v>-54746</v>
      </c>
      <c r="M3906" t="inlineStr"/>
      <c r="N3906" t="inlineStr">
        <is>
          <t>20241112800437</t>
        </is>
      </c>
      <c r="O3906">
        <f>HYPERLINK("https://dart.fss.or.kr/dsaf001/main.do?rcpNo=20241112800437", "공시열람")</f>
        <v/>
      </c>
    </row>
    <row r="3907">
      <c r="A3907" t="inlineStr">
        <is>
          <t>2024-11-12</t>
        </is>
      </c>
      <c r="B3907" t="inlineStr">
        <is>
          <t>가비아</t>
        </is>
      </c>
      <c r="C3907" t="inlineStr">
        <is>
          <t>079940</t>
        </is>
      </c>
      <c r="D3907" t="inlineStr">
        <is>
          <t>연결</t>
        </is>
      </c>
      <c r="E3907" t="inlineStr">
        <is>
          <t>2024Q3</t>
        </is>
      </c>
      <c r="F3907" s="2" t="n">
        <v>65982</v>
      </c>
      <c r="G3907" t="inlineStr"/>
      <c r="H3907" t="inlineStr"/>
      <c r="I3907" s="2" t="n">
        <v>5917</v>
      </c>
      <c r="J3907" t="inlineStr"/>
      <c r="K3907" t="inlineStr"/>
      <c r="L3907" s="2" t="n">
        <v>4356</v>
      </c>
      <c r="M3907" t="inlineStr"/>
      <c r="N3907" t="inlineStr">
        <is>
          <t>20241112900462</t>
        </is>
      </c>
      <c r="O3907">
        <f>HYPERLINK("https://dart.fss.or.kr/dsaf001/main.do?rcpNo=20241112900462", "공시열람")</f>
        <v/>
      </c>
    </row>
    <row r="3908">
      <c r="A3908" t="inlineStr">
        <is>
          <t>2024-11-12</t>
        </is>
      </c>
      <c r="B3908" t="inlineStr">
        <is>
          <t>펌텍코리아</t>
        </is>
      </c>
      <c r="C3908" t="inlineStr">
        <is>
          <t>251970</t>
        </is>
      </c>
      <c r="D3908" t="inlineStr">
        <is>
          <t>연결</t>
        </is>
      </c>
      <c r="E3908" t="inlineStr">
        <is>
          <t>2024Q3</t>
        </is>
      </c>
      <c r="F3908" s="2" t="n">
        <v>85219</v>
      </c>
      <c r="G3908" t="inlineStr"/>
      <c r="H3908" t="inlineStr"/>
      <c r="I3908" s="2" t="n">
        <v>12430</v>
      </c>
      <c r="J3908" t="inlineStr"/>
      <c r="K3908" t="inlineStr"/>
      <c r="L3908" s="2" t="n">
        <v>10040</v>
      </c>
      <c r="M3908" t="inlineStr"/>
      <c r="N3908" t="inlineStr">
        <is>
          <t>20241112900444</t>
        </is>
      </c>
      <c r="O3908">
        <f>HYPERLINK("https://dart.fss.or.kr/dsaf001/main.do?rcpNo=20241112900444", "공시열람")</f>
        <v/>
      </c>
    </row>
    <row r="3909">
      <c r="A3909" t="inlineStr">
        <is>
          <t>2024-11-12</t>
        </is>
      </c>
      <c r="B3909" t="inlineStr">
        <is>
          <t>케이아이엔엑스</t>
        </is>
      </c>
      <c r="C3909" t="inlineStr">
        <is>
          <t>093320</t>
        </is>
      </c>
      <c r="D3909" t="inlineStr">
        <is>
          <t>별도</t>
        </is>
      </c>
      <c r="E3909" t="inlineStr">
        <is>
          <t>2024Q3</t>
        </is>
      </c>
      <c r="F3909" s="2" t="n">
        <v>23508</v>
      </c>
      <c r="G3909" t="inlineStr"/>
      <c r="H3909" t="inlineStr"/>
      <c r="I3909" s="2" t="n">
        <v>4814</v>
      </c>
      <c r="J3909" t="inlineStr"/>
      <c r="K3909" t="inlineStr"/>
      <c r="L3909" s="2" t="n">
        <v>3695</v>
      </c>
      <c r="M3909" t="inlineStr"/>
      <c r="N3909" t="inlineStr">
        <is>
          <t>20241112900281</t>
        </is>
      </c>
      <c r="O3909">
        <f>HYPERLINK("https://dart.fss.or.kr/dsaf001/main.do?rcpNo=20241112900281", "공시열람")</f>
        <v/>
      </c>
    </row>
    <row r="3910">
      <c r="A3910" t="inlineStr">
        <is>
          <t>2024-11-12</t>
        </is>
      </c>
      <c r="B3910" t="inlineStr">
        <is>
          <t>시프트업</t>
        </is>
      </c>
      <c r="C3910" t="inlineStr">
        <is>
          <t>462870</t>
        </is>
      </c>
      <c r="D3910" t="inlineStr">
        <is>
          <t>별도</t>
        </is>
      </c>
      <c r="E3910" t="inlineStr">
        <is>
          <t>2024Q3</t>
        </is>
      </c>
      <c r="F3910" s="2" t="n">
        <v>58018</v>
      </c>
      <c r="G3910" t="n">
        <v>-11</v>
      </c>
      <c r="H3910" t="n">
        <v>52.3</v>
      </c>
      <c r="I3910" s="2" t="n">
        <v>35577</v>
      </c>
      <c r="J3910" t="n">
        <v>-21</v>
      </c>
      <c r="K3910" t="n">
        <v>120.4</v>
      </c>
      <c r="L3910" s="2" t="n">
        <v>23484</v>
      </c>
      <c r="M3910" t="n">
        <v>-1.9</v>
      </c>
      <c r="N3910" t="inlineStr">
        <is>
          <t>20241112800422</t>
        </is>
      </c>
      <c r="O3910">
        <f>HYPERLINK("https://dart.fss.or.kr/dsaf001/main.do?rcpNo=20241112800422", "공시열람")</f>
        <v/>
      </c>
    </row>
    <row r="3911">
      <c r="A3911" t="inlineStr">
        <is>
          <t>2024-11-12</t>
        </is>
      </c>
      <c r="B3911" t="inlineStr">
        <is>
          <t>펌텍코리아</t>
        </is>
      </c>
      <c r="C3911" t="inlineStr">
        <is>
          <t>251970</t>
        </is>
      </c>
      <c r="D3911" t="inlineStr">
        <is>
          <t>연결</t>
        </is>
      </c>
      <c r="E3911" t="inlineStr">
        <is>
          <t>2024Q3</t>
        </is>
      </c>
      <c r="F3911" s="2" t="n">
        <v>85219</v>
      </c>
      <c r="G3911" t="inlineStr"/>
      <c r="H3911" t="inlineStr"/>
      <c r="I3911" s="2" t="n">
        <v>12430</v>
      </c>
      <c r="J3911" t="inlineStr"/>
      <c r="K3911" t="inlineStr"/>
      <c r="L3911" s="2" t="n">
        <v>10040</v>
      </c>
      <c r="M3911" t="inlineStr"/>
      <c r="N3911" t="inlineStr">
        <is>
          <t>20241112900390</t>
        </is>
      </c>
      <c r="O3911">
        <f>HYPERLINK("https://dart.fss.or.kr/dsaf001/main.do?rcpNo=20241112900390", "공시열람")</f>
        <v/>
      </c>
    </row>
    <row r="3912">
      <c r="A3912" t="inlineStr">
        <is>
          <t>2024-11-12</t>
        </is>
      </c>
      <c r="B3912" t="inlineStr">
        <is>
          <t>LX세미콘</t>
        </is>
      </c>
      <c r="C3912" t="inlineStr">
        <is>
          <t>108320</t>
        </is>
      </c>
      <c r="D3912" t="inlineStr">
        <is>
          <t>연결</t>
        </is>
      </c>
      <c r="E3912" t="inlineStr">
        <is>
          <t>2024Q3</t>
        </is>
      </c>
      <c r="F3912" s="2" t="n">
        <v>419850</v>
      </c>
      <c r="G3912" t="n">
        <v>-13.4</v>
      </c>
      <c r="H3912" t="n">
        <v>1.7</v>
      </c>
      <c r="I3912" s="2" t="n">
        <v>34278</v>
      </c>
      <c r="J3912" t="n">
        <v>-38.9</v>
      </c>
      <c r="K3912" t="n">
        <v>129.6</v>
      </c>
      <c r="L3912" s="2" t="n">
        <v>25359</v>
      </c>
      <c r="M3912" t="n">
        <v>82.2</v>
      </c>
      <c r="N3912" t="inlineStr">
        <is>
          <t>20241112800409</t>
        </is>
      </c>
      <c r="O3912">
        <f>HYPERLINK("https://dart.fss.or.kr/dsaf001/main.do?rcpNo=20241112800409", "공시열람")</f>
        <v/>
      </c>
    </row>
    <row r="3913">
      <c r="A3913" t="inlineStr">
        <is>
          <t>2024-11-12</t>
        </is>
      </c>
      <c r="B3913" t="inlineStr">
        <is>
          <t>NHN벅스</t>
        </is>
      </c>
      <c r="C3913" t="inlineStr">
        <is>
          <t>104200</t>
        </is>
      </c>
      <c r="D3913" t="inlineStr">
        <is>
          <t>별도</t>
        </is>
      </c>
      <c r="E3913" t="inlineStr">
        <is>
          <t>2024Q3</t>
        </is>
      </c>
      <c r="F3913" s="2" t="n">
        <v>12651</v>
      </c>
      <c r="G3913" t="inlineStr"/>
      <c r="H3913" t="inlineStr"/>
      <c r="I3913" s="2" t="n">
        <v>-148</v>
      </c>
      <c r="J3913" t="inlineStr"/>
      <c r="K3913" t="inlineStr"/>
      <c r="L3913" s="2" t="n">
        <v>-316</v>
      </c>
      <c r="M3913" t="inlineStr"/>
      <c r="N3913" t="inlineStr">
        <is>
          <t>20241112900011</t>
        </is>
      </c>
      <c r="O3913">
        <f>HYPERLINK("https://dart.fss.or.kr/dsaf001/main.do?rcpNo=20241112900011", "공시열람")</f>
        <v/>
      </c>
    </row>
    <row r="3914">
      <c r="A3914" t="inlineStr">
        <is>
          <t>2024-11-12</t>
        </is>
      </c>
      <c r="B3914" t="inlineStr">
        <is>
          <t>NHN KCP</t>
        </is>
      </c>
      <c r="C3914" t="inlineStr">
        <is>
          <t>060250</t>
        </is>
      </c>
      <c r="D3914" t="inlineStr">
        <is>
          <t>별도</t>
        </is>
      </c>
      <c r="E3914" t="inlineStr">
        <is>
          <t>2024Q3</t>
        </is>
      </c>
      <c r="F3914" s="2" t="n">
        <v>271416</v>
      </c>
      <c r="G3914" t="inlineStr"/>
      <c r="H3914" t="inlineStr"/>
      <c r="I3914" s="2" t="n">
        <v>9187</v>
      </c>
      <c r="J3914" t="inlineStr"/>
      <c r="K3914" t="inlineStr"/>
      <c r="L3914" s="2" t="n">
        <v>8178</v>
      </c>
      <c r="M3914" t="inlineStr"/>
      <c r="N3914" t="inlineStr">
        <is>
          <t>20241112900008</t>
        </is>
      </c>
      <c r="O3914">
        <f>HYPERLINK("https://dart.fss.or.kr/dsaf001/main.do?rcpNo=20241112900008", "공시열람")</f>
        <v/>
      </c>
    </row>
    <row r="3915">
      <c r="A3915" t="inlineStr">
        <is>
          <t>2024-11-12</t>
        </is>
      </c>
      <c r="B3915" t="inlineStr">
        <is>
          <t>NHN KCP</t>
        </is>
      </c>
      <c r="C3915" t="inlineStr">
        <is>
          <t>060250</t>
        </is>
      </c>
      <c r="D3915" t="inlineStr">
        <is>
          <t>연결</t>
        </is>
      </c>
      <c r="E3915" t="inlineStr">
        <is>
          <t>2024Q3</t>
        </is>
      </c>
      <c r="F3915" s="2" t="n">
        <v>272446</v>
      </c>
      <c r="G3915" t="inlineStr"/>
      <c r="H3915" t="inlineStr"/>
      <c r="I3915" s="2" t="n">
        <v>8786</v>
      </c>
      <c r="J3915" t="inlineStr"/>
      <c r="K3915" t="inlineStr"/>
      <c r="L3915" s="2" t="n">
        <v>8045</v>
      </c>
      <c r="M3915" t="inlineStr"/>
      <c r="N3915" t="inlineStr">
        <is>
          <t>20241112900005</t>
        </is>
      </c>
      <c r="O3915">
        <f>HYPERLINK("https://dart.fss.or.kr/dsaf001/main.do?rcpNo=20241112900005", "공시열람")</f>
        <v/>
      </c>
    </row>
    <row r="3916">
      <c r="A3916" t="inlineStr">
        <is>
          <t>2024-11-12</t>
        </is>
      </c>
      <c r="B3916" t="inlineStr">
        <is>
          <t>펄어비스</t>
        </is>
      </c>
      <c r="C3916" t="inlineStr">
        <is>
          <t>263750</t>
        </is>
      </c>
      <c r="D3916" t="inlineStr">
        <is>
          <t>연결</t>
        </is>
      </c>
      <c r="E3916" t="inlineStr">
        <is>
          <t>2024Q3</t>
        </is>
      </c>
      <c r="F3916" s="2" t="n">
        <v>79453</v>
      </c>
      <c r="G3916" t="inlineStr"/>
      <c r="H3916" t="inlineStr"/>
      <c r="I3916" s="2" t="n">
        <v>-9236</v>
      </c>
      <c r="J3916" t="inlineStr"/>
      <c r="K3916" t="inlineStr"/>
      <c r="L3916" s="2" t="n">
        <v>-7810</v>
      </c>
      <c r="M3916" t="inlineStr"/>
      <c r="N3916" t="inlineStr">
        <is>
          <t>20241112900001</t>
        </is>
      </c>
      <c r="O3916">
        <f>HYPERLINK("https://dart.fss.or.kr/dsaf001/main.do?rcpNo=20241112900001", "공시열람")</f>
        <v/>
      </c>
    </row>
    <row r="3917">
      <c r="A3917" t="inlineStr">
        <is>
          <t>2024-11-12</t>
        </is>
      </c>
      <c r="B3917" t="inlineStr">
        <is>
          <t>NHN</t>
        </is>
      </c>
      <c r="C3917" t="inlineStr">
        <is>
          <t>181710</t>
        </is>
      </c>
      <c r="D3917" t="inlineStr">
        <is>
          <t>별도</t>
        </is>
      </c>
      <c r="E3917" t="inlineStr">
        <is>
          <t>2024Q3</t>
        </is>
      </c>
      <c r="F3917" s="2" t="n">
        <v>91621</v>
      </c>
      <c r="G3917" t="inlineStr"/>
      <c r="H3917" t="inlineStr"/>
      <c r="I3917" s="2" t="n">
        <v>23849</v>
      </c>
      <c r="J3917" t="inlineStr"/>
      <c r="K3917" t="inlineStr"/>
      <c r="L3917" s="2" t="n">
        <v>25204</v>
      </c>
      <c r="M3917" t="inlineStr"/>
      <c r="N3917" t="inlineStr">
        <is>
          <t>20241112800013</t>
        </is>
      </c>
      <c r="O3917">
        <f>HYPERLINK("https://dart.fss.or.kr/dsaf001/main.do?rcpNo=20241112800013", "공시열람")</f>
        <v/>
      </c>
    </row>
    <row r="3918">
      <c r="A3918" t="inlineStr">
        <is>
          <t>2024-11-11</t>
        </is>
      </c>
      <c r="B3918" t="inlineStr">
        <is>
          <t>지역난방공사</t>
        </is>
      </c>
      <c r="C3918" t="inlineStr">
        <is>
          <t>071320</t>
        </is>
      </c>
      <c r="D3918" t="inlineStr">
        <is>
          <t>연결</t>
        </is>
      </c>
      <c r="E3918" t="inlineStr">
        <is>
          <t>2024Q3</t>
        </is>
      </c>
      <c r="F3918" s="2" t="n">
        <v>585081</v>
      </c>
      <c r="G3918" t="inlineStr"/>
      <c r="H3918" t="inlineStr"/>
      <c r="I3918" s="2" t="n">
        <v>28866</v>
      </c>
      <c r="J3918" t="inlineStr"/>
      <c r="K3918" t="inlineStr"/>
      <c r="L3918" s="2" t="n">
        <v>32609</v>
      </c>
      <c r="M3918" t="inlineStr"/>
      <c r="N3918" t="inlineStr">
        <is>
          <t>20241111800117</t>
        </is>
      </c>
      <c r="O3918">
        <f>HYPERLINK("https://dart.fss.or.kr/dsaf001/main.do?rcpNo=20241111800117", "공시열람")</f>
        <v/>
      </c>
    </row>
    <row r="3919">
      <c r="A3919" t="inlineStr">
        <is>
          <t>2024-11-11</t>
        </is>
      </c>
      <c r="B3919" t="inlineStr">
        <is>
          <t>아이쓰리시스템</t>
        </is>
      </c>
      <c r="C3919" t="inlineStr">
        <is>
          <t>214430</t>
        </is>
      </c>
      <c r="D3919" t="inlineStr">
        <is>
          <t>별도</t>
        </is>
      </c>
      <c r="E3919" t="inlineStr">
        <is>
          <t>2024Q3</t>
        </is>
      </c>
      <c r="F3919" s="2" t="n">
        <v>29121</v>
      </c>
      <c r="G3919" t="inlineStr"/>
      <c r="H3919" t="inlineStr"/>
      <c r="I3919" s="2" t="n">
        <v>2865</v>
      </c>
      <c r="J3919" t="inlineStr"/>
      <c r="K3919" t="inlineStr"/>
      <c r="L3919" s="2" t="n">
        <v>2705</v>
      </c>
      <c r="M3919" t="inlineStr"/>
      <c r="N3919" t="inlineStr">
        <is>
          <t>20241111900124</t>
        </is>
      </c>
      <c r="O3919">
        <f>HYPERLINK("https://dart.fss.or.kr/dsaf001/main.do?rcpNo=20241111900124", "공시열람")</f>
        <v/>
      </c>
    </row>
    <row r="3920">
      <c r="A3920" t="inlineStr">
        <is>
          <t>2024-11-11</t>
        </is>
      </c>
      <c r="B3920" t="inlineStr">
        <is>
          <t>코스맥스</t>
        </is>
      </c>
      <c r="C3920" t="inlineStr">
        <is>
          <t>192820</t>
        </is>
      </c>
      <c r="D3920" t="inlineStr">
        <is>
          <t>연결</t>
        </is>
      </c>
      <c r="E3920" t="inlineStr">
        <is>
          <t>2024Q3</t>
        </is>
      </c>
      <c r="F3920" s="2" t="n">
        <v>529832</v>
      </c>
      <c r="G3920" t="n">
        <v>-3.9</v>
      </c>
      <c r="H3920" t="n">
        <v>15.6</v>
      </c>
      <c r="I3920" s="2" t="n">
        <v>43413</v>
      </c>
      <c r="J3920" t="n">
        <v>-7.1</v>
      </c>
      <c r="K3920" t="n">
        <v>30.4</v>
      </c>
      <c r="L3920" s="2" t="n">
        <v>20618</v>
      </c>
      <c r="M3920" t="n">
        <v>90</v>
      </c>
      <c r="N3920" t="inlineStr">
        <is>
          <t>20241111800347</t>
        </is>
      </c>
      <c r="O3920">
        <f>HYPERLINK("https://dart.fss.or.kr/dsaf001/main.do?rcpNo=20241111800347", "공시열람")</f>
        <v/>
      </c>
    </row>
    <row r="3921">
      <c r="A3921" t="inlineStr">
        <is>
          <t>2024-11-11</t>
        </is>
      </c>
      <c r="B3921" t="inlineStr">
        <is>
          <t>현대공업</t>
        </is>
      </c>
      <c r="C3921" t="inlineStr">
        <is>
          <t>170030</t>
        </is>
      </c>
      <c r="D3921" t="inlineStr">
        <is>
          <t>연결</t>
        </is>
      </c>
      <c r="E3921" t="inlineStr">
        <is>
          <t>2024Q3</t>
        </is>
      </c>
      <c r="F3921" s="2" t="n">
        <v>74812</v>
      </c>
      <c r="G3921" t="inlineStr"/>
      <c r="H3921" t="inlineStr"/>
      <c r="I3921" s="2" t="n">
        <v>3502</v>
      </c>
      <c r="J3921" t="inlineStr"/>
      <c r="K3921" t="inlineStr"/>
      <c r="L3921" s="2" t="n">
        <v>1383</v>
      </c>
      <c r="M3921" t="inlineStr"/>
      <c r="N3921" t="inlineStr">
        <is>
          <t>20241111900127</t>
        </is>
      </c>
      <c r="O3921">
        <f>HYPERLINK("https://dart.fss.or.kr/dsaf001/main.do?rcpNo=20241111900127", "공시열람")</f>
        <v/>
      </c>
    </row>
    <row r="3922">
      <c r="A3922" t="inlineStr">
        <is>
          <t>2024-11-11</t>
        </is>
      </c>
      <c r="B3922" t="inlineStr">
        <is>
          <t>케어젠</t>
        </is>
      </c>
      <c r="C3922" t="inlineStr">
        <is>
          <t>214370</t>
        </is>
      </c>
      <c r="D3922" t="inlineStr">
        <is>
          <t>연결</t>
        </is>
      </c>
      <c r="E3922" t="inlineStr">
        <is>
          <t>2024Q3</t>
        </is>
      </c>
      <c r="F3922" s="2" t="n">
        <v>20317</v>
      </c>
      <c r="G3922" t="inlineStr"/>
      <c r="H3922" t="inlineStr"/>
      <c r="I3922" s="2" t="n">
        <v>12686</v>
      </c>
      <c r="J3922" t="inlineStr"/>
      <c r="K3922" t="inlineStr"/>
      <c r="L3922" s="2" t="n">
        <v>11697</v>
      </c>
      <c r="M3922" t="inlineStr"/>
      <c r="N3922" t="inlineStr">
        <is>
          <t>20241111900106</t>
        </is>
      </c>
      <c r="O3922">
        <f>HYPERLINK("https://dart.fss.or.kr/dsaf001/main.do?rcpNo=20241111900106", "공시열람")</f>
        <v/>
      </c>
    </row>
    <row r="3923">
      <c r="A3923" t="inlineStr">
        <is>
          <t>2024-11-11</t>
        </is>
      </c>
      <c r="B3923" t="inlineStr">
        <is>
          <t>에스폴리텍</t>
        </is>
      </c>
      <c r="C3923" t="inlineStr">
        <is>
          <t>050760</t>
        </is>
      </c>
      <c r="D3923" t="inlineStr">
        <is>
          <t>연결</t>
        </is>
      </c>
      <c r="E3923" t="inlineStr">
        <is>
          <t>2024Q3</t>
        </is>
      </c>
      <c r="F3923" s="2" t="n">
        <v>18110</v>
      </c>
      <c r="G3923" t="inlineStr"/>
      <c r="H3923" t="inlineStr"/>
      <c r="I3923" s="2" t="n">
        <v>-287</v>
      </c>
      <c r="J3923" t="inlineStr"/>
      <c r="K3923" t="inlineStr"/>
      <c r="L3923" s="2" t="n">
        <v>-1882</v>
      </c>
      <c r="M3923" t="inlineStr"/>
      <c r="N3923" t="inlineStr">
        <is>
          <t>20241111900113</t>
        </is>
      </c>
      <c r="O3923">
        <f>HYPERLINK("https://dart.fss.or.kr/dsaf001/main.do?rcpNo=20241111900113", "공시열람")</f>
        <v/>
      </c>
    </row>
    <row r="3924">
      <c r="A3924" t="inlineStr">
        <is>
          <t>2024-11-11</t>
        </is>
      </c>
      <c r="B3924" t="inlineStr">
        <is>
          <t>에스폴리텍</t>
        </is>
      </c>
      <c r="C3924" t="inlineStr">
        <is>
          <t>050760</t>
        </is>
      </c>
      <c r="D3924" t="inlineStr">
        <is>
          <t>별도</t>
        </is>
      </c>
      <c r="E3924" t="inlineStr">
        <is>
          <t>2024Q3</t>
        </is>
      </c>
      <c r="F3924" s="2" t="n">
        <v>17998</v>
      </c>
      <c r="G3924" t="inlineStr"/>
      <c r="H3924" t="inlineStr"/>
      <c r="I3924" s="2" t="n">
        <v>-220</v>
      </c>
      <c r="J3924" t="inlineStr"/>
      <c r="K3924" t="inlineStr"/>
      <c r="L3924" s="2" t="n">
        <v>-1894</v>
      </c>
      <c r="M3924" t="inlineStr"/>
      <c r="N3924" t="inlineStr">
        <is>
          <t>20241111900115</t>
        </is>
      </c>
      <c r="O3924">
        <f>HYPERLINK("https://dart.fss.or.kr/dsaf001/main.do?rcpNo=20241111900115", "공시열람")</f>
        <v/>
      </c>
    </row>
    <row r="3925">
      <c r="A3925" t="inlineStr">
        <is>
          <t>2024-11-11</t>
        </is>
      </c>
      <c r="B3925" t="inlineStr">
        <is>
          <t>LX홀딩스</t>
        </is>
      </c>
      <c r="C3925" t="inlineStr">
        <is>
          <t>383800</t>
        </is>
      </c>
      <c r="D3925" t="inlineStr">
        <is>
          <t>연결</t>
        </is>
      </c>
      <c r="E3925" t="inlineStr">
        <is>
          <t>2024Q3</t>
        </is>
      </c>
      <c r="F3925" s="2" t="n">
        <v>10999</v>
      </c>
      <c r="G3925" t="n">
        <v>3.3</v>
      </c>
      <c r="H3925" t="n">
        <v>27.3</v>
      </c>
      <c r="I3925" s="2" t="n">
        <v>54832</v>
      </c>
      <c r="J3925" t="n">
        <v>-6.5</v>
      </c>
      <c r="K3925" t="n">
        <v>171.8</v>
      </c>
      <c r="L3925" s="2" t="n">
        <v>55283</v>
      </c>
      <c r="M3925" t="n">
        <v>157.8</v>
      </c>
      <c r="N3925" t="inlineStr">
        <is>
          <t>20241111800621</t>
        </is>
      </c>
      <c r="O3925">
        <f>HYPERLINK("https://dart.fss.or.kr/dsaf001/main.do?rcpNo=20241111800621", "공시열람")</f>
        <v/>
      </c>
    </row>
    <row r="3926">
      <c r="A3926" t="inlineStr">
        <is>
          <t>2024-11-11</t>
        </is>
      </c>
      <c r="B3926" t="inlineStr">
        <is>
          <t>아이크래프트</t>
        </is>
      </c>
      <c r="C3926" t="inlineStr">
        <is>
          <t>052460</t>
        </is>
      </c>
      <c r="D3926" t="inlineStr">
        <is>
          <t>연결</t>
        </is>
      </c>
      <c r="E3926" t="inlineStr">
        <is>
          <t>2024Q3</t>
        </is>
      </c>
      <c r="F3926" s="2" t="n">
        <v>14494</v>
      </c>
      <c r="G3926" t="inlineStr"/>
      <c r="H3926" t="inlineStr"/>
      <c r="I3926" s="2" t="n">
        <v>-1202</v>
      </c>
      <c r="J3926" t="inlineStr"/>
      <c r="K3926" t="inlineStr"/>
      <c r="L3926" s="2" t="n">
        <v>-1316</v>
      </c>
      <c r="M3926" t="inlineStr"/>
      <c r="N3926" t="inlineStr">
        <is>
          <t>20241111900535</t>
        </is>
      </c>
      <c r="O3926">
        <f>HYPERLINK("https://dart.fss.or.kr/dsaf001/main.do?rcpNo=20241111900535", "공시열람")</f>
        <v/>
      </c>
    </row>
    <row r="3927">
      <c r="A3927" t="inlineStr">
        <is>
          <t>2024-11-11</t>
        </is>
      </c>
      <c r="B3927" t="inlineStr">
        <is>
          <t>아이크래프트</t>
        </is>
      </c>
      <c r="C3927" t="inlineStr">
        <is>
          <t>052460</t>
        </is>
      </c>
      <c r="D3927" t="inlineStr">
        <is>
          <t>별도</t>
        </is>
      </c>
      <c r="E3927" t="inlineStr">
        <is>
          <t>2024Q3</t>
        </is>
      </c>
      <c r="F3927" s="2" t="n">
        <v>11179</v>
      </c>
      <c r="G3927" t="inlineStr"/>
      <c r="H3927" t="inlineStr"/>
      <c r="I3927" s="2" t="n">
        <v>-1393</v>
      </c>
      <c r="J3927" t="inlineStr"/>
      <c r="K3927" t="inlineStr"/>
      <c r="L3927" s="2" t="n">
        <v>-1546</v>
      </c>
      <c r="M3927" t="inlineStr"/>
      <c r="N3927" t="inlineStr">
        <is>
          <t>20241111900534</t>
        </is>
      </c>
      <c r="O3927">
        <f>HYPERLINK("https://dart.fss.or.kr/dsaf001/main.do?rcpNo=20241111900534", "공시열람")</f>
        <v/>
      </c>
    </row>
    <row r="3928">
      <c r="A3928" t="inlineStr">
        <is>
          <t>2024-11-11</t>
        </is>
      </c>
      <c r="B3928" t="inlineStr">
        <is>
          <t>한전KPS</t>
        </is>
      </c>
      <c r="C3928" t="inlineStr">
        <is>
          <t>051600</t>
        </is>
      </c>
      <c r="D3928" t="inlineStr">
        <is>
          <t>연결</t>
        </is>
      </c>
      <c r="E3928" t="inlineStr">
        <is>
          <t>2024Q3</t>
        </is>
      </c>
      <c r="F3928" s="2" t="n">
        <v>354440</v>
      </c>
      <c r="G3928" t="n">
        <v>-17.3</v>
      </c>
      <c r="H3928" t="n">
        <v>6.7</v>
      </c>
      <c r="I3928" s="2" t="n">
        <v>41987</v>
      </c>
      <c r="J3928" t="n">
        <v>-43.6</v>
      </c>
      <c r="K3928" t="n">
        <v>15.3</v>
      </c>
      <c r="L3928" s="2" t="n">
        <v>33881</v>
      </c>
      <c r="M3928" t="n">
        <v>13.4</v>
      </c>
      <c r="N3928" t="inlineStr">
        <is>
          <t>20241111800420</t>
        </is>
      </c>
      <c r="O3928">
        <f>HYPERLINK("https://dart.fss.or.kr/dsaf001/main.do?rcpNo=20241111800420", "공시열람")</f>
        <v/>
      </c>
    </row>
    <row r="3929">
      <c r="A3929" t="inlineStr">
        <is>
          <t>2024-11-11</t>
        </is>
      </c>
      <c r="B3929" t="inlineStr">
        <is>
          <t>키다리스튜디오</t>
        </is>
      </c>
      <c r="C3929" t="inlineStr">
        <is>
          <t>020120</t>
        </is>
      </c>
      <c r="D3929" t="inlineStr">
        <is>
          <t>연결</t>
        </is>
      </c>
      <c r="E3929" t="inlineStr">
        <is>
          <t>2024Q3</t>
        </is>
      </c>
      <c r="F3929" s="2" t="n">
        <v>50267</v>
      </c>
      <c r="G3929" t="n">
        <v>1</v>
      </c>
      <c r="H3929" t="n">
        <v>18.2</v>
      </c>
      <c r="I3929" s="2" t="n">
        <v>540</v>
      </c>
      <c r="J3929" t="n">
        <v>-26.4</v>
      </c>
      <c r="K3929" t="inlineStr"/>
      <c r="L3929" s="2" t="n">
        <v>-64</v>
      </c>
      <c r="M3929" t="n">
        <v>97.8</v>
      </c>
      <c r="N3929" t="inlineStr">
        <is>
          <t>20241111800410</t>
        </is>
      </c>
      <c r="O3929">
        <f>HYPERLINK("https://dart.fss.or.kr/dsaf001/main.do?rcpNo=20241111800410", "공시열람")</f>
        <v/>
      </c>
    </row>
    <row r="3930">
      <c r="A3930" t="inlineStr">
        <is>
          <t>2024-11-11</t>
        </is>
      </c>
      <c r="B3930" t="inlineStr">
        <is>
          <t>티비에이치글로벌</t>
        </is>
      </c>
      <c r="C3930" t="inlineStr">
        <is>
          <t>084870</t>
        </is>
      </c>
      <c r="D3930" t="inlineStr">
        <is>
          <t>연결</t>
        </is>
      </c>
      <c r="E3930" t="inlineStr">
        <is>
          <t>2024Q3</t>
        </is>
      </c>
      <c r="F3930" s="2" t="n">
        <v>31764</v>
      </c>
      <c r="G3930" t="n">
        <v>-36.3</v>
      </c>
      <c r="H3930" t="n">
        <v>-19.1</v>
      </c>
      <c r="I3930" s="2" t="n">
        <v>-2819</v>
      </c>
      <c r="J3930" t="inlineStr"/>
      <c r="K3930" t="n">
        <v>-191.4</v>
      </c>
      <c r="L3930" s="2" t="n">
        <v>-2721</v>
      </c>
      <c r="M3930" t="n">
        <v>-133</v>
      </c>
      <c r="N3930" t="inlineStr">
        <is>
          <t>20241111800320</t>
        </is>
      </c>
      <c r="O3930">
        <f>HYPERLINK("https://dart.fss.or.kr/dsaf001/main.do?rcpNo=20241111800320", "공시열람")</f>
        <v/>
      </c>
    </row>
    <row r="3931">
      <c r="A3931" t="inlineStr">
        <is>
          <t>2024-11-11</t>
        </is>
      </c>
      <c r="B3931" t="inlineStr">
        <is>
          <t>이스트소프트</t>
        </is>
      </c>
      <c r="C3931" t="inlineStr">
        <is>
          <t>047560</t>
        </is>
      </c>
      <c r="D3931" t="inlineStr">
        <is>
          <t>연결</t>
        </is>
      </c>
      <c r="E3931" t="inlineStr">
        <is>
          <t>2024Q3</t>
        </is>
      </c>
      <c r="F3931" s="2" t="n">
        <v>24937</v>
      </c>
      <c r="G3931" t="inlineStr"/>
      <c r="H3931" t="inlineStr"/>
      <c r="I3931" s="2" t="n">
        <v>-3268</v>
      </c>
      <c r="J3931" t="inlineStr"/>
      <c r="K3931" t="inlineStr"/>
      <c r="L3931" s="2" t="n">
        <v>-3864</v>
      </c>
      <c r="M3931" t="inlineStr"/>
      <c r="N3931" t="inlineStr">
        <is>
          <t>20241111900307</t>
        </is>
      </c>
      <c r="O3931">
        <f>HYPERLINK("https://dart.fss.or.kr/dsaf001/main.do?rcpNo=20241111900307", "공시열람")</f>
        <v/>
      </c>
    </row>
    <row r="3932">
      <c r="A3932" t="inlineStr">
        <is>
          <t>2024-11-11</t>
        </is>
      </c>
      <c r="B3932" t="inlineStr">
        <is>
          <t>라온로보틱스</t>
        </is>
      </c>
      <c r="C3932" t="inlineStr">
        <is>
          <t>232680</t>
        </is>
      </c>
      <c r="D3932" t="inlineStr">
        <is>
          <t>별도</t>
        </is>
      </c>
      <c r="E3932" t="inlineStr">
        <is>
          <t>2024Q3</t>
        </is>
      </c>
      <c r="F3932" s="2" t="n">
        <v>15046</v>
      </c>
      <c r="G3932" t="inlineStr"/>
      <c r="H3932" t="inlineStr"/>
      <c r="I3932" s="2" t="n">
        <v>1149</v>
      </c>
      <c r="J3932" t="inlineStr"/>
      <c r="K3932" t="inlineStr"/>
      <c r="L3932" s="2" t="n">
        <v>1066</v>
      </c>
      <c r="M3932" t="inlineStr"/>
      <c r="N3932" t="inlineStr">
        <is>
          <t>20241111900303</t>
        </is>
      </c>
      <c r="O3932">
        <f>HYPERLINK("https://dart.fss.or.kr/dsaf001/main.do?rcpNo=20241111900303", "공시열람")</f>
        <v/>
      </c>
    </row>
    <row r="3933">
      <c r="A3933" t="inlineStr">
        <is>
          <t>2024-11-11</t>
        </is>
      </c>
      <c r="B3933" t="inlineStr">
        <is>
          <t>한화손해보험</t>
        </is>
      </c>
      <c r="C3933" t="inlineStr">
        <is>
          <t>000370</t>
        </is>
      </c>
      <c r="D3933" t="inlineStr">
        <is>
          <t>별도</t>
        </is>
      </c>
      <c r="E3933" t="inlineStr">
        <is>
          <t>2024Q3</t>
        </is>
      </c>
      <c r="F3933" s="2" t="n">
        <v>1411559</v>
      </c>
      <c r="G3933" t="n">
        <v>-4.8</v>
      </c>
      <c r="H3933" t="n">
        <v>2.9</v>
      </c>
      <c r="I3933" s="2" t="n">
        <v>125842</v>
      </c>
      <c r="J3933" t="n">
        <v>-23.1</v>
      </c>
      <c r="K3933" t="n">
        <v>84.59999999999999</v>
      </c>
      <c r="L3933" s="2" t="n">
        <v>91015</v>
      </c>
      <c r="M3933" t="n">
        <v>77.40000000000001</v>
      </c>
      <c r="N3933" t="inlineStr">
        <is>
          <t>20241111800263</t>
        </is>
      </c>
      <c r="O3933">
        <f>HYPERLINK("https://dart.fss.or.kr/dsaf001/main.do?rcpNo=20241111800263", "공시열람")</f>
        <v/>
      </c>
    </row>
    <row r="3934">
      <c r="A3934" t="inlineStr">
        <is>
          <t>2024-11-11</t>
        </is>
      </c>
      <c r="B3934" t="inlineStr">
        <is>
          <t>GKL</t>
        </is>
      </c>
      <c r="C3934" t="inlineStr">
        <is>
          <t>114090</t>
        </is>
      </c>
      <c r="D3934" t="inlineStr">
        <is>
          <t>연결</t>
        </is>
      </c>
      <c r="E3934" t="inlineStr">
        <is>
          <t>2024Q3</t>
        </is>
      </c>
      <c r="F3934" s="2" t="n">
        <v>93768</v>
      </c>
      <c r="G3934" t="inlineStr"/>
      <c r="H3934" t="inlineStr"/>
      <c r="I3934" s="2" t="n">
        <v>5795</v>
      </c>
      <c r="J3934" t="inlineStr"/>
      <c r="K3934" t="inlineStr"/>
      <c r="L3934" s="2" t="n">
        <v>6044</v>
      </c>
      <c r="M3934" t="inlineStr"/>
      <c r="N3934" t="inlineStr">
        <is>
          <t>20241111800241</t>
        </is>
      </c>
      <c r="O3934">
        <f>HYPERLINK("https://dart.fss.or.kr/dsaf001/main.do?rcpNo=20241111800241", "공시열람")</f>
        <v/>
      </c>
    </row>
    <row r="3935">
      <c r="A3935" t="inlineStr">
        <is>
          <t>2024-11-11</t>
        </is>
      </c>
      <c r="B3935" t="inlineStr">
        <is>
          <t>메디톡스</t>
        </is>
      </c>
      <c r="C3935" t="inlineStr">
        <is>
          <t>086900</t>
        </is>
      </c>
      <c r="D3935" t="inlineStr">
        <is>
          <t>연결</t>
        </is>
      </c>
      <c r="E3935" t="inlineStr">
        <is>
          <t>2024Q3</t>
        </is>
      </c>
      <c r="F3935" s="2" t="n">
        <v>53852</v>
      </c>
      <c r="G3935" t="inlineStr"/>
      <c r="H3935" t="inlineStr"/>
      <c r="I3935" s="2" t="n">
        <v>6000</v>
      </c>
      <c r="J3935" t="inlineStr"/>
      <c r="K3935" t="inlineStr"/>
      <c r="L3935" s="2" t="n">
        <v>1222</v>
      </c>
      <c r="M3935" t="inlineStr"/>
      <c r="N3935" t="inlineStr">
        <is>
          <t>20241111900221</t>
        </is>
      </c>
      <c r="O3935">
        <f>HYPERLINK("https://dart.fss.or.kr/dsaf001/main.do?rcpNo=20241111900221", "공시열람")</f>
        <v/>
      </c>
    </row>
    <row r="3936">
      <c r="A3936" t="inlineStr">
        <is>
          <t>2024-11-11</t>
        </is>
      </c>
      <c r="B3936" t="inlineStr">
        <is>
          <t>메디톡스</t>
        </is>
      </c>
      <c r="C3936" t="inlineStr">
        <is>
          <t>086900</t>
        </is>
      </c>
      <c r="D3936" t="inlineStr">
        <is>
          <t>연결</t>
        </is>
      </c>
      <c r="E3936" t="inlineStr">
        <is>
          <t>2024Q3</t>
        </is>
      </c>
      <c r="F3936" s="2" t="n">
        <v>53852</v>
      </c>
      <c r="G3936" t="inlineStr"/>
      <c r="H3936" t="inlineStr"/>
      <c r="I3936" s="2" t="n">
        <v>6000</v>
      </c>
      <c r="J3936" t="inlineStr"/>
      <c r="K3936" t="inlineStr"/>
      <c r="L3936" s="2" t="n">
        <v>1222</v>
      </c>
      <c r="M3936" t="inlineStr"/>
      <c r="N3936" t="inlineStr">
        <is>
          <t>20241111900203</t>
        </is>
      </c>
      <c r="O3936">
        <f>HYPERLINK("https://dart.fss.or.kr/dsaf001/main.do?rcpNo=20241111900203", "공시열람")</f>
        <v/>
      </c>
    </row>
    <row r="3937">
      <c r="A3937" t="inlineStr">
        <is>
          <t>2024-11-11</t>
        </is>
      </c>
      <c r="B3937" t="inlineStr">
        <is>
          <t>씨앤씨인터내셔널</t>
        </is>
      </c>
      <c r="C3937" t="inlineStr">
        <is>
          <t>352480</t>
        </is>
      </c>
      <c r="D3937" t="inlineStr">
        <is>
          <t>연결</t>
        </is>
      </c>
      <c r="E3937" t="inlineStr">
        <is>
          <t>2024Q3</t>
        </is>
      </c>
      <c r="F3937" s="2" t="n">
        <v>74123</v>
      </c>
      <c r="G3937" t="inlineStr"/>
      <c r="H3937" t="inlineStr"/>
      <c r="I3937" s="2" t="n">
        <v>7154</v>
      </c>
      <c r="J3937" t="inlineStr"/>
      <c r="K3937" t="inlineStr"/>
      <c r="L3937" s="2" t="n">
        <v>170</v>
      </c>
      <c r="M3937" t="inlineStr"/>
      <c r="N3937" t="inlineStr">
        <is>
          <t>20241111900173</t>
        </is>
      </c>
      <c r="O3937">
        <f>HYPERLINK("https://dart.fss.or.kr/dsaf001/main.do?rcpNo=20241111900173", "공시열람")</f>
        <v/>
      </c>
    </row>
    <row r="3938">
      <c r="A3938" t="inlineStr">
        <is>
          <t>2024-11-11</t>
        </is>
      </c>
      <c r="B3938" t="inlineStr">
        <is>
          <t>태광</t>
        </is>
      </c>
      <c r="C3938" t="inlineStr">
        <is>
          <t>023160</t>
        </is>
      </c>
      <c r="D3938" t="inlineStr">
        <is>
          <t>연결</t>
        </is>
      </c>
      <c r="E3938" t="inlineStr">
        <is>
          <t>2024Q3</t>
        </is>
      </c>
      <c r="F3938" s="2" t="n">
        <v>61753</v>
      </c>
      <c r="G3938" t="inlineStr"/>
      <c r="H3938" t="inlineStr"/>
      <c r="I3938" s="2" t="n">
        <v>7578</v>
      </c>
      <c r="J3938" t="inlineStr"/>
      <c r="K3938" t="inlineStr"/>
      <c r="L3938" s="2" t="n">
        <v>6881</v>
      </c>
      <c r="M3938" t="inlineStr"/>
      <c r="N3938" t="inlineStr">
        <is>
          <t>20241111900150</t>
        </is>
      </c>
      <c r="O3938">
        <f>HYPERLINK("https://dart.fss.or.kr/dsaf001/main.do?rcpNo=20241111900150", "공시열람")</f>
        <v/>
      </c>
    </row>
    <row r="3939">
      <c r="A3939" t="inlineStr">
        <is>
          <t>2024-11-08</t>
        </is>
      </c>
      <c r="B3939" t="inlineStr">
        <is>
          <t>CJ프레시웨이</t>
        </is>
      </c>
      <c r="C3939" t="inlineStr">
        <is>
          <t>051500</t>
        </is>
      </c>
      <c r="D3939" t="inlineStr">
        <is>
          <t>연결</t>
        </is>
      </c>
      <c r="E3939" t="inlineStr">
        <is>
          <t>2024Q3</t>
        </is>
      </c>
      <c r="F3939" s="2" t="n">
        <v>831893</v>
      </c>
      <c r="G3939" t="inlineStr"/>
      <c r="H3939" t="inlineStr"/>
      <c r="I3939" s="2" t="n">
        <v>28200</v>
      </c>
      <c r="J3939" t="inlineStr"/>
      <c r="K3939" t="inlineStr"/>
      <c r="L3939" s="2" t="n">
        <v>-7820</v>
      </c>
      <c r="M3939" t="inlineStr"/>
      <c r="N3939" t="inlineStr">
        <is>
          <t>20241108900408</t>
        </is>
      </c>
      <c r="O3939">
        <f>HYPERLINK("https://dart.fss.or.kr/dsaf001/main.do?rcpNo=20241108900408", "공시열람")</f>
        <v/>
      </c>
    </row>
    <row r="3940">
      <c r="A3940" t="inlineStr">
        <is>
          <t>2024-11-08</t>
        </is>
      </c>
      <c r="B3940" t="inlineStr">
        <is>
          <t>코웨이</t>
        </is>
      </c>
      <c r="C3940" t="inlineStr">
        <is>
          <t>021240</t>
        </is>
      </c>
      <c r="D3940" t="inlineStr">
        <is>
          <t>연결</t>
        </is>
      </c>
      <c r="E3940" t="inlineStr">
        <is>
          <t>2024Q3</t>
        </is>
      </c>
      <c r="F3940" s="2" t="n">
        <v>1100336</v>
      </c>
      <c r="G3940" t="inlineStr"/>
      <c r="H3940" t="inlineStr"/>
      <c r="I3940" s="2" t="n">
        <v>207051</v>
      </c>
      <c r="J3940" t="inlineStr"/>
      <c r="K3940" t="inlineStr"/>
      <c r="L3940" s="2" t="n">
        <v>179481</v>
      </c>
      <c r="M3940" t="inlineStr"/>
      <c r="N3940" t="inlineStr">
        <is>
          <t>20241108800459</t>
        </is>
      </c>
      <c r="O3940">
        <f>HYPERLINK("https://dart.fss.or.kr/dsaf001/main.do?rcpNo=20241108800459", "공시열람")</f>
        <v/>
      </c>
    </row>
    <row r="3941">
      <c r="A3941" t="inlineStr">
        <is>
          <t>2024-11-08</t>
        </is>
      </c>
      <c r="B3941" t="inlineStr">
        <is>
          <t>잉글우드랩</t>
        </is>
      </c>
      <c r="C3941" t="inlineStr">
        <is>
          <t>950140</t>
        </is>
      </c>
      <c r="D3941" t="inlineStr">
        <is>
          <t>연결</t>
        </is>
      </c>
      <c r="E3941" t="inlineStr">
        <is>
          <t>2024Q3</t>
        </is>
      </c>
      <c r="F3941" s="2" t="n">
        <v>41143</v>
      </c>
      <c r="G3941" t="inlineStr"/>
      <c r="H3941" t="inlineStr"/>
      <c r="I3941" s="2" t="n">
        <v>4072</v>
      </c>
      <c r="J3941" t="inlineStr"/>
      <c r="K3941" t="inlineStr"/>
      <c r="L3941" s="2" t="n">
        <v>541</v>
      </c>
      <c r="M3941" t="inlineStr"/>
      <c r="N3941" t="inlineStr">
        <is>
          <t>20241108900438</t>
        </is>
      </c>
      <c r="O3941">
        <f>HYPERLINK("https://dart.fss.or.kr/dsaf001/main.do?rcpNo=20241108900438", "공시열람")</f>
        <v/>
      </c>
    </row>
    <row r="3942">
      <c r="A3942" t="inlineStr">
        <is>
          <t>2024-11-08</t>
        </is>
      </c>
      <c r="B3942" t="inlineStr">
        <is>
          <t>셀트리온</t>
        </is>
      </c>
      <c r="C3942" t="inlineStr">
        <is>
          <t>068270</t>
        </is>
      </c>
      <c r="D3942" t="inlineStr">
        <is>
          <t>연결</t>
        </is>
      </c>
      <c r="E3942" t="inlineStr">
        <is>
          <t>2024Q3</t>
        </is>
      </c>
      <c r="F3942" s="2" t="n">
        <v>881933</v>
      </c>
      <c r="G3942" t="inlineStr"/>
      <c r="H3942" t="inlineStr"/>
      <c r="I3942" s="2" t="n">
        <v>207686</v>
      </c>
      <c r="J3942" t="inlineStr"/>
      <c r="K3942" t="inlineStr"/>
      <c r="L3942" s="2" t="n">
        <v>84094</v>
      </c>
      <c r="M3942" t="inlineStr"/>
      <c r="N3942" t="inlineStr">
        <is>
          <t>20241108800423</t>
        </is>
      </c>
      <c r="O3942">
        <f>HYPERLINK("https://dart.fss.or.kr/dsaf001/main.do?rcpNo=20241108800423", "공시열람")</f>
        <v/>
      </c>
    </row>
    <row r="3943">
      <c r="A3943" t="inlineStr">
        <is>
          <t>2024-11-08</t>
        </is>
      </c>
      <c r="B3943" t="inlineStr">
        <is>
          <t>클리오</t>
        </is>
      </c>
      <c r="C3943" t="inlineStr">
        <is>
          <t>237880</t>
        </is>
      </c>
      <c r="D3943" t="inlineStr">
        <is>
          <t>연결</t>
        </is>
      </c>
      <c r="E3943" t="inlineStr">
        <is>
          <t>2024Q3</t>
        </is>
      </c>
      <c r="F3943" s="2" t="n">
        <v>87559</v>
      </c>
      <c r="G3943" t="inlineStr"/>
      <c r="H3943" t="inlineStr"/>
      <c r="I3943" s="2" t="n">
        <v>6407</v>
      </c>
      <c r="J3943" t="inlineStr"/>
      <c r="K3943" t="inlineStr"/>
      <c r="L3943" s="2" t="n">
        <v>6024</v>
      </c>
      <c r="M3943" t="inlineStr"/>
      <c r="N3943" t="inlineStr">
        <is>
          <t>20241108900403</t>
        </is>
      </c>
      <c r="O3943">
        <f>HYPERLINK("https://dart.fss.or.kr/dsaf001/main.do?rcpNo=20241108900403", "공시열람")</f>
        <v/>
      </c>
    </row>
    <row r="3944">
      <c r="A3944" t="inlineStr">
        <is>
          <t>2024-11-08</t>
        </is>
      </c>
      <c r="B3944" t="inlineStr">
        <is>
          <t>셀트리온</t>
        </is>
      </c>
      <c r="C3944" t="inlineStr">
        <is>
          <t>068270</t>
        </is>
      </c>
      <c r="D3944" t="inlineStr">
        <is>
          <t>별도</t>
        </is>
      </c>
      <c r="E3944" t="inlineStr">
        <is>
          <t>2024Q3</t>
        </is>
      </c>
      <c r="F3944" s="2" t="n">
        <v>1039932</v>
      </c>
      <c r="G3944" t="inlineStr"/>
      <c r="H3944" t="inlineStr"/>
      <c r="I3944" s="2" t="n">
        <v>461652</v>
      </c>
      <c r="J3944" t="inlineStr"/>
      <c r="K3944" t="inlineStr"/>
      <c r="L3944" s="2" t="n">
        <v>320716</v>
      </c>
      <c r="M3944" t="inlineStr"/>
      <c r="N3944" t="inlineStr">
        <is>
          <t>20241108800420</t>
        </is>
      </c>
      <c r="O3944">
        <f>HYPERLINK("https://dart.fss.or.kr/dsaf001/main.do?rcpNo=20241108800420", "공시열람")</f>
        <v/>
      </c>
    </row>
    <row r="3945">
      <c r="A3945" t="inlineStr">
        <is>
          <t>2024-11-08</t>
        </is>
      </c>
      <c r="B3945" t="inlineStr">
        <is>
          <t>바디텍메드</t>
        </is>
      </c>
      <c r="C3945" t="inlineStr">
        <is>
          <t>206640</t>
        </is>
      </c>
      <c r="D3945" t="inlineStr">
        <is>
          <t>연결</t>
        </is>
      </c>
      <c r="E3945" t="inlineStr">
        <is>
          <t>2024Q3</t>
        </is>
      </c>
      <c r="F3945" s="2" t="n">
        <v>37592</v>
      </c>
      <c r="G3945" t="inlineStr"/>
      <c r="H3945" t="inlineStr"/>
      <c r="I3945" s="2" t="n">
        <v>8832</v>
      </c>
      <c r="J3945" t="inlineStr"/>
      <c r="K3945" t="inlineStr"/>
      <c r="L3945" s="2" t="n">
        <v>6054</v>
      </c>
      <c r="M3945" t="inlineStr"/>
      <c r="N3945" t="inlineStr">
        <is>
          <t>20241108900059</t>
        </is>
      </c>
      <c r="O3945">
        <f>HYPERLINK("https://dart.fss.or.kr/dsaf001/main.do?rcpNo=20241108900059", "공시열람")</f>
        <v/>
      </c>
    </row>
    <row r="3946">
      <c r="A3946" t="inlineStr">
        <is>
          <t>2024-11-08</t>
        </is>
      </c>
      <c r="B3946" t="inlineStr">
        <is>
          <t>서울반도체</t>
        </is>
      </c>
      <c r="C3946" t="inlineStr">
        <is>
          <t>046890</t>
        </is>
      </c>
      <c r="D3946" t="inlineStr">
        <is>
          <t>연결</t>
        </is>
      </c>
      <c r="E3946" t="inlineStr">
        <is>
          <t>2024Q3</t>
        </is>
      </c>
      <c r="F3946" s="2" t="n">
        <v>300801</v>
      </c>
      <c r="G3946" t="inlineStr"/>
      <c r="H3946" t="inlineStr"/>
      <c r="I3946" s="2" t="n">
        <v>3875</v>
      </c>
      <c r="J3946" t="inlineStr"/>
      <c r="K3946" t="inlineStr"/>
      <c r="L3946" s="2" t="n">
        <v>-8086</v>
      </c>
      <c r="M3946" t="inlineStr"/>
      <c r="N3946" t="inlineStr">
        <is>
          <t>20241108900387</t>
        </is>
      </c>
      <c r="O3946">
        <f>HYPERLINK("https://dart.fss.or.kr/dsaf001/main.do?rcpNo=20241108900387", "공시열람")</f>
        <v/>
      </c>
    </row>
    <row r="3947">
      <c r="A3947" t="inlineStr">
        <is>
          <t>2024-11-08</t>
        </is>
      </c>
      <c r="B3947" t="inlineStr">
        <is>
          <t>HS애드</t>
        </is>
      </c>
      <c r="C3947" t="inlineStr">
        <is>
          <t>035000</t>
        </is>
      </c>
      <c r="D3947" t="inlineStr">
        <is>
          <t>연결</t>
        </is>
      </c>
      <c r="E3947" t="inlineStr">
        <is>
          <t>2024Q3</t>
        </is>
      </c>
      <c r="F3947" s="2" t="n">
        <v>116463</v>
      </c>
      <c r="G3947" t="inlineStr"/>
      <c r="H3947" t="inlineStr"/>
      <c r="I3947" s="2" t="n">
        <v>7582</v>
      </c>
      <c r="J3947" t="inlineStr"/>
      <c r="K3947" t="inlineStr"/>
      <c r="L3947" s="2" t="n">
        <v>5553</v>
      </c>
      <c r="M3947" t="inlineStr"/>
      <c r="N3947" t="inlineStr">
        <is>
          <t>20241108800343</t>
        </is>
      </c>
      <c r="O3947">
        <f>HYPERLINK("https://dart.fss.or.kr/dsaf001/main.do?rcpNo=20241108800343", "공시열람")</f>
        <v/>
      </c>
    </row>
    <row r="3948">
      <c r="A3948" t="inlineStr">
        <is>
          <t>2024-11-08</t>
        </is>
      </c>
      <c r="B3948" t="inlineStr">
        <is>
          <t>AP시스템</t>
        </is>
      </c>
      <c r="C3948" t="inlineStr">
        <is>
          <t>265520</t>
        </is>
      </c>
      <c r="D3948" t="inlineStr">
        <is>
          <t>연결</t>
        </is>
      </c>
      <c r="E3948" t="inlineStr">
        <is>
          <t>2024Q3</t>
        </is>
      </c>
      <c r="F3948" s="2" t="n">
        <v>131858</v>
      </c>
      <c r="G3948" t="inlineStr"/>
      <c r="H3948" t="inlineStr"/>
      <c r="I3948" s="2" t="n">
        <v>14322</v>
      </c>
      <c r="J3948" t="inlineStr"/>
      <c r="K3948" t="inlineStr"/>
      <c r="L3948" s="2" t="n">
        <v>5801</v>
      </c>
      <c r="M3948" t="inlineStr"/>
      <c r="N3948" t="inlineStr">
        <is>
          <t>20241108900341</t>
        </is>
      </c>
      <c r="O3948">
        <f>HYPERLINK("https://dart.fss.or.kr/dsaf001/main.do?rcpNo=20241108900341", "공시열람")</f>
        <v/>
      </c>
    </row>
    <row r="3949">
      <c r="A3949" t="inlineStr">
        <is>
          <t>2024-11-08</t>
        </is>
      </c>
      <c r="B3949" t="inlineStr">
        <is>
          <t>휴온스</t>
        </is>
      </c>
      <c r="C3949" t="inlineStr">
        <is>
          <t>243070</t>
        </is>
      </c>
      <c r="D3949" t="inlineStr">
        <is>
          <t>연결</t>
        </is>
      </c>
      <c r="E3949" t="inlineStr">
        <is>
          <t>2024Q3</t>
        </is>
      </c>
      <c r="F3949" s="2" t="n">
        <v>146867</v>
      </c>
      <c r="G3949" t="inlineStr"/>
      <c r="H3949" t="inlineStr"/>
      <c r="I3949" s="2" t="n">
        <v>8684</v>
      </c>
      <c r="J3949" t="inlineStr"/>
      <c r="K3949" t="inlineStr"/>
      <c r="L3949" s="2" t="n">
        <v>7257</v>
      </c>
      <c r="M3949" t="inlineStr"/>
      <c r="N3949" t="inlineStr">
        <is>
          <t>20241108900324</t>
        </is>
      </c>
      <c r="O3949">
        <f>HYPERLINK("https://dart.fss.or.kr/dsaf001/main.do?rcpNo=20241108900324", "공시열람")</f>
        <v/>
      </c>
    </row>
    <row r="3950">
      <c r="A3950" t="inlineStr">
        <is>
          <t>2024-11-08</t>
        </is>
      </c>
      <c r="B3950" t="inlineStr">
        <is>
          <t>이니텍</t>
        </is>
      </c>
      <c r="C3950" t="inlineStr">
        <is>
          <t>053350</t>
        </is>
      </c>
      <c r="D3950" t="inlineStr">
        <is>
          <t>별도</t>
        </is>
      </c>
      <c r="E3950" t="inlineStr">
        <is>
          <t>2024Q3</t>
        </is>
      </c>
      <c r="F3950" s="2" t="n">
        <v>8846</v>
      </c>
      <c r="G3950" t="inlineStr"/>
      <c r="H3950" t="inlineStr"/>
      <c r="I3950" s="2" t="n">
        <v>341</v>
      </c>
      <c r="J3950" t="inlineStr"/>
      <c r="K3950" t="inlineStr"/>
      <c r="L3950" s="2" t="n">
        <v>1184</v>
      </c>
      <c r="M3950" t="inlineStr"/>
      <c r="N3950" t="inlineStr">
        <is>
          <t>20241108900287</t>
        </is>
      </c>
      <c r="O3950">
        <f>HYPERLINK("https://dart.fss.or.kr/dsaf001/main.do?rcpNo=20241108900287", "공시열람")</f>
        <v/>
      </c>
    </row>
    <row r="3951">
      <c r="A3951" t="inlineStr">
        <is>
          <t>2024-11-08</t>
        </is>
      </c>
      <c r="B3951" t="inlineStr">
        <is>
          <t>광주신세계</t>
        </is>
      </c>
      <c r="C3951" t="inlineStr">
        <is>
          <t>037710</t>
        </is>
      </c>
      <c r="D3951" t="inlineStr">
        <is>
          <t>별도</t>
        </is>
      </c>
      <c r="E3951" t="inlineStr">
        <is>
          <t>2024Q3</t>
        </is>
      </c>
      <c r="F3951" s="2" t="n">
        <v>43057</v>
      </c>
      <c r="G3951" t="n">
        <v>-0.4</v>
      </c>
      <c r="H3951" t="n">
        <v>4.9</v>
      </c>
      <c r="I3951" s="2" t="n">
        <v>10692</v>
      </c>
      <c r="J3951" t="n">
        <v>-11.8</v>
      </c>
      <c r="K3951" t="n">
        <v>-4.3</v>
      </c>
      <c r="L3951" s="2" t="n">
        <v>9327</v>
      </c>
      <c r="M3951" t="n">
        <v>-21.3</v>
      </c>
      <c r="N3951" t="inlineStr">
        <is>
          <t>20241108800270</t>
        </is>
      </c>
      <c r="O3951">
        <f>HYPERLINK("https://dart.fss.or.kr/dsaf001/main.do?rcpNo=20241108800270", "공시열람")</f>
        <v/>
      </c>
    </row>
    <row r="3952">
      <c r="A3952" t="inlineStr">
        <is>
          <t>2024-11-08</t>
        </is>
      </c>
      <c r="B3952" t="inlineStr">
        <is>
          <t>CJ CGV</t>
        </is>
      </c>
      <c r="C3952" t="inlineStr">
        <is>
          <t>079160</t>
        </is>
      </c>
      <c r="D3952" t="inlineStr">
        <is>
          <t>연결</t>
        </is>
      </c>
      <c r="E3952" t="inlineStr">
        <is>
          <t>2024Q3</t>
        </is>
      </c>
      <c r="F3952" s="2" t="n">
        <v>547001</v>
      </c>
      <c r="G3952" t="n">
        <v>27.2</v>
      </c>
      <c r="H3952" t="n">
        <v>34.9</v>
      </c>
      <c r="I3952" s="2" t="n">
        <v>32071</v>
      </c>
      <c r="J3952" t="n">
        <v>43.5</v>
      </c>
      <c r="K3952" t="n">
        <v>2.2</v>
      </c>
      <c r="L3952" s="2" t="n">
        <v>8030</v>
      </c>
      <c r="M3952" t="n">
        <v>-44.8</v>
      </c>
      <c r="N3952" t="inlineStr">
        <is>
          <t>20241108800468</t>
        </is>
      </c>
      <c r="O3952">
        <f>HYPERLINK("https://dart.fss.or.kr/dsaf001/main.do?rcpNo=20241108800468", "공시열람")</f>
        <v/>
      </c>
    </row>
    <row r="3953">
      <c r="A3953" t="inlineStr">
        <is>
          <t>2024-11-08</t>
        </is>
      </c>
      <c r="B3953" t="inlineStr">
        <is>
          <t>심텍홀딩스</t>
        </is>
      </c>
      <c r="C3953" t="inlineStr">
        <is>
          <t>036710</t>
        </is>
      </c>
      <c r="D3953" t="inlineStr">
        <is>
          <t>연결</t>
        </is>
      </c>
      <c r="E3953" t="inlineStr">
        <is>
          <t>2024Q3</t>
        </is>
      </c>
      <c r="F3953" s="2" t="n">
        <v>342045</v>
      </c>
      <c r="G3953" t="inlineStr"/>
      <c r="H3953" t="inlineStr"/>
      <c r="I3953" s="2" t="n">
        <v>-16179</v>
      </c>
      <c r="J3953" t="inlineStr"/>
      <c r="K3953" t="inlineStr"/>
      <c r="L3953" s="2" t="n">
        <v>36334</v>
      </c>
      <c r="M3953" t="inlineStr"/>
      <c r="N3953" t="inlineStr">
        <is>
          <t>20241108900443</t>
        </is>
      </c>
      <c r="O3953">
        <f>HYPERLINK("https://dart.fss.or.kr/dsaf001/main.do?rcpNo=20241108900443", "공시열람")</f>
        <v/>
      </c>
    </row>
    <row r="3954">
      <c r="A3954" t="inlineStr">
        <is>
          <t>2024-11-08</t>
        </is>
      </c>
      <c r="B3954" t="inlineStr">
        <is>
          <t>파라다이스</t>
        </is>
      </c>
      <c r="C3954" t="inlineStr">
        <is>
          <t>034230</t>
        </is>
      </c>
      <c r="D3954" t="inlineStr">
        <is>
          <t>연결</t>
        </is>
      </c>
      <c r="E3954" t="inlineStr">
        <is>
          <t>2024Q3</t>
        </is>
      </c>
      <c r="F3954" s="2" t="n">
        <v>268245</v>
      </c>
      <c r="G3954" t="n">
        <v>-1.8</v>
      </c>
      <c r="H3954" t="n">
        <v>-6.1</v>
      </c>
      <c r="I3954" s="2" t="n">
        <v>36205</v>
      </c>
      <c r="J3954" t="n">
        <v>13.1</v>
      </c>
      <c r="K3954" t="n">
        <v>-36.6</v>
      </c>
      <c r="L3954" s="2" t="n">
        <v>19662</v>
      </c>
      <c r="M3954" t="n">
        <v>-55</v>
      </c>
      <c r="N3954" t="inlineStr">
        <is>
          <t>20241108800102</t>
        </is>
      </c>
      <c r="O3954">
        <f>HYPERLINK("https://dart.fss.or.kr/dsaf001/main.do?rcpNo=20241108800102", "공시열람")</f>
        <v/>
      </c>
    </row>
    <row r="3955">
      <c r="A3955" t="inlineStr">
        <is>
          <t>2024-11-08</t>
        </is>
      </c>
      <c r="B3955" t="inlineStr">
        <is>
          <t>코스메카코리아</t>
        </is>
      </c>
      <c r="C3955" t="inlineStr">
        <is>
          <t>241710</t>
        </is>
      </c>
      <c r="D3955" t="inlineStr">
        <is>
          <t>연결</t>
        </is>
      </c>
      <c r="E3955" t="inlineStr">
        <is>
          <t>2024Q3</t>
        </is>
      </c>
      <c r="F3955" s="2" t="n">
        <v>126627</v>
      </c>
      <c r="G3955" t="inlineStr"/>
      <c r="H3955" t="inlineStr"/>
      <c r="I3955" s="2" t="n">
        <v>15207</v>
      </c>
      <c r="J3955" t="inlineStr"/>
      <c r="K3955" t="inlineStr"/>
      <c r="L3955" s="2" t="n">
        <v>8554</v>
      </c>
      <c r="M3955" t="inlineStr"/>
      <c r="N3955" t="inlineStr">
        <is>
          <t>20241108900476</t>
        </is>
      </c>
      <c r="O3955">
        <f>HYPERLINK("https://dart.fss.or.kr/dsaf001/main.do?rcpNo=20241108900476", "공시열람")</f>
        <v/>
      </c>
    </row>
    <row r="3956">
      <c r="A3956" t="inlineStr">
        <is>
          <t>2024-11-08</t>
        </is>
      </c>
      <c r="B3956" t="inlineStr">
        <is>
          <t>LG유플러스</t>
        </is>
      </c>
      <c r="C3956" t="inlineStr">
        <is>
          <t>032640</t>
        </is>
      </c>
      <c r="D3956" t="inlineStr">
        <is>
          <t>연결</t>
        </is>
      </c>
      <c r="E3956" t="inlineStr">
        <is>
          <t>2024Q3</t>
        </is>
      </c>
      <c r="F3956" s="2" t="n">
        <v>3801300</v>
      </c>
      <c r="G3956" t="n">
        <v>8.800000000000001</v>
      </c>
      <c r="H3956" t="n">
        <v>6.2</v>
      </c>
      <c r="I3956" s="2" t="n">
        <v>246000</v>
      </c>
      <c r="J3956" t="n">
        <v>-3.1</v>
      </c>
      <c r="K3956" t="n">
        <v>-3.2</v>
      </c>
      <c r="L3956" s="2" t="n">
        <v>134900</v>
      </c>
      <c r="M3956" t="n">
        <v>-13.9</v>
      </c>
      <c r="N3956" t="inlineStr">
        <is>
          <t>20241108800088</t>
        </is>
      </c>
      <c r="O3956">
        <f>HYPERLINK("https://dart.fss.or.kr/dsaf001/main.do?rcpNo=20241108800088", "공시열람")</f>
        <v/>
      </c>
    </row>
    <row r="3957">
      <c r="A3957" t="inlineStr">
        <is>
          <t>2024-11-08</t>
        </is>
      </c>
      <c r="B3957" t="inlineStr">
        <is>
          <t>SG세계물산</t>
        </is>
      </c>
      <c r="C3957" t="inlineStr">
        <is>
          <t>004060</t>
        </is>
      </c>
      <c r="D3957" t="inlineStr">
        <is>
          <t>연결</t>
        </is>
      </c>
      <c r="E3957" t="inlineStr">
        <is>
          <t>2024Q3</t>
        </is>
      </c>
      <c r="F3957" s="2" t="n">
        <v>35538</v>
      </c>
      <c r="G3957" t="inlineStr"/>
      <c r="H3957" t="inlineStr"/>
      <c r="I3957" s="2" t="n">
        <v>-706</v>
      </c>
      <c r="J3957" t="inlineStr"/>
      <c r="K3957" t="inlineStr"/>
      <c r="L3957" s="2" t="n">
        <v>4670</v>
      </c>
      <c r="M3957" t="inlineStr"/>
      <c r="N3957" t="inlineStr">
        <is>
          <t>20241108800475</t>
        </is>
      </c>
      <c r="O3957">
        <f>HYPERLINK("https://dart.fss.or.kr/dsaf001/main.do?rcpNo=20241108800475", "공시열람")</f>
        <v/>
      </c>
    </row>
    <row r="3958">
      <c r="A3958" t="inlineStr">
        <is>
          <t>2024-11-08</t>
        </is>
      </c>
      <c r="B3958" t="inlineStr">
        <is>
          <t>옵투스제약</t>
        </is>
      </c>
      <c r="C3958" t="inlineStr">
        <is>
          <t>131030</t>
        </is>
      </c>
      <c r="D3958" t="inlineStr">
        <is>
          <t>별도</t>
        </is>
      </c>
      <c r="E3958" t="inlineStr">
        <is>
          <t>2024Q3</t>
        </is>
      </c>
      <c r="F3958" s="2" t="n">
        <v>19310</v>
      </c>
      <c r="G3958" t="inlineStr"/>
      <c r="H3958" t="inlineStr"/>
      <c r="I3958" s="2" t="n">
        <v>1271</v>
      </c>
      <c r="J3958" t="inlineStr"/>
      <c r="K3958" t="inlineStr"/>
      <c r="L3958" s="2" t="n">
        <v>1520</v>
      </c>
      <c r="M3958" t="inlineStr"/>
      <c r="N3958" t="inlineStr">
        <is>
          <t>20241108900501</t>
        </is>
      </c>
      <c r="O3958">
        <f>HYPERLINK("https://dart.fss.or.kr/dsaf001/main.do?rcpNo=20241108900501", "공시열람")</f>
        <v/>
      </c>
    </row>
    <row r="3959">
      <c r="A3959" t="inlineStr">
        <is>
          <t>2024-11-08</t>
        </is>
      </c>
      <c r="B3959" t="inlineStr">
        <is>
          <t>신세계푸드</t>
        </is>
      </c>
      <c r="C3959" t="inlineStr">
        <is>
          <t>031440</t>
        </is>
      </c>
      <c r="D3959" t="inlineStr">
        <is>
          <t>연결</t>
        </is>
      </c>
      <c r="E3959" t="inlineStr">
        <is>
          <t>2024Q3</t>
        </is>
      </c>
      <c r="F3959" s="2" t="n">
        <v>385385</v>
      </c>
      <c r="G3959" t="n">
        <v>-2.2</v>
      </c>
      <c r="H3959" t="n">
        <v>-1.9</v>
      </c>
      <c r="I3959" s="2" t="n">
        <v>8467</v>
      </c>
      <c r="J3959" t="n">
        <v>-12.4</v>
      </c>
      <c r="K3959" t="n">
        <v>8.800000000000001</v>
      </c>
      <c r="L3959" s="2" t="n">
        <v>4007</v>
      </c>
      <c r="M3959" t="n">
        <v>-9.699999999999999</v>
      </c>
      <c r="N3959" t="inlineStr">
        <is>
          <t>20241108800528</t>
        </is>
      </c>
      <c r="O3959">
        <f>HYPERLINK("https://dart.fss.or.kr/dsaf001/main.do?rcpNo=20241108800528", "공시열람")</f>
        <v/>
      </c>
    </row>
    <row r="3960">
      <c r="A3960" t="inlineStr">
        <is>
          <t>2024-11-08</t>
        </is>
      </c>
      <c r="B3960" t="inlineStr">
        <is>
          <t>비엠티</t>
        </is>
      </c>
      <c r="C3960" t="inlineStr">
        <is>
          <t>086670</t>
        </is>
      </c>
      <c r="D3960" t="inlineStr">
        <is>
          <t>별도</t>
        </is>
      </c>
      <c r="E3960" t="inlineStr">
        <is>
          <t>2024Q3</t>
        </is>
      </c>
      <c r="F3960" s="2" t="n">
        <v>32315</v>
      </c>
      <c r="G3960" t="inlineStr"/>
      <c r="H3960" t="inlineStr"/>
      <c r="I3960" s="2" t="n">
        <v>7</v>
      </c>
      <c r="J3960" t="inlineStr"/>
      <c r="K3960" t="inlineStr"/>
      <c r="L3960" s="2" t="n">
        <v>-1478</v>
      </c>
      <c r="M3960" t="inlineStr"/>
      <c r="N3960" t="inlineStr">
        <is>
          <t>20241108900516</t>
        </is>
      </c>
      <c r="O3960">
        <f>HYPERLINK("https://dart.fss.or.kr/dsaf001/main.do?rcpNo=20241108900516", "공시열람")</f>
        <v/>
      </c>
    </row>
    <row r="3961">
      <c r="A3961" t="inlineStr">
        <is>
          <t>2024-11-08</t>
        </is>
      </c>
      <c r="B3961" t="inlineStr">
        <is>
          <t>비엠티</t>
        </is>
      </c>
      <c r="C3961" t="inlineStr">
        <is>
          <t>086670</t>
        </is>
      </c>
      <c r="D3961" t="inlineStr">
        <is>
          <t>연결</t>
        </is>
      </c>
      <c r="E3961" t="inlineStr">
        <is>
          <t>2024Q3</t>
        </is>
      </c>
      <c r="F3961" s="2" t="n">
        <v>32655</v>
      </c>
      <c r="G3961" t="inlineStr"/>
      <c r="H3961" t="inlineStr"/>
      <c r="I3961" s="2" t="n">
        <v>-7</v>
      </c>
      <c r="J3961" t="inlineStr"/>
      <c r="K3961" t="inlineStr"/>
      <c r="L3961" s="2" t="n">
        <v>-1518</v>
      </c>
      <c r="M3961" t="inlineStr"/>
      <c r="N3961" t="inlineStr">
        <is>
          <t>20241108900519</t>
        </is>
      </c>
      <c r="O3961">
        <f>HYPERLINK("https://dart.fss.or.kr/dsaf001/main.do?rcpNo=20241108900519", "공시열람")</f>
        <v/>
      </c>
    </row>
    <row r="3962">
      <c r="A3962" t="inlineStr">
        <is>
          <t>2024-11-08</t>
        </is>
      </c>
      <c r="B3962" t="inlineStr">
        <is>
          <t>KT나스미디어</t>
        </is>
      </c>
      <c r="C3962" t="inlineStr">
        <is>
          <t>089600</t>
        </is>
      </c>
      <c r="D3962" t="inlineStr">
        <is>
          <t>별도</t>
        </is>
      </c>
      <c r="E3962" t="inlineStr">
        <is>
          <t>2024Q3</t>
        </is>
      </c>
      <c r="F3962" s="2" t="n">
        <v>25908</v>
      </c>
      <c r="G3962" t="inlineStr"/>
      <c r="H3962" t="inlineStr"/>
      <c r="I3962" s="2" t="n">
        <v>5533</v>
      </c>
      <c r="J3962" t="inlineStr"/>
      <c r="K3962" t="inlineStr"/>
      <c r="L3962" s="2" t="n">
        <v>5193</v>
      </c>
      <c r="M3962" t="inlineStr"/>
      <c r="N3962" t="inlineStr">
        <is>
          <t>20241108900522</t>
        </is>
      </c>
      <c r="O3962">
        <f>HYPERLINK("https://dart.fss.or.kr/dsaf001/main.do?rcpNo=20241108900522", "공시열람")</f>
        <v/>
      </c>
    </row>
    <row r="3963">
      <c r="A3963" t="inlineStr">
        <is>
          <t>2024-11-08</t>
        </is>
      </c>
      <c r="B3963" t="inlineStr">
        <is>
          <t>LG유플러스</t>
        </is>
      </c>
      <c r="C3963" t="inlineStr">
        <is>
          <t>032640</t>
        </is>
      </c>
      <c r="D3963" t="inlineStr">
        <is>
          <t>별도</t>
        </is>
      </c>
      <c r="E3963" t="inlineStr">
        <is>
          <t>2024Q3</t>
        </is>
      </c>
      <c r="F3963" s="2" t="n">
        <v>3496300</v>
      </c>
      <c r="G3963" t="n">
        <v>8.300000000000001</v>
      </c>
      <c r="H3963" t="n">
        <v>5.7</v>
      </c>
      <c r="I3963" s="2" t="n">
        <v>253300</v>
      </c>
      <c r="J3963" t="n">
        <v>0.3</v>
      </c>
      <c r="K3963" t="n">
        <v>-0.1</v>
      </c>
      <c r="L3963" s="2" t="n">
        <v>157800</v>
      </c>
      <c r="M3963" t="n">
        <v>-2.5</v>
      </c>
      <c r="N3963" t="inlineStr">
        <is>
          <t>20241108800090</t>
        </is>
      </c>
      <c r="O3963">
        <f>HYPERLINK("https://dart.fss.or.kr/dsaf001/main.do?rcpNo=20241108800090", "공시열람")</f>
        <v/>
      </c>
    </row>
    <row r="3964">
      <c r="A3964" t="inlineStr">
        <is>
          <t>2024-11-08</t>
        </is>
      </c>
      <c r="B3964" t="inlineStr">
        <is>
          <t>CJ대한통운</t>
        </is>
      </c>
      <c r="C3964" t="inlineStr">
        <is>
          <t>000120</t>
        </is>
      </c>
      <c r="D3964" t="inlineStr">
        <is>
          <t>연결</t>
        </is>
      </c>
      <c r="E3964" t="inlineStr">
        <is>
          <t>2024Q3</t>
        </is>
      </c>
      <c r="F3964" s="2" t="n">
        <v>2975814</v>
      </c>
      <c r="G3964" t="n">
        <v>-2.7</v>
      </c>
      <c r="H3964" t="n">
        <v>1.3</v>
      </c>
      <c r="I3964" s="2" t="n">
        <v>141611</v>
      </c>
      <c r="J3964" t="n">
        <v>13</v>
      </c>
      <c r="K3964" t="n">
        <v>13.5</v>
      </c>
      <c r="L3964" s="2" t="n">
        <v>59966</v>
      </c>
      <c r="M3964" t="n">
        <v>3.9</v>
      </c>
      <c r="N3964" t="inlineStr">
        <is>
          <t>20241108800072</t>
        </is>
      </c>
      <c r="O3964">
        <f>HYPERLINK("https://dart.fss.or.kr/dsaf001/main.do?rcpNo=20241108800072", "공시열람")</f>
        <v/>
      </c>
    </row>
    <row r="3965">
      <c r="A3965" t="inlineStr">
        <is>
          <t>2024-11-08</t>
        </is>
      </c>
      <c r="B3965" t="inlineStr">
        <is>
          <t>한국콜마</t>
        </is>
      </c>
      <c r="C3965" t="inlineStr">
        <is>
          <t>161890</t>
        </is>
      </c>
      <c r="D3965" t="inlineStr">
        <is>
          <t>별도</t>
        </is>
      </c>
      <c r="E3965" t="inlineStr">
        <is>
          <t>2024Q3</t>
        </is>
      </c>
      <c r="F3965" s="2" t="n">
        <v>273648</v>
      </c>
      <c r="G3965" t="n">
        <v>-7.86</v>
      </c>
      <c r="H3965" t="n">
        <v>47.05</v>
      </c>
      <c r="I3965" s="2" t="n">
        <v>37238</v>
      </c>
      <c r="J3965" t="n">
        <v>-15.79</v>
      </c>
      <c r="K3965" t="n">
        <v>185.03</v>
      </c>
      <c r="L3965" s="2" t="n">
        <v>34847</v>
      </c>
      <c r="M3965" t="n">
        <v>281.08</v>
      </c>
      <c r="N3965" t="inlineStr">
        <is>
          <t>20241108800101</t>
        </is>
      </c>
      <c r="O3965">
        <f>HYPERLINK("https://dart.fss.or.kr/dsaf001/main.do?rcpNo=20241108800101", "공시열람")</f>
        <v/>
      </c>
    </row>
    <row r="3966">
      <c r="A3966" t="inlineStr">
        <is>
          <t>2024-11-08</t>
        </is>
      </c>
      <c r="B3966" t="inlineStr">
        <is>
          <t>씨젠</t>
        </is>
      </c>
      <c r="C3966" t="inlineStr">
        <is>
          <t>096530</t>
        </is>
      </c>
      <c r="D3966" t="inlineStr">
        <is>
          <t>연결</t>
        </is>
      </c>
      <c r="E3966" t="inlineStr">
        <is>
          <t>2024Q3</t>
        </is>
      </c>
      <c r="F3966" s="2" t="n">
        <v>108824</v>
      </c>
      <c r="G3966" t="inlineStr"/>
      <c r="H3966" t="inlineStr"/>
      <c r="I3966" s="2" t="n">
        <v>5257</v>
      </c>
      <c r="J3966" t="inlineStr"/>
      <c r="K3966" t="inlineStr"/>
      <c r="L3966" s="2" t="n">
        <v>1744</v>
      </c>
      <c r="M3966" t="inlineStr"/>
      <c r="N3966" t="inlineStr">
        <is>
          <t>20241108900832</t>
        </is>
      </c>
      <c r="O3966">
        <f>HYPERLINK("https://dart.fss.or.kr/dsaf001/main.do?rcpNo=20241108900832", "공시열람")</f>
        <v/>
      </c>
    </row>
    <row r="3967">
      <c r="A3967" t="inlineStr">
        <is>
          <t>2024-11-08</t>
        </is>
      </c>
      <c r="B3967" t="inlineStr">
        <is>
          <t>웅진씽크빅</t>
        </is>
      </c>
      <c r="C3967" t="inlineStr">
        <is>
          <t>095720</t>
        </is>
      </c>
      <c r="D3967" t="inlineStr">
        <is>
          <t>연결</t>
        </is>
      </c>
      <c r="E3967" t="inlineStr">
        <is>
          <t>2024Q3</t>
        </is>
      </c>
      <c r="F3967" s="2" t="n">
        <v>208943</v>
      </c>
      <c r="G3967" t="n">
        <v>-5.5</v>
      </c>
      <c r="H3967" t="n">
        <v>-4.2</v>
      </c>
      <c r="I3967" s="2" t="n">
        <v>2670</v>
      </c>
      <c r="J3967" t="n">
        <v>-59.5</v>
      </c>
      <c r="K3967" t="n">
        <v>-27.1</v>
      </c>
      <c r="L3967" s="2" t="n">
        <v>1454</v>
      </c>
      <c r="M3967" t="n">
        <v>-1.5</v>
      </c>
      <c r="N3967" t="inlineStr">
        <is>
          <t>20241108800808</t>
        </is>
      </c>
      <c r="O3967">
        <f>HYPERLINK("https://dart.fss.or.kr/dsaf001/main.do?rcpNo=20241108800808", "공시열람")</f>
        <v/>
      </c>
    </row>
    <row r="3968">
      <c r="A3968" t="inlineStr">
        <is>
          <t>2024-11-08</t>
        </is>
      </c>
      <c r="B3968" t="inlineStr">
        <is>
          <t>콜마홀딩스</t>
        </is>
      </c>
      <c r="C3968" t="inlineStr">
        <is>
          <t>024720</t>
        </is>
      </c>
      <c r="D3968" t="inlineStr">
        <is>
          <t>연결</t>
        </is>
      </c>
      <c r="E3968" t="inlineStr">
        <is>
          <t>2024Q3</t>
        </is>
      </c>
      <c r="F3968" s="2" t="n">
        <v>162979</v>
      </c>
      <c r="G3968" t="n">
        <v>-9.550000000000001</v>
      </c>
      <c r="H3968" t="n">
        <v>5.51</v>
      </c>
      <c r="I3968" s="2" t="n">
        <v>6738</v>
      </c>
      <c r="J3968" t="n">
        <v>-52.57</v>
      </c>
      <c r="K3968" t="n">
        <v>-8.31</v>
      </c>
      <c r="L3968" s="2" t="n">
        <v>4993</v>
      </c>
      <c r="M3968" t="n">
        <v>-6.08</v>
      </c>
      <c r="N3968" t="inlineStr">
        <is>
          <t>20241108800784</t>
        </is>
      </c>
      <c r="O3968">
        <f>HYPERLINK("https://dart.fss.or.kr/dsaf001/main.do?rcpNo=20241108800784", "공시열람")</f>
        <v/>
      </c>
    </row>
    <row r="3969">
      <c r="A3969" t="inlineStr">
        <is>
          <t>2024-11-08</t>
        </is>
      </c>
      <c r="B3969" t="inlineStr">
        <is>
          <t>콜마홀딩스</t>
        </is>
      </c>
      <c r="C3969" t="inlineStr">
        <is>
          <t>024720</t>
        </is>
      </c>
      <c r="D3969" t="inlineStr">
        <is>
          <t>별도</t>
        </is>
      </c>
      <c r="E3969" t="inlineStr">
        <is>
          <t>2024Q3</t>
        </is>
      </c>
      <c r="F3969" s="2" t="n">
        <v>10072</v>
      </c>
      <c r="G3969" t="n">
        <v>28.22</v>
      </c>
      <c r="H3969" t="n">
        <v>19.69</v>
      </c>
      <c r="I3969" s="2" t="n">
        <v>-48</v>
      </c>
      <c r="J3969" t="n">
        <v>96.91</v>
      </c>
      <c r="K3969" t="n">
        <v>95.66</v>
      </c>
      <c r="L3969" s="2" t="n">
        <v>-1065</v>
      </c>
      <c r="M3969" t="n">
        <v>46.08</v>
      </c>
      <c r="N3969" t="inlineStr">
        <is>
          <t>20241108800782</t>
        </is>
      </c>
      <c r="O3969">
        <f>HYPERLINK("https://dart.fss.or.kr/dsaf001/main.do?rcpNo=20241108800782", "공시열람")</f>
        <v/>
      </c>
    </row>
    <row r="3970">
      <c r="A3970" t="inlineStr">
        <is>
          <t>2024-11-08</t>
        </is>
      </c>
      <c r="B3970" t="inlineStr">
        <is>
          <t>와이지엔터테인먼트</t>
        </is>
      </c>
      <c r="C3970" t="inlineStr">
        <is>
          <t>122870</t>
        </is>
      </c>
      <c r="D3970" t="inlineStr">
        <is>
          <t>연결</t>
        </is>
      </c>
      <c r="E3970" t="inlineStr">
        <is>
          <t>2024Q3</t>
        </is>
      </c>
      <c r="F3970" s="2" t="n">
        <v>83528</v>
      </c>
      <c r="G3970" t="inlineStr"/>
      <c r="H3970" t="inlineStr"/>
      <c r="I3970" s="2" t="n">
        <v>-3562</v>
      </c>
      <c r="J3970" t="inlineStr"/>
      <c r="K3970" t="inlineStr"/>
      <c r="L3970" s="2" t="n">
        <v>-937</v>
      </c>
      <c r="M3970" t="inlineStr"/>
      <c r="N3970" t="inlineStr">
        <is>
          <t>20241108900062</t>
        </is>
      </c>
      <c r="O3970">
        <f>HYPERLINK("https://dart.fss.or.kr/dsaf001/main.do?rcpNo=20241108900062", "공시열람")</f>
        <v/>
      </c>
    </row>
    <row r="3971">
      <c r="A3971" t="inlineStr">
        <is>
          <t>2024-11-08</t>
        </is>
      </c>
      <c r="B3971" t="inlineStr">
        <is>
          <t>KT나스미디어</t>
        </is>
      </c>
      <c r="C3971" t="inlineStr">
        <is>
          <t>089600</t>
        </is>
      </c>
      <c r="D3971" t="inlineStr">
        <is>
          <t>연결</t>
        </is>
      </c>
      <c r="E3971" t="inlineStr">
        <is>
          <t>2024Q3</t>
        </is>
      </c>
      <c r="F3971" s="2" t="n">
        <v>35460</v>
      </c>
      <c r="G3971" t="inlineStr"/>
      <c r="H3971" t="inlineStr"/>
      <c r="I3971" s="2" t="n">
        <v>6430</v>
      </c>
      <c r="J3971" t="inlineStr"/>
      <c r="K3971" t="inlineStr"/>
      <c r="L3971" s="2" t="n">
        <v>6300</v>
      </c>
      <c r="M3971" t="inlineStr"/>
      <c r="N3971" t="inlineStr">
        <is>
          <t>20241108900530</t>
        </is>
      </c>
      <c r="O3971">
        <f>HYPERLINK("https://dart.fss.or.kr/dsaf001/main.do?rcpNo=20241108900530", "공시열람")</f>
        <v/>
      </c>
    </row>
    <row r="3972">
      <c r="A3972" t="inlineStr">
        <is>
          <t>2024-11-08</t>
        </is>
      </c>
      <c r="B3972" t="inlineStr">
        <is>
          <t>에스케이바이오팜</t>
        </is>
      </c>
      <c r="C3972" t="inlineStr">
        <is>
          <t>326030</t>
        </is>
      </c>
      <c r="D3972" t="inlineStr">
        <is>
          <t>연결</t>
        </is>
      </c>
      <c r="E3972" t="inlineStr">
        <is>
          <t>2024Q3</t>
        </is>
      </c>
      <c r="F3972" s="2" t="n">
        <v>136602</v>
      </c>
      <c r="G3972" t="n">
        <v>1.9</v>
      </c>
      <c r="H3972" t="n">
        <v>51.2</v>
      </c>
      <c r="I3972" s="2" t="n">
        <v>19344</v>
      </c>
      <c r="J3972" t="n">
        <v>-25.7</v>
      </c>
      <c r="K3972" t="inlineStr"/>
      <c r="L3972" s="2" t="n">
        <v>6308</v>
      </c>
      <c r="M3972" t="inlineStr"/>
      <c r="N3972" t="inlineStr">
        <is>
          <t>20241108800065</t>
        </is>
      </c>
      <c r="O3972">
        <f>HYPERLINK("https://dart.fss.or.kr/dsaf001/main.do?rcpNo=20241108800065", "공시열람")</f>
        <v/>
      </c>
    </row>
    <row r="3973">
      <c r="A3973" t="inlineStr">
        <is>
          <t>2024-11-08</t>
        </is>
      </c>
      <c r="B3973" t="inlineStr">
        <is>
          <t>신세계</t>
        </is>
      </c>
      <c r="C3973" t="inlineStr">
        <is>
          <t>004170</t>
        </is>
      </c>
      <c r="D3973" t="inlineStr">
        <is>
          <t>별도</t>
        </is>
      </c>
      <c r="E3973" t="inlineStr">
        <is>
          <t>2024Q3</t>
        </is>
      </c>
      <c r="F3973" s="2" t="n">
        <v>166656</v>
      </c>
      <c r="G3973" t="n">
        <v>-4.51</v>
      </c>
      <c r="H3973" t="n">
        <v>-1.42</v>
      </c>
      <c r="I3973" s="2" t="inlineStr"/>
      <c r="J3973" t="inlineStr"/>
      <c r="K3973" t="inlineStr"/>
      <c r="L3973" s="2" t="inlineStr"/>
      <c r="M3973" t="inlineStr"/>
      <c r="N3973" t="inlineStr">
        <is>
          <t>20241108800221</t>
        </is>
      </c>
      <c r="O3973">
        <f>HYPERLINK("https://dart.fss.or.kr/dsaf001/main.do?rcpNo=20241108800221", "공시열람")</f>
        <v/>
      </c>
    </row>
    <row r="3974">
      <c r="A3974" t="inlineStr">
        <is>
          <t>2024-11-08</t>
        </is>
      </c>
      <c r="B3974" t="inlineStr">
        <is>
          <t>NAVER</t>
        </is>
      </c>
      <c r="C3974" t="inlineStr">
        <is>
          <t>035420</t>
        </is>
      </c>
      <c r="D3974" t="inlineStr">
        <is>
          <t>연결</t>
        </is>
      </c>
      <c r="E3974" t="inlineStr">
        <is>
          <t>2024Q3</t>
        </is>
      </c>
      <c r="F3974" s="2" t="n">
        <v>2715600</v>
      </c>
      <c r="G3974" t="n">
        <v>4</v>
      </c>
      <c r="H3974" t="n">
        <v>11.1</v>
      </c>
      <c r="I3974" s="2" t="n">
        <v>525300</v>
      </c>
      <c r="J3974" t="n">
        <v>11.1</v>
      </c>
      <c r="K3974" t="n">
        <v>38.2</v>
      </c>
      <c r="L3974" s="2" t="n">
        <v>530100</v>
      </c>
      <c r="M3974" t="n">
        <v>48.8</v>
      </c>
      <c r="N3974" t="inlineStr">
        <is>
          <t>20241108800001</t>
        </is>
      </c>
      <c r="O3974">
        <f>HYPERLINK("https://dart.fss.or.kr/dsaf001/main.do?rcpNo=20241108800001", "공시열람")</f>
        <v/>
      </c>
    </row>
    <row r="3975">
      <c r="A3975" t="inlineStr">
        <is>
          <t>2024-11-08</t>
        </is>
      </c>
      <c r="B3975" t="inlineStr">
        <is>
          <t>LIG디펜스앤에어로스페이스</t>
        </is>
      </c>
      <c r="C3975" t="inlineStr">
        <is>
          <t>079550</t>
        </is>
      </c>
      <c r="D3975" t="inlineStr">
        <is>
          <t>연결</t>
        </is>
      </c>
      <c r="E3975" t="inlineStr">
        <is>
          <t>2024Q3</t>
        </is>
      </c>
      <c r="F3975" s="2" t="n">
        <v>740300</v>
      </c>
      <c r="G3975" t="n">
        <v>22.4</v>
      </c>
      <c r="H3975" t="n">
        <v>38.1</v>
      </c>
      <c r="I3975" s="2" t="n">
        <v>51900</v>
      </c>
      <c r="J3975" t="n">
        <v>5.7</v>
      </c>
      <c r="K3975" t="n">
        <v>26.5</v>
      </c>
      <c r="L3975" s="2" t="n">
        <v>40700</v>
      </c>
      <c r="M3975" t="n">
        <v>20.3</v>
      </c>
      <c r="N3975" t="inlineStr">
        <is>
          <t>20241108800199</t>
        </is>
      </c>
      <c r="O3975">
        <f>HYPERLINK("https://dart.fss.or.kr/dsaf001/main.do?rcpNo=20241108800199", "공시열람")</f>
        <v/>
      </c>
    </row>
    <row r="3976">
      <c r="A3976" t="inlineStr">
        <is>
          <t>2024-11-08</t>
        </is>
      </c>
      <c r="B3976" t="inlineStr">
        <is>
          <t>현대지에프홀딩스</t>
        </is>
      </c>
      <c r="C3976" t="inlineStr">
        <is>
          <t>005440</t>
        </is>
      </c>
      <c r="D3976" t="inlineStr">
        <is>
          <t>연결</t>
        </is>
      </c>
      <c r="E3976" t="inlineStr">
        <is>
          <t>2024Q3</t>
        </is>
      </c>
      <c r="F3976" s="2" t="n">
        <v>2011400</v>
      </c>
      <c r="G3976" t="n">
        <v>-3.4</v>
      </c>
      <c r="H3976" t="n">
        <v>295.1</v>
      </c>
      <c r="I3976" s="2" t="n">
        <v>66600</v>
      </c>
      <c r="J3976" t="n">
        <v>-10.4</v>
      </c>
      <c r="K3976" t="n">
        <v>1215.3</v>
      </c>
      <c r="L3976" s="2" t="n">
        <v>66200</v>
      </c>
      <c r="M3976" t="n">
        <v>-92.2</v>
      </c>
      <c r="N3976" t="inlineStr">
        <is>
          <t>20241108800173</t>
        </is>
      </c>
      <c r="O3976">
        <f>HYPERLINK("https://dart.fss.or.kr/dsaf001/main.do?rcpNo=20241108800173", "공시열람")</f>
        <v/>
      </c>
    </row>
    <row r="3977">
      <c r="A3977" t="inlineStr">
        <is>
          <t>2024-11-08</t>
        </is>
      </c>
      <c r="B3977" t="inlineStr">
        <is>
          <t>LG헬로비전</t>
        </is>
      </c>
      <c r="C3977" t="inlineStr">
        <is>
          <t>037560</t>
        </is>
      </c>
      <c r="D3977" t="inlineStr">
        <is>
          <t>연결</t>
        </is>
      </c>
      <c r="E3977" t="inlineStr">
        <is>
          <t>2024Q3</t>
        </is>
      </c>
      <c r="F3977" s="2" t="n">
        <v>323302</v>
      </c>
      <c r="G3977" t="n">
        <v>14</v>
      </c>
      <c r="H3977" t="n">
        <v>12</v>
      </c>
      <c r="I3977" s="2" t="n">
        <v>3291</v>
      </c>
      <c r="J3977" t="n">
        <v>-55.6</v>
      </c>
      <c r="K3977" t="n">
        <v>-63.7</v>
      </c>
      <c r="L3977" s="2" t="n">
        <v>2191</v>
      </c>
      <c r="M3977" t="n">
        <v>-70.40000000000001</v>
      </c>
      <c r="N3977" t="inlineStr">
        <is>
          <t>20241108800144</t>
        </is>
      </c>
      <c r="O3977">
        <f>HYPERLINK("https://dart.fss.or.kr/dsaf001/main.do?rcpNo=20241108800144", "공시열람")</f>
        <v/>
      </c>
    </row>
    <row r="3978">
      <c r="A3978" t="inlineStr">
        <is>
          <t>2024-11-08</t>
        </is>
      </c>
      <c r="B3978" t="inlineStr">
        <is>
          <t>쇼박스</t>
        </is>
      </c>
      <c r="C3978" t="inlineStr">
        <is>
          <t>086980</t>
        </is>
      </c>
      <c r="D3978" t="inlineStr">
        <is>
          <t>연결</t>
        </is>
      </c>
      <c r="E3978" t="inlineStr">
        <is>
          <t>2024Q3</t>
        </is>
      </c>
      <c r="F3978" s="2" t="n">
        <v>4854</v>
      </c>
      <c r="G3978" t="inlineStr"/>
      <c r="H3978" t="inlineStr"/>
      <c r="I3978" s="2" t="n">
        <v>-582</v>
      </c>
      <c r="J3978" t="inlineStr"/>
      <c r="K3978" t="inlineStr"/>
      <c r="L3978" s="2" t="inlineStr"/>
      <c r="M3978" t="inlineStr"/>
      <c r="N3978" t="inlineStr">
        <is>
          <t>20241108900115</t>
        </is>
      </c>
      <c r="O3978">
        <f>HYPERLINK("https://dart.fss.or.kr/dsaf001/main.do?rcpNo=20241108900115", "공시열람")</f>
        <v/>
      </c>
    </row>
    <row r="3979">
      <c r="A3979" t="inlineStr">
        <is>
          <t>2024-11-08</t>
        </is>
      </c>
      <c r="B3979" t="inlineStr">
        <is>
          <t>레드캡투어</t>
        </is>
      </c>
      <c r="C3979" t="inlineStr">
        <is>
          <t>038390</t>
        </is>
      </c>
      <c r="D3979" t="inlineStr">
        <is>
          <t>연결</t>
        </is>
      </c>
      <c r="E3979" t="inlineStr">
        <is>
          <t>2024Q3</t>
        </is>
      </c>
      <c r="F3979" s="2" t="n">
        <v>83141</v>
      </c>
      <c r="G3979" t="inlineStr"/>
      <c r="H3979" t="inlineStr"/>
      <c r="I3979" s="2" t="n">
        <v>9957</v>
      </c>
      <c r="J3979" t="inlineStr"/>
      <c r="K3979" t="inlineStr"/>
      <c r="L3979" s="2" t="n">
        <v>4156</v>
      </c>
      <c r="M3979" t="inlineStr"/>
      <c r="N3979" t="inlineStr">
        <is>
          <t>20241108900114</t>
        </is>
      </c>
      <c r="O3979">
        <f>HYPERLINK("https://dart.fss.or.kr/dsaf001/main.do?rcpNo=20241108900114", "공시열람")</f>
        <v/>
      </c>
    </row>
    <row r="3980">
      <c r="A3980" t="inlineStr">
        <is>
          <t>2024-11-08</t>
        </is>
      </c>
      <c r="B3980" t="inlineStr">
        <is>
          <t>YG PLUS</t>
        </is>
      </c>
      <c r="C3980" t="inlineStr">
        <is>
          <t>037270</t>
        </is>
      </c>
      <c r="D3980" t="inlineStr">
        <is>
          <t>연결</t>
        </is>
      </c>
      <c r="E3980" t="inlineStr">
        <is>
          <t>2024Q3</t>
        </is>
      </c>
      <c r="F3980" s="2" t="n">
        <v>40998</v>
      </c>
      <c r="G3980" t="n">
        <v>-14.75</v>
      </c>
      <c r="H3980" t="n">
        <v>-31.36</v>
      </c>
      <c r="I3980" s="2" t="n">
        <v>-1115</v>
      </c>
      <c r="J3980" t="inlineStr"/>
      <c r="K3980" t="inlineStr"/>
      <c r="L3980" s="2" t="n">
        <v>-1012</v>
      </c>
      <c r="M3980" t="inlineStr"/>
      <c r="N3980" t="inlineStr">
        <is>
          <t>20241108800099</t>
        </is>
      </c>
      <c r="O3980">
        <f>HYPERLINK("https://dart.fss.or.kr/dsaf001/main.do?rcpNo=20241108800099", "공시열람")</f>
        <v/>
      </c>
    </row>
    <row r="3981">
      <c r="A3981" t="inlineStr">
        <is>
          <t>2024-11-08</t>
        </is>
      </c>
      <c r="B3981" t="inlineStr">
        <is>
          <t>비씨엔씨</t>
        </is>
      </c>
      <c r="C3981" t="inlineStr">
        <is>
          <t>146320</t>
        </is>
      </c>
      <c r="D3981" t="inlineStr">
        <is>
          <t>별도</t>
        </is>
      </c>
      <c r="E3981" t="inlineStr">
        <is>
          <t>2024Q3</t>
        </is>
      </c>
      <c r="F3981" s="2" t="n">
        <v>19221</v>
      </c>
      <c r="G3981" t="inlineStr"/>
      <c r="H3981" t="inlineStr"/>
      <c r="I3981" s="2" t="n">
        <v>115</v>
      </c>
      <c r="J3981" t="inlineStr"/>
      <c r="K3981" t="inlineStr"/>
      <c r="L3981" s="2" t="n">
        <v>-255</v>
      </c>
      <c r="M3981" t="inlineStr"/>
      <c r="N3981" t="inlineStr">
        <is>
          <t>20241108900707</t>
        </is>
      </c>
      <c r="O3981">
        <f>HYPERLINK("https://dart.fss.or.kr/dsaf001/main.do?rcpNo=20241108900707", "공시열람")</f>
        <v/>
      </c>
    </row>
    <row r="3982">
      <c r="A3982" t="inlineStr">
        <is>
          <t>2024-11-08</t>
        </is>
      </c>
      <c r="B3982" t="inlineStr">
        <is>
          <t>신성이엔지</t>
        </is>
      </c>
      <c r="C3982" t="inlineStr">
        <is>
          <t>011930</t>
        </is>
      </c>
      <c r="D3982" t="inlineStr">
        <is>
          <t>연결</t>
        </is>
      </c>
      <c r="E3982" t="inlineStr">
        <is>
          <t>2024Q3</t>
        </is>
      </c>
      <c r="F3982" s="2" t="n">
        <v>142157</v>
      </c>
      <c r="G3982" t="inlineStr"/>
      <c r="H3982" t="inlineStr"/>
      <c r="I3982" s="2" t="n">
        <v>-3951</v>
      </c>
      <c r="J3982" t="inlineStr"/>
      <c r="K3982" t="inlineStr"/>
      <c r="L3982" s="2" t="n">
        <v>-9245</v>
      </c>
      <c r="M3982" t="inlineStr"/>
      <c r="N3982" t="inlineStr">
        <is>
          <t>20241108800205</t>
        </is>
      </c>
      <c r="O3982">
        <f>HYPERLINK("https://dart.fss.or.kr/dsaf001/main.do?rcpNo=20241108800205", "공시열람")</f>
        <v/>
      </c>
    </row>
    <row r="3983">
      <c r="A3983" t="inlineStr">
        <is>
          <t>2024-11-08</t>
        </is>
      </c>
      <c r="B3983" t="inlineStr">
        <is>
          <t>신세계</t>
        </is>
      </c>
      <c r="C3983" t="inlineStr">
        <is>
          <t>004170</t>
        </is>
      </c>
      <c r="D3983" t="inlineStr">
        <is>
          <t>연결</t>
        </is>
      </c>
      <c r="E3983" t="inlineStr">
        <is>
          <t>2024Q3</t>
        </is>
      </c>
      <c r="F3983" s="2" t="n">
        <v>1540093</v>
      </c>
      <c r="G3983" t="n">
        <v>-4.01</v>
      </c>
      <c r="H3983" t="n">
        <v>2.85</v>
      </c>
      <c r="I3983" s="2" t="n">
        <v>92950</v>
      </c>
      <c r="J3983" t="n">
        <v>-20.87</v>
      </c>
      <c r="K3983" t="n">
        <v>-29.49</v>
      </c>
      <c r="L3983" s="2" t="n">
        <v>36609</v>
      </c>
      <c r="M3983" t="n">
        <v>-40.73</v>
      </c>
      <c r="N3983" t="inlineStr">
        <is>
          <t>20241108800219</t>
        </is>
      </c>
      <c r="O3983">
        <f>HYPERLINK("https://dart.fss.or.kr/dsaf001/main.do?rcpNo=20241108800219", "공시열람")</f>
        <v/>
      </c>
    </row>
    <row r="3984">
      <c r="A3984" t="inlineStr">
        <is>
          <t>2024-11-08</t>
        </is>
      </c>
      <c r="B3984" t="inlineStr">
        <is>
          <t>한국콜마</t>
        </is>
      </c>
      <c r="C3984" t="inlineStr">
        <is>
          <t>161890</t>
        </is>
      </c>
      <c r="D3984" t="inlineStr">
        <is>
          <t>연결</t>
        </is>
      </c>
      <c r="E3984" t="inlineStr">
        <is>
          <t>2024Q3</t>
        </is>
      </c>
      <c r="F3984" s="2" t="n">
        <v>626505</v>
      </c>
      <c r="G3984" t="n">
        <v>-5.11</v>
      </c>
      <c r="H3984" t="n">
        <v>21.33</v>
      </c>
      <c r="I3984" s="2" t="n">
        <v>54540</v>
      </c>
      <c r="J3984" t="n">
        <v>-23.98</v>
      </c>
      <c r="K3984" t="n">
        <v>75.73999999999999</v>
      </c>
      <c r="L3984" s="2" t="n">
        <v>23642</v>
      </c>
      <c r="M3984" t="n">
        <v>19.67</v>
      </c>
      <c r="N3984" t="inlineStr">
        <is>
          <t>20241108800103</t>
        </is>
      </c>
      <c r="O3984">
        <f>HYPERLINK("https://dart.fss.or.kr/dsaf001/main.do?rcpNo=20241108800103", "공시열람")</f>
        <v/>
      </c>
    </row>
    <row r="3985">
      <c r="A3985" t="inlineStr">
        <is>
          <t>2024-11-08</t>
        </is>
      </c>
      <c r="B3985" t="inlineStr">
        <is>
          <t>광주신세계</t>
        </is>
      </c>
      <c r="C3985" t="inlineStr">
        <is>
          <t>037710</t>
        </is>
      </c>
      <c r="D3985" t="inlineStr">
        <is>
          <t>별도</t>
        </is>
      </c>
      <c r="E3985" t="inlineStr">
        <is>
          <t>2024Q3</t>
        </is>
      </c>
      <c r="F3985" s="2" t="n">
        <v>16789</v>
      </c>
      <c r="G3985" t="n">
        <v>2.1</v>
      </c>
      <c r="H3985" t="n">
        <v>-0.6</v>
      </c>
      <c r="I3985" s="2" t="inlineStr"/>
      <c r="J3985" t="inlineStr"/>
      <c r="K3985" t="inlineStr"/>
      <c r="L3985" s="2" t="inlineStr"/>
      <c r="M3985" t="inlineStr"/>
      <c r="N3985" t="inlineStr">
        <is>
          <t>20241108800243</t>
        </is>
      </c>
      <c r="O3985">
        <f>HYPERLINK("https://dart.fss.or.kr/dsaf001/main.do?rcpNo=20241108800243", "공시열람")</f>
        <v/>
      </c>
    </row>
    <row r="3986">
      <c r="A3986" t="inlineStr">
        <is>
          <t>2024-11-08</t>
        </is>
      </c>
      <c r="B3986" t="inlineStr">
        <is>
          <t>케이티</t>
        </is>
      </c>
      <c r="C3986" t="inlineStr">
        <is>
          <t>030200</t>
        </is>
      </c>
      <c r="D3986" t="inlineStr">
        <is>
          <t>별도</t>
        </is>
      </c>
      <c r="E3986" t="inlineStr">
        <is>
          <t>2024Q3</t>
        </is>
      </c>
      <c r="F3986" s="2" t="n">
        <v>4765000</v>
      </c>
      <c r="G3986" t="n">
        <v>4.8</v>
      </c>
      <c r="H3986" t="n">
        <v>2</v>
      </c>
      <c r="I3986" s="2" t="n">
        <v>338900</v>
      </c>
      <c r="J3986" t="n">
        <v>-5.5</v>
      </c>
      <c r="K3986" t="n">
        <v>75.09999999999999</v>
      </c>
      <c r="L3986" s="2" t="n">
        <v>309800</v>
      </c>
      <c r="M3986" t="n">
        <v>47.1</v>
      </c>
      <c r="N3986" t="inlineStr">
        <is>
          <t>20241108800008</t>
        </is>
      </c>
      <c r="O3986">
        <f>HYPERLINK("https://dart.fss.or.kr/dsaf001/main.do?rcpNo=20241108800008", "공시열람")</f>
        <v/>
      </c>
    </row>
    <row r="3987">
      <c r="A3987" t="inlineStr">
        <is>
          <t>2024-11-08</t>
        </is>
      </c>
      <c r="B3987" t="inlineStr">
        <is>
          <t>SK디앤디</t>
        </is>
      </c>
      <c r="C3987" t="inlineStr">
        <is>
          <t>210980</t>
        </is>
      </c>
      <c r="D3987" t="inlineStr">
        <is>
          <t>연결</t>
        </is>
      </c>
      <c r="E3987" t="inlineStr">
        <is>
          <t>2024Q3</t>
        </is>
      </c>
      <c r="F3987" s="2" t="n">
        <v>62700</v>
      </c>
      <c r="G3987" t="n">
        <v>-12.8</v>
      </c>
      <c r="H3987" t="inlineStr"/>
      <c r="I3987" s="2" t="n">
        <v>2700</v>
      </c>
      <c r="J3987" t="n">
        <v>7</v>
      </c>
      <c r="K3987" t="inlineStr"/>
      <c r="L3987" s="2" t="n">
        <v>-500</v>
      </c>
      <c r="M3987" t="n">
        <v>96</v>
      </c>
      <c r="N3987" t="inlineStr">
        <is>
          <t>20241108800508</t>
        </is>
      </c>
      <c r="O3987">
        <f>HYPERLINK("https://dart.fss.or.kr/dsaf001/main.do?rcpNo=20241108800508", "공시열람")</f>
        <v/>
      </c>
    </row>
    <row r="3988">
      <c r="A3988" t="inlineStr">
        <is>
          <t>2024-11-08</t>
        </is>
      </c>
      <c r="B3988" t="inlineStr">
        <is>
          <t>F&amp;F</t>
        </is>
      </c>
      <c r="C3988" t="inlineStr">
        <is>
          <t>383220</t>
        </is>
      </c>
      <c r="D3988" t="inlineStr">
        <is>
          <t>연결</t>
        </is>
      </c>
      <c r="E3988" t="inlineStr">
        <is>
          <t>2024Q3</t>
        </is>
      </c>
      <c r="F3988" s="2" t="n">
        <v>450963</v>
      </c>
      <c r="G3988" t="n">
        <v>15.2</v>
      </c>
      <c r="H3988" t="n">
        <v>-8.5</v>
      </c>
      <c r="I3988" s="2" t="n">
        <v>108305</v>
      </c>
      <c r="J3988" t="n">
        <v>18</v>
      </c>
      <c r="K3988" t="n">
        <v>-27.1</v>
      </c>
      <c r="L3988" s="2" t="n">
        <v>79903</v>
      </c>
      <c r="M3988" t="n">
        <v>-32.9</v>
      </c>
      <c r="N3988" t="inlineStr">
        <is>
          <t>20241108800609</t>
        </is>
      </c>
      <c r="O3988">
        <f>HYPERLINK("https://dart.fss.or.kr/dsaf001/main.do?rcpNo=20241108800609", "공시열람")</f>
        <v/>
      </c>
    </row>
    <row r="3989">
      <c r="A3989" t="inlineStr">
        <is>
          <t>2024-11-08</t>
        </is>
      </c>
      <c r="B3989" t="inlineStr">
        <is>
          <t>NAVER</t>
        </is>
      </c>
      <c r="C3989" t="inlineStr">
        <is>
          <t>035420</t>
        </is>
      </c>
      <c r="D3989" t="inlineStr">
        <is>
          <t>별도</t>
        </is>
      </c>
      <c r="E3989" t="inlineStr">
        <is>
          <t>2024Q3</t>
        </is>
      </c>
      <c r="F3989" s="2" t="n">
        <v>1548000</v>
      </c>
      <c r="G3989" t="n">
        <v>2</v>
      </c>
      <c r="H3989" t="n">
        <v>10</v>
      </c>
      <c r="I3989" s="2" t="n">
        <v>472100</v>
      </c>
      <c r="J3989" t="n">
        <v>-5.1</v>
      </c>
      <c r="K3989" t="n">
        <v>5.4</v>
      </c>
      <c r="L3989" s="2" t="n">
        <v>1057700</v>
      </c>
      <c r="M3989" t="n">
        <v>140.6</v>
      </c>
      <c r="N3989" t="inlineStr">
        <is>
          <t>20241108800002</t>
        </is>
      </c>
      <c r="O3989">
        <f>HYPERLINK("https://dart.fss.or.kr/dsaf001/main.do?rcpNo=20241108800002", "공시열람")</f>
        <v/>
      </c>
    </row>
    <row r="3990">
      <c r="A3990" t="inlineStr">
        <is>
          <t>2024-11-08</t>
        </is>
      </c>
      <c r="B3990" t="inlineStr">
        <is>
          <t>케이티</t>
        </is>
      </c>
      <c r="C3990" t="inlineStr">
        <is>
          <t>030200</t>
        </is>
      </c>
      <c r="D3990" t="inlineStr">
        <is>
          <t>연결</t>
        </is>
      </c>
      <c r="E3990" t="inlineStr">
        <is>
          <t>2024Q3</t>
        </is>
      </c>
      <c r="F3990" s="2" t="n">
        <v>6654600</v>
      </c>
      <c r="G3990" t="n">
        <v>1.7</v>
      </c>
      <c r="H3990" t="n">
        <v>-0.6</v>
      </c>
      <c r="I3990" s="2" t="n">
        <v>464100</v>
      </c>
      <c r="J3990" t="n">
        <v>-6.1</v>
      </c>
      <c r="K3990" t="n">
        <v>44.2</v>
      </c>
      <c r="L3990" s="2" t="n">
        <v>383200</v>
      </c>
      <c r="M3990" t="n">
        <v>32.9</v>
      </c>
      <c r="N3990" t="inlineStr">
        <is>
          <t>20241108800007</t>
        </is>
      </c>
      <c r="O3990">
        <f>HYPERLINK("https://dart.fss.or.kr/dsaf001/main.do?rcpNo=20241108800007", "공시열람")</f>
        <v/>
      </c>
    </row>
    <row r="3991">
      <c r="A3991" t="inlineStr">
        <is>
          <t>2024-11-08</t>
        </is>
      </c>
      <c r="B3991" t="inlineStr">
        <is>
          <t>신세계인터내셔날</t>
        </is>
      </c>
      <c r="C3991" t="inlineStr">
        <is>
          <t>031430</t>
        </is>
      </c>
      <c r="D3991" t="inlineStr">
        <is>
          <t>연결</t>
        </is>
      </c>
      <c r="E3991" t="inlineStr">
        <is>
          <t>2024Q3</t>
        </is>
      </c>
      <c r="F3991" s="2" t="n">
        <v>296035</v>
      </c>
      <c r="G3991" t="n">
        <v>-7.7</v>
      </c>
      <c r="H3991" t="n">
        <v>-6.3</v>
      </c>
      <c r="I3991" s="2" t="n">
        <v>2081</v>
      </c>
      <c r="J3991" t="n">
        <v>-84.3</v>
      </c>
      <c r="K3991" t="n">
        <v>-65.40000000000001</v>
      </c>
      <c r="L3991" s="2" t="n">
        <v>4912</v>
      </c>
      <c r="M3991" t="n">
        <v>89.90000000000001</v>
      </c>
      <c r="N3991" t="inlineStr">
        <is>
          <t>20241108800249</t>
        </is>
      </c>
      <c r="O3991">
        <f>HYPERLINK("https://dart.fss.or.kr/dsaf001/main.do?rcpNo=20241108800249", "공시열람")</f>
        <v/>
      </c>
    </row>
    <row r="3992">
      <c r="A3992" t="inlineStr">
        <is>
          <t>2024-11-07</t>
        </is>
      </c>
      <c r="B3992" t="inlineStr">
        <is>
          <t>카카오</t>
        </is>
      </c>
      <c r="C3992" t="inlineStr">
        <is>
          <t>035720</t>
        </is>
      </c>
      <c r="D3992" t="inlineStr">
        <is>
          <t>별도</t>
        </is>
      </c>
      <c r="E3992" t="inlineStr">
        <is>
          <t>2024Q3</t>
        </is>
      </c>
      <c r="F3992" s="2" t="n">
        <v>618739</v>
      </c>
      <c r="G3992" t="n">
        <v>-4</v>
      </c>
      <c r="H3992" t="n">
        <v>0.2</v>
      </c>
      <c r="I3992" s="2" t="n">
        <v>101678</v>
      </c>
      <c r="J3992" t="n">
        <v>-21.8</v>
      </c>
      <c r="K3992" t="n">
        <v>-15</v>
      </c>
      <c r="L3992" s="2" t="n">
        <v>51848</v>
      </c>
      <c r="M3992" t="n">
        <v>-41.4</v>
      </c>
      <c r="N3992" t="inlineStr">
        <is>
          <t>20241107800006</t>
        </is>
      </c>
      <c r="O3992">
        <f>HYPERLINK("https://dart.fss.or.kr/dsaf001/main.do?rcpNo=20241107800006", "공시열람")</f>
        <v/>
      </c>
    </row>
    <row r="3993">
      <c r="A3993" t="inlineStr">
        <is>
          <t>2024-11-07</t>
        </is>
      </c>
      <c r="B3993" t="inlineStr">
        <is>
          <t>미래에셋증권</t>
        </is>
      </c>
      <c r="C3993" t="inlineStr">
        <is>
          <t>006800</t>
        </is>
      </c>
      <c r="D3993" t="inlineStr">
        <is>
          <t>연결</t>
        </is>
      </c>
      <c r="E3993" t="inlineStr">
        <is>
          <t>2024Q3</t>
        </is>
      </c>
      <c r="F3993" s="2" t="n">
        <v>5448856</v>
      </c>
      <c r="G3993" t="n">
        <v>15.3</v>
      </c>
      <c r="H3993" t="n">
        <v>19.2</v>
      </c>
      <c r="I3993" s="2" t="n">
        <v>370763</v>
      </c>
      <c r="J3993" t="n">
        <v>35.7</v>
      </c>
      <c r="K3993" t="n">
        <v>114.2</v>
      </c>
      <c r="L3993" s="2" t="n">
        <v>290097</v>
      </c>
      <c r="M3993" t="n">
        <v>277.4</v>
      </c>
      <c r="N3993" t="inlineStr">
        <is>
          <t>20241107800067</t>
        </is>
      </c>
      <c r="O3993">
        <f>HYPERLINK("https://dart.fss.or.kr/dsaf001/main.do?rcpNo=20241107800067", "공시열람")</f>
        <v/>
      </c>
    </row>
    <row r="3994">
      <c r="A3994" t="inlineStr">
        <is>
          <t>2024-11-07</t>
        </is>
      </c>
      <c r="B3994" t="inlineStr">
        <is>
          <t>컴투스</t>
        </is>
      </c>
      <c r="C3994" t="inlineStr">
        <is>
          <t>078340</t>
        </is>
      </c>
      <c r="D3994" t="inlineStr">
        <is>
          <t>연결</t>
        </is>
      </c>
      <c r="E3994" t="inlineStr">
        <is>
          <t>2024Q3</t>
        </is>
      </c>
      <c r="F3994" s="2" t="n">
        <v>172814</v>
      </c>
      <c r="G3994" t="inlineStr"/>
      <c r="H3994" t="inlineStr"/>
      <c r="I3994" s="2" t="n">
        <v>1436</v>
      </c>
      <c r="J3994" t="inlineStr"/>
      <c r="K3994" t="inlineStr"/>
      <c r="L3994" s="2" t="n">
        <v>970</v>
      </c>
      <c r="M3994" t="inlineStr"/>
      <c r="N3994" t="inlineStr">
        <is>
          <t>20241107900058</t>
        </is>
      </c>
      <c r="O3994">
        <f>HYPERLINK("https://dart.fss.or.kr/dsaf001/main.do?rcpNo=20241107900058", "공시열람")</f>
        <v/>
      </c>
    </row>
    <row r="3995">
      <c r="A3995" t="inlineStr">
        <is>
          <t>2024-11-07</t>
        </is>
      </c>
      <c r="B3995" t="inlineStr">
        <is>
          <t>컴투스홀딩스</t>
        </is>
      </c>
      <c r="C3995" t="inlineStr">
        <is>
          <t>063080</t>
        </is>
      </c>
      <c r="D3995" t="inlineStr">
        <is>
          <t>연결</t>
        </is>
      </c>
      <c r="E3995" t="inlineStr">
        <is>
          <t>2024Q3</t>
        </is>
      </c>
      <c r="F3995" s="2" t="n">
        <v>47124</v>
      </c>
      <c r="G3995" t="inlineStr"/>
      <c r="H3995" t="inlineStr"/>
      <c r="I3995" s="2" t="n">
        <v>-4481</v>
      </c>
      <c r="J3995" t="inlineStr"/>
      <c r="K3995" t="inlineStr"/>
      <c r="L3995" s="2" t="n">
        <v>-9509</v>
      </c>
      <c r="M3995" t="inlineStr"/>
      <c r="N3995" t="inlineStr">
        <is>
          <t>20241107900061</t>
        </is>
      </c>
      <c r="O3995">
        <f>HYPERLINK("https://dart.fss.or.kr/dsaf001/main.do?rcpNo=20241107900061", "공시열람")</f>
        <v/>
      </c>
    </row>
    <row r="3996">
      <c r="A3996" t="inlineStr">
        <is>
          <t>2024-11-07</t>
        </is>
      </c>
      <c r="B3996" t="inlineStr">
        <is>
          <t>레이언스</t>
        </is>
      </c>
      <c r="C3996" t="inlineStr">
        <is>
          <t>228850</t>
        </is>
      </c>
      <c r="D3996" t="inlineStr">
        <is>
          <t>연결</t>
        </is>
      </c>
      <c r="E3996" t="inlineStr">
        <is>
          <t>2024Q3</t>
        </is>
      </c>
      <c r="F3996" s="2" t="n">
        <v>31098</v>
      </c>
      <c r="G3996" t="inlineStr"/>
      <c r="H3996" t="inlineStr"/>
      <c r="I3996" s="2" t="n">
        <v>1595</v>
      </c>
      <c r="J3996" t="inlineStr"/>
      <c r="K3996" t="inlineStr"/>
      <c r="L3996" s="2" t="n">
        <v>1718</v>
      </c>
      <c r="M3996" t="inlineStr"/>
      <c r="N3996" t="inlineStr">
        <is>
          <t>20241107900421</t>
        </is>
      </c>
      <c r="O3996">
        <f>HYPERLINK("https://dart.fss.or.kr/dsaf001/main.do?rcpNo=20241107900421", "공시열람")</f>
        <v/>
      </c>
    </row>
    <row r="3997">
      <c r="A3997" t="inlineStr">
        <is>
          <t>2024-11-07</t>
        </is>
      </c>
      <c r="B3997" t="inlineStr">
        <is>
          <t>카카오</t>
        </is>
      </c>
      <c r="C3997" t="inlineStr">
        <is>
          <t>035720</t>
        </is>
      </c>
      <c r="D3997" t="inlineStr">
        <is>
          <t>연결</t>
        </is>
      </c>
      <c r="E3997" t="inlineStr">
        <is>
          <t>2024Q3</t>
        </is>
      </c>
      <c r="F3997" s="2" t="n">
        <v>1921398</v>
      </c>
      <c r="G3997" t="n">
        <v>-4.2</v>
      </c>
      <c r="H3997" t="n">
        <v>-4.5</v>
      </c>
      <c r="I3997" s="2" t="n">
        <v>130526</v>
      </c>
      <c r="J3997" t="n">
        <v>-2.6</v>
      </c>
      <c r="K3997" t="n">
        <v>5</v>
      </c>
      <c r="L3997" s="2" t="n">
        <v>78513</v>
      </c>
      <c r="M3997" t="n">
        <v>113</v>
      </c>
      <c r="N3997" t="inlineStr">
        <is>
          <t>20241107800004</t>
        </is>
      </c>
      <c r="O3997">
        <f>HYPERLINK("https://dart.fss.or.kr/dsaf001/main.do?rcpNo=20241107800004", "공시열람")</f>
        <v/>
      </c>
    </row>
    <row r="3998">
      <c r="A3998" t="inlineStr">
        <is>
          <t>2024-11-07</t>
        </is>
      </c>
      <c r="B3998" t="inlineStr">
        <is>
          <t>한전기술</t>
        </is>
      </c>
      <c r="C3998" t="inlineStr">
        <is>
          <t>052690</t>
        </is>
      </c>
      <c r="D3998" t="inlineStr">
        <is>
          <t>연결</t>
        </is>
      </c>
      <c r="E3998" t="inlineStr">
        <is>
          <t>2024Q3</t>
        </is>
      </c>
      <c r="F3998" s="2" t="n">
        <v>105867</v>
      </c>
      <c r="G3998" t="n">
        <v>-16.8</v>
      </c>
      <c r="H3998" t="n">
        <v>-11.3</v>
      </c>
      <c r="I3998" s="2" t="n">
        <v>5668</v>
      </c>
      <c r="J3998" t="n">
        <v>-57</v>
      </c>
      <c r="K3998" t="n">
        <v>8.6</v>
      </c>
      <c r="L3998" s="2" t="n">
        <v>6739</v>
      </c>
      <c r="M3998" t="n">
        <v>37.8</v>
      </c>
      <c r="N3998" t="inlineStr">
        <is>
          <t>20241107800432</t>
        </is>
      </c>
      <c r="O3998">
        <f>HYPERLINK("https://dart.fss.or.kr/dsaf001/main.do?rcpNo=20241107800432", "공시열람")</f>
        <v/>
      </c>
    </row>
    <row r="3999">
      <c r="A3999" t="inlineStr">
        <is>
          <t>2024-11-07</t>
        </is>
      </c>
      <c r="B3999" t="inlineStr">
        <is>
          <t>헥토이노베이션</t>
        </is>
      </c>
      <c r="C3999" t="inlineStr">
        <is>
          <t>214180</t>
        </is>
      </c>
      <c r="D3999" t="inlineStr">
        <is>
          <t>별도</t>
        </is>
      </c>
      <c r="E3999" t="inlineStr">
        <is>
          <t>2024Q3</t>
        </is>
      </c>
      <c r="F3999" s="2" t="n">
        <v>28949</v>
      </c>
      <c r="G3999" t="inlineStr"/>
      <c r="H3999" t="inlineStr"/>
      <c r="I3999" s="2" t="n">
        <v>10289</v>
      </c>
      <c r="J3999" t="inlineStr"/>
      <c r="K3999" t="inlineStr"/>
      <c r="L3999" s="2" t="n">
        <v>8473</v>
      </c>
      <c r="M3999" t="inlineStr"/>
      <c r="N3999" t="inlineStr">
        <is>
          <t>20241107900310</t>
        </is>
      </c>
      <c r="O3999">
        <f>HYPERLINK("https://dart.fss.or.kr/dsaf001/main.do?rcpNo=20241107900310", "공시열람")</f>
        <v/>
      </c>
    </row>
    <row r="4000">
      <c r="A4000" t="inlineStr">
        <is>
          <t>2024-11-07</t>
        </is>
      </c>
      <c r="B4000" t="inlineStr">
        <is>
          <t>헥토이노베이션</t>
        </is>
      </c>
      <c r="C4000" t="inlineStr">
        <is>
          <t>214180</t>
        </is>
      </c>
      <c r="D4000" t="inlineStr">
        <is>
          <t>연결</t>
        </is>
      </c>
      <c r="E4000" t="inlineStr">
        <is>
          <t>2024Q3</t>
        </is>
      </c>
      <c r="F4000" s="2" t="n">
        <v>80219</v>
      </c>
      <c r="G4000" t="inlineStr"/>
      <c r="H4000" t="inlineStr"/>
      <c r="I4000" s="2" t="n">
        <v>13919</v>
      </c>
      <c r="J4000" t="inlineStr"/>
      <c r="K4000" t="inlineStr"/>
      <c r="L4000" s="2" t="n">
        <v>12436</v>
      </c>
      <c r="M4000" t="inlineStr"/>
      <c r="N4000" t="inlineStr">
        <is>
          <t>20241107900304</t>
        </is>
      </c>
      <c r="O4000">
        <f>HYPERLINK("https://dart.fss.or.kr/dsaf001/main.do?rcpNo=20241107900304", "공시열람")</f>
        <v/>
      </c>
    </row>
    <row r="4001">
      <c r="A4001" t="inlineStr">
        <is>
          <t>2024-11-07</t>
        </is>
      </c>
      <c r="B4001" t="inlineStr">
        <is>
          <t>인바디</t>
        </is>
      </c>
      <c r="C4001" t="inlineStr">
        <is>
          <t>041830</t>
        </is>
      </c>
      <c r="D4001" t="inlineStr">
        <is>
          <t>연결</t>
        </is>
      </c>
      <c r="E4001" t="inlineStr">
        <is>
          <t>2024Q3</t>
        </is>
      </c>
      <c r="F4001" s="2" t="n">
        <v>50720</v>
      </c>
      <c r="G4001" t="inlineStr"/>
      <c r="H4001" t="inlineStr"/>
      <c r="I4001" s="2" t="n">
        <v>9823</v>
      </c>
      <c r="J4001" t="inlineStr"/>
      <c r="K4001" t="inlineStr"/>
      <c r="L4001" s="2" t="n">
        <v>7354</v>
      </c>
      <c r="M4001" t="inlineStr"/>
      <c r="N4001" t="inlineStr">
        <is>
          <t>20241107900326</t>
        </is>
      </c>
      <c r="O4001">
        <f>HYPERLINK("https://dart.fss.or.kr/dsaf001/main.do?rcpNo=20241107900326", "공시열람")</f>
        <v/>
      </c>
    </row>
    <row r="4002">
      <c r="A4002" t="inlineStr">
        <is>
          <t>2024-11-07</t>
        </is>
      </c>
      <c r="B4002" t="inlineStr">
        <is>
          <t>원익IPS</t>
        </is>
      </c>
      <c r="C4002" t="inlineStr">
        <is>
          <t>240810</t>
        </is>
      </c>
      <c r="D4002" t="inlineStr">
        <is>
          <t>연결</t>
        </is>
      </c>
      <c r="E4002" t="inlineStr">
        <is>
          <t>2024Q3</t>
        </is>
      </c>
      <c r="F4002" s="2" t="n">
        <v>184587</v>
      </c>
      <c r="G4002" t="inlineStr"/>
      <c r="H4002" t="inlineStr"/>
      <c r="I4002" s="2" t="n">
        <v>14466</v>
      </c>
      <c r="J4002" t="inlineStr"/>
      <c r="K4002" t="inlineStr"/>
      <c r="L4002" s="2" t="n">
        <v>8450</v>
      </c>
      <c r="M4002" t="inlineStr"/>
      <c r="N4002" t="inlineStr">
        <is>
          <t>20241107900313</t>
        </is>
      </c>
      <c r="O4002">
        <f>HYPERLINK("https://dart.fss.or.kr/dsaf001/main.do?rcpNo=20241107900313", "공시열람")</f>
        <v/>
      </c>
    </row>
    <row r="4003">
      <c r="A4003" t="inlineStr">
        <is>
          <t>2024-11-07</t>
        </is>
      </c>
      <c r="B4003" t="inlineStr">
        <is>
          <t>BGF</t>
        </is>
      </c>
      <c r="C4003" t="inlineStr">
        <is>
          <t>027410</t>
        </is>
      </c>
      <c r="D4003" t="inlineStr">
        <is>
          <t>연결</t>
        </is>
      </c>
      <c r="E4003" t="inlineStr">
        <is>
          <t>2024Q3</t>
        </is>
      </c>
      <c r="F4003" s="2" t="n">
        <v>110900</v>
      </c>
      <c r="G4003" t="n">
        <v>-2.3</v>
      </c>
      <c r="H4003" t="n">
        <v>24.6</v>
      </c>
      <c r="I4003" s="2" t="n">
        <v>21100</v>
      </c>
      <c r="J4003" t="n">
        <v>27.9</v>
      </c>
      <c r="K4003" t="n">
        <v>-2.8</v>
      </c>
      <c r="L4003" s="2" t="n">
        <v>52300</v>
      </c>
      <c r="M4003" t="n">
        <v>119.7</v>
      </c>
      <c r="N4003" t="inlineStr">
        <is>
          <t>20241107800291</t>
        </is>
      </c>
      <c r="O4003">
        <f>HYPERLINK("https://dart.fss.or.kr/dsaf001/main.do?rcpNo=20241107800291", "공시열람")</f>
        <v/>
      </c>
    </row>
    <row r="4004">
      <c r="A4004" t="inlineStr">
        <is>
          <t>2024-11-07</t>
        </is>
      </c>
      <c r="B4004" t="inlineStr">
        <is>
          <t>레이크머티리얼즈</t>
        </is>
      </c>
      <c r="C4004" t="inlineStr">
        <is>
          <t>281740</t>
        </is>
      </c>
      <c r="D4004" t="inlineStr">
        <is>
          <t>연결</t>
        </is>
      </c>
      <c r="E4004" t="inlineStr">
        <is>
          <t>2024Q3</t>
        </is>
      </c>
      <c r="F4004" s="2" t="n">
        <v>32444</v>
      </c>
      <c r="G4004" t="inlineStr"/>
      <c r="H4004" t="inlineStr"/>
      <c r="I4004" s="2" t="n">
        <v>3955</v>
      </c>
      <c r="J4004" t="inlineStr"/>
      <c r="K4004" t="inlineStr"/>
      <c r="L4004" s="2" t="n">
        <v>2945</v>
      </c>
      <c r="M4004" t="inlineStr"/>
      <c r="N4004" t="inlineStr">
        <is>
          <t>20241107900340</t>
        </is>
      </c>
      <c r="O4004">
        <f>HYPERLINK("https://dart.fss.or.kr/dsaf001/main.do?rcpNo=20241107900340", "공시열람")</f>
        <v/>
      </c>
    </row>
    <row r="4005">
      <c r="A4005" t="inlineStr">
        <is>
          <t>2024-11-07</t>
        </is>
      </c>
      <c r="B4005" t="inlineStr">
        <is>
          <t>서울바이오시스</t>
        </is>
      </c>
      <c r="C4005" t="inlineStr">
        <is>
          <t>092190</t>
        </is>
      </c>
      <c r="D4005" t="inlineStr">
        <is>
          <t>연결</t>
        </is>
      </c>
      <c r="E4005" t="inlineStr">
        <is>
          <t>2024Q3</t>
        </is>
      </c>
      <c r="F4005" s="2" t="n">
        <v>184311</v>
      </c>
      <c r="G4005" t="inlineStr"/>
      <c r="H4005" t="inlineStr"/>
      <c r="I4005" s="2" t="n">
        <v>5217</v>
      </c>
      <c r="J4005" t="inlineStr"/>
      <c r="K4005" t="inlineStr"/>
      <c r="L4005" s="2" t="n">
        <v>9521</v>
      </c>
      <c r="M4005" t="inlineStr"/>
      <c r="N4005" t="inlineStr">
        <is>
          <t>20241107900337</t>
        </is>
      </c>
      <c r="O4005">
        <f>HYPERLINK("https://dart.fss.or.kr/dsaf001/main.do?rcpNo=20241107900337", "공시열람")</f>
        <v/>
      </c>
    </row>
    <row r="4006">
      <c r="A4006" t="inlineStr">
        <is>
          <t>2024-11-07</t>
        </is>
      </c>
      <c r="B4006" t="inlineStr">
        <is>
          <t>헥토파이낸셜</t>
        </is>
      </c>
      <c r="C4006" t="inlineStr">
        <is>
          <t>234340</t>
        </is>
      </c>
      <c r="D4006" t="inlineStr">
        <is>
          <t>연결</t>
        </is>
      </c>
      <c r="E4006" t="inlineStr">
        <is>
          <t>2024Q3</t>
        </is>
      </c>
      <c r="F4006" s="2" t="n">
        <v>39444</v>
      </c>
      <c r="G4006" t="inlineStr"/>
      <c r="H4006" t="inlineStr"/>
      <c r="I4006" s="2" t="n">
        <v>4143</v>
      </c>
      <c r="J4006" t="inlineStr"/>
      <c r="K4006" t="inlineStr"/>
      <c r="L4006" s="2" t="n">
        <v>3950</v>
      </c>
      <c r="M4006" t="inlineStr"/>
      <c r="N4006" t="inlineStr">
        <is>
          <t>20241107900084</t>
        </is>
      </c>
      <c r="O4006">
        <f>HYPERLINK("https://dart.fss.or.kr/dsaf001/main.do?rcpNo=20241107900084", "공시열람")</f>
        <v/>
      </c>
    </row>
    <row r="4007">
      <c r="A4007" t="inlineStr">
        <is>
          <t>2024-11-07</t>
        </is>
      </c>
      <c r="B4007" t="inlineStr">
        <is>
          <t>메가스터디교육</t>
        </is>
      </c>
      <c r="C4007" t="inlineStr">
        <is>
          <t>215200</t>
        </is>
      </c>
      <c r="D4007" t="inlineStr">
        <is>
          <t>연결</t>
        </is>
      </c>
      <c r="E4007" t="inlineStr">
        <is>
          <t>2024Q3</t>
        </is>
      </c>
      <c r="F4007" s="2" t="n">
        <v>256018</v>
      </c>
      <c r="G4007" t="inlineStr"/>
      <c r="H4007" t="inlineStr"/>
      <c r="I4007" s="2" t="n">
        <v>54347</v>
      </c>
      <c r="J4007" t="inlineStr"/>
      <c r="K4007" t="inlineStr"/>
      <c r="L4007" s="2" t="n">
        <v>43880</v>
      </c>
      <c r="M4007" t="inlineStr"/>
      <c r="N4007" t="inlineStr">
        <is>
          <t>20241107900414</t>
        </is>
      </c>
      <c r="O4007">
        <f>HYPERLINK("https://dart.fss.or.kr/dsaf001/main.do?rcpNo=20241107900414", "공시열람")</f>
        <v/>
      </c>
    </row>
    <row r="4008">
      <c r="A4008" t="inlineStr">
        <is>
          <t>2024-11-07</t>
        </is>
      </c>
      <c r="B4008" t="inlineStr">
        <is>
          <t>넷마블</t>
        </is>
      </c>
      <c r="C4008" t="inlineStr">
        <is>
          <t>251270</t>
        </is>
      </c>
      <c r="D4008" t="inlineStr">
        <is>
          <t>연결</t>
        </is>
      </c>
      <c r="E4008" t="inlineStr">
        <is>
          <t>2024Q3</t>
        </is>
      </c>
      <c r="F4008" s="2" t="n">
        <v>647300</v>
      </c>
      <c r="G4008" t="n">
        <v>-17.2</v>
      </c>
      <c r="H4008" t="n">
        <v>2.6</v>
      </c>
      <c r="I4008" s="2" t="n">
        <v>65500</v>
      </c>
      <c r="J4008" t="n">
        <v>-41.1</v>
      </c>
      <c r="K4008" t="inlineStr"/>
      <c r="L4008" s="2" t="n">
        <v>20600</v>
      </c>
      <c r="M4008" t="inlineStr"/>
      <c r="N4008" t="inlineStr">
        <is>
          <t>20241107800402</t>
        </is>
      </c>
      <c r="O4008">
        <f>HYPERLINK("https://dart.fss.or.kr/dsaf001/main.do?rcpNo=20241107800402", "공시열람")</f>
        <v/>
      </c>
    </row>
    <row r="4009">
      <c r="A4009" t="inlineStr">
        <is>
          <t>2024-11-07</t>
        </is>
      </c>
      <c r="B4009" t="inlineStr">
        <is>
          <t>현대에버다임</t>
        </is>
      </c>
      <c r="C4009" t="inlineStr">
        <is>
          <t>041440</t>
        </is>
      </c>
      <c r="D4009" t="inlineStr">
        <is>
          <t>연결</t>
        </is>
      </c>
      <c r="E4009" t="inlineStr">
        <is>
          <t>2024Q3</t>
        </is>
      </c>
      <c r="F4009" s="2" t="n">
        <v>61112</v>
      </c>
      <c r="G4009" t="inlineStr"/>
      <c r="H4009" t="inlineStr"/>
      <c r="I4009" s="2" t="n">
        <v>-1145</v>
      </c>
      <c r="J4009" t="inlineStr"/>
      <c r="K4009" t="inlineStr"/>
      <c r="L4009" s="2" t="n">
        <v>-2246</v>
      </c>
      <c r="M4009" t="inlineStr"/>
      <c r="N4009" t="inlineStr">
        <is>
          <t>20241107900370</t>
        </is>
      </c>
      <c r="O4009">
        <f>HYPERLINK("https://dart.fss.or.kr/dsaf001/main.do?rcpNo=20241107900370", "공시열람")</f>
        <v/>
      </c>
    </row>
    <row r="4010">
      <c r="A4010" t="inlineStr">
        <is>
          <t>2024-11-07</t>
        </is>
      </c>
      <c r="B4010" t="inlineStr">
        <is>
          <t>콘텐트리중앙</t>
        </is>
      </c>
      <c r="C4010" t="inlineStr">
        <is>
          <t>036420</t>
        </is>
      </c>
      <c r="D4010" t="inlineStr">
        <is>
          <t>연결</t>
        </is>
      </c>
      <c r="E4010" t="inlineStr">
        <is>
          <t>2024Q3</t>
        </is>
      </c>
      <c r="F4010" s="2" t="n">
        <v>228220</v>
      </c>
      <c r="G4010" t="inlineStr"/>
      <c r="H4010" t="inlineStr"/>
      <c r="I4010" s="2" t="n">
        <v>-12829</v>
      </c>
      <c r="J4010" t="inlineStr"/>
      <c r="K4010" t="inlineStr"/>
      <c r="L4010" s="2" t="n">
        <v>-33908</v>
      </c>
      <c r="M4010" t="inlineStr"/>
      <c r="N4010" t="inlineStr">
        <is>
          <t>20241107800386</t>
        </is>
      </c>
      <c r="O4010">
        <f>HYPERLINK("https://dart.fss.or.kr/dsaf001/main.do?rcpNo=20241107800386", "공시열람")</f>
        <v/>
      </c>
    </row>
    <row r="4011">
      <c r="A4011" t="inlineStr">
        <is>
          <t>2024-11-07</t>
        </is>
      </c>
      <c r="B4011" t="inlineStr">
        <is>
          <t>코오롱인더</t>
        </is>
      </c>
      <c r="C4011" t="inlineStr">
        <is>
          <t>120110</t>
        </is>
      </c>
      <c r="D4011" t="inlineStr">
        <is>
          <t>연결</t>
        </is>
      </c>
      <c r="E4011" t="inlineStr">
        <is>
          <t>2024Q3</t>
        </is>
      </c>
      <c r="F4011" s="2" t="n">
        <v>1099510</v>
      </c>
      <c r="G4011" t="n">
        <v>-14.37</v>
      </c>
      <c r="H4011" t="n">
        <v>3.46</v>
      </c>
      <c r="I4011" s="2" t="n">
        <v>32869</v>
      </c>
      <c r="J4011" t="n">
        <v>-44.69</v>
      </c>
      <c r="K4011" t="n">
        <v>5.15</v>
      </c>
      <c r="L4011" s="2" t="n">
        <v>-4264</v>
      </c>
      <c r="M4011" t="n">
        <v>39.39</v>
      </c>
      <c r="N4011" t="inlineStr">
        <is>
          <t>20241107800372</t>
        </is>
      </c>
      <c r="O4011">
        <f>HYPERLINK("https://dart.fss.or.kr/dsaf001/main.do?rcpNo=20241107800372", "공시열람")</f>
        <v/>
      </c>
    </row>
    <row r="4012">
      <c r="A4012" t="inlineStr">
        <is>
          <t>2024-11-07</t>
        </is>
      </c>
      <c r="B4012" t="inlineStr">
        <is>
          <t>엠로</t>
        </is>
      </c>
      <c r="C4012" t="inlineStr">
        <is>
          <t>058970</t>
        </is>
      </c>
      <c r="D4012" t="inlineStr">
        <is>
          <t>연결</t>
        </is>
      </c>
      <c r="E4012" t="inlineStr">
        <is>
          <t>2024Q3</t>
        </is>
      </c>
      <c r="F4012" s="2" t="n">
        <v>23199</v>
      </c>
      <c r="G4012" t="inlineStr"/>
      <c r="H4012" t="inlineStr"/>
      <c r="I4012" s="2" t="n">
        <v>4392</v>
      </c>
      <c r="J4012" t="inlineStr"/>
      <c r="K4012" t="inlineStr"/>
      <c r="L4012" s="2" t="n">
        <v>6153</v>
      </c>
      <c r="M4012" t="inlineStr"/>
      <c r="N4012" t="inlineStr">
        <is>
          <t>20241107900374</t>
        </is>
      </c>
      <c r="O4012">
        <f>HYPERLINK("https://dart.fss.or.kr/dsaf001/main.do?rcpNo=20241107900374", "공시열람")</f>
        <v/>
      </c>
    </row>
    <row r="4013">
      <c r="A4013" t="inlineStr">
        <is>
          <t>2024-11-07</t>
        </is>
      </c>
      <c r="B4013" t="inlineStr">
        <is>
          <t>웹젠</t>
        </is>
      </c>
      <c r="C4013" t="inlineStr">
        <is>
          <t>069080</t>
        </is>
      </c>
      <c r="D4013" t="inlineStr">
        <is>
          <t>연결</t>
        </is>
      </c>
      <c r="E4013" t="inlineStr">
        <is>
          <t>2024Q3</t>
        </is>
      </c>
      <c r="F4013" s="2" t="n">
        <v>49160</v>
      </c>
      <c r="G4013" t="inlineStr"/>
      <c r="H4013" t="inlineStr"/>
      <c r="I4013" s="2" t="n">
        <v>9626</v>
      </c>
      <c r="J4013" t="inlineStr"/>
      <c r="K4013" t="inlineStr"/>
      <c r="L4013" s="2" t="n">
        <v>10067</v>
      </c>
      <c r="M4013" t="inlineStr"/>
      <c r="N4013" t="inlineStr">
        <is>
          <t>20241107900366</t>
        </is>
      </c>
      <c r="O4013">
        <f>HYPERLINK("https://dart.fss.or.kr/dsaf001/main.do?rcpNo=20241107900366", "공시열람")</f>
        <v/>
      </c>
    </row>
    <row r="4014">
      <c r="A4014" t="inlineStr">
        <is>
          <t>2024-11-07</t>
        </is>
      </c>
      <c r="B4014" t="inlineStr">
        <is>
          <t>크래프톤</t>
        </is>
      </c>
      <c r="C4014" t="inlineStr">
        <is>
          <t>259960</t>
        </is>
      </c>
      <c r="D4014" t="inlineStr">
        <is>
          <t>연결</t>
        </is>
      </c>
      <c r="E4014" t="inlineStr">
        <is>
          <t>2024Q3</t>
        </is>
      </c>
      <c r="F4014" s="2" t="n">
        <v>719300</v>
      </c>
      <c r="G4014" t="n">
        <v>1.7</v>
      </c>
      <c r="H4014" t="n">
        <v>59.7</v>
      </c>
      <c r="I4014" s="2" t="n">
        <v>324400</v>
      </c>
      <c r="J4014" t="n">
        <v>-2.3</v>
      </c>
      <c r="K4014" t="n">
        <v>71.40000000000001</v>
      </c>
      <c r="L4014" s="2" t="n">
        <v>121400</v>
      </c>
      <c r="M4014" t="n">
        <v>-42.6</v>
      </c>
      <c r="N4014" t="inlineStr">
        <is>
          <t>20241107800367</t>
        </is>
      </c>
      <c r="O4014">
        <f>HYPERLINK("https://dart.fss.or.kr/dsaf001/main.do?rcpNo=20241107800367", "공시열람")</f>
        <v/>
      </c>
    </row>
    <row r="4015">
      <c r="A4015" t="inlineStr">
        <is>
          <t>2024-11-07</t>
        </is>
      </c>
      <c r="B4015" t="inlineStr">
        <is>
          <t>롯데쇼핑</t>
        </is>
      </c>
      <c r="C4015" t="inlineStr">
        <is>
          <t>023530</t>
        </is>
      </c>
      <c r="D4015" t="inlineStr">
        <is>
          <t>연결</t>
        </is>
      </c>
      <c r="E4015" t="inlineStr">
        <is>
          <t>2024Q3</t>
        </is>
      </c>
      <c r="F4015" s="2" t="n">
        <v>3568353</v>
      </c>
      <c r="G4015" t="n">
        <v>4.1</v>
      </c>
      <c r="H4015" t="n">
        <v>-4.6</v>
      </c>
      <c r="I4015" s="2" t="n">
        <v>154987</v>
      </c>
      <c r="J4015" t="n">
        <v>176.5</v>
      </c>
      <c r="K4015" t="n">
        <v>9.1</v>
      </c>
      <c r="L4015" s="2" t="n">
        <v>28861</v>
      </c>
      <c r="M4015" t="n">
        <v>-53.3</v>
      </c>
      <c r="N4015" t="inlineStr">
        <is>
          <t>20241107800365</t>
        </is>
      </c>
      <c r="O4015">
        <f>HYPERLINK("https://dart.fss.or.kr/dsaf001/main.do?rcpNo=20241107800365", "공시열람")</f>
        <v/>
      </c>
    </row>
    <row r="4016">
      <c r="A4016" t="inlineStr">
        <is>
          <t>2024-11-07</t>
        </is>
      </c>
      <c r="B4016" t="inlineStr">
        <is>
          <t>케이티앤지</t>
        </is>
      </c>
      <c r="C4016" t="inlineStr">
        <is>
          <t>033780</t>
        </is>
      </c>
      <c r="D4016" t="inlineStr">
        <is>
          <t>연결</t>
        </is>
      </c>
      <c r="E4016" t="inlineStr">
        <is>
          <t>2021Q4</t>
        </is>
      </c>
      <c r="F4016" s="2" t="n">
        <v>1636347</v>
      </c>
      <c r="G4016" t="inlineStr"/>
      <c r="H4016" t="inlineStr"/>
      <c r="I4016" s="2" t="n">
        <v>415689</v>
      </c>
      <c r="J4016" t="inlineStr"/>
      <c r="K4016" t="inlineStr"/>
      <c r="L4016" s="2" t="n">
        <v>239921</v>
      </c>
      <c r="M4016" t="inlineStr"/>
      <c r="N4016" t="inlineStr">
        <is>
          <t>20241107800355</t>
        </is>
      </c>
      <c r="O4016">
        <f>HYPERLINK("https://dart.fss.or.kr/dsaf001/main.do?rcpNo=20241107800355", "공시열람")</f>
        <v/>
      </c>
    </row>
    <row r="4017">
      <c r="A4017" t="inlineStr">
        <is>
          <t>2024-11-07</t>
        </is>
      </c>
      <c r="B4017" t="inlineStr">
        <is>
          <t>롯데케미칼</t>
        </is>
      </c>
      <c r="C4017" t="inlineStr">
        <is>
          <t>011170</t>
        </is>
      </c>
      <c r="D4017" t="inlineStr">
        <is>
          <t>연결</t>
        </is>
      </c>
      <c r="E4017" t="inlineStr">
        <is>
          <t>2024Q3</t>
        </is>
      </c>
      <c r="F4017" s="2" t="n">
        <v>5200177</v>
      </c>
      <c r="G4017" t="n">
        <v>-0.9</v>
      </c>
      <c r="H4017" t="n">
        <v>5.6</v>
      </c>
      <c r="I4017" s="2" t="n">
        <v>-413584</v>
      </c>
      <c r="J4017" t="n">
        <v>-272.1</v>
      </c>
      <c r="K4017" t="inlineStr"/>
      <c r="L4017" s="2" t="n">
        <v>-513775</v>
      </c>
      <c r="M4017" t="inlineStr"/>
      <c r="N4017" t="inlineStr">
        <is>
          <t>20241107800357</t>
        </is>
      </c>
      <c r="O4017">
        <f>HYPERLINK("https://dart.fss.or.kr/dsaf001/main.do?rcpNo=20241107800357", "공시열람")</f>
        <v/>
      </c>
    </row>
    <row r="4018">
      <c r="A4018" t="inlineStr">
        <is>
          <t>2024-11-07</t>
        </is>
      </c>
      <c r="B4018" t="inlineStr">
        <is>
          <t>원익머트리얼즈</t>
        </is>
      </c>
      <c r="C4018" t="inlineStr">
        <is>
          <t>104830</t>
        </is>
      </c>
      <c r="D4018" t="inlineStr">
        <is>
          <t>연결</t>
        </is>
      </c>
      <c r="E4018" t="inlineStr">
        <is>
          <t>2024Q3</t>
        </is>
      </c>
      <c r="F4018" s="2" t="n">
        <v>79337</v>
      </c>
      <c r="G4018" t="inlineStr"/>
      <c r="H4018" t="inlineStr"/>
      <c r="I4018" s="2" t="n">
        <v>12025</v>
      </c>
      <c r="J4018" t="inlineStr"/>
      <c r="K4018" t="inlineStr"/>
      <c r="L4018" s="2" t="n">
        <v>9131</v>
      </c>
      <c r="M4018" t="inlineStr"/>
      <c r="N4018" t="inlineStr">
        <is>
          <t>20241107900347</t>
        </is>
      </c>
      <c r="O4018">
        <f>HYPERLINK("https://dart.fss.or.kr/dsaf001/main.do?rcpNo=20241107900347", "공시열람")</f>
        <v/>
      </c>
    </row>
    <row r="4019">
      <c r="A4019" t="inlineStr">
        <is>
          <t>2024-11-07</t>
        </is>
      </c>
      <c r="B4019" t="inlineStr">
        <is>
          <t>케이카</t>
        </is>
      </c>
      <c r="C4019" t="inlineStr">
        <is>
          <t>381970</t>
        </is>
      </c>
      <c r="D4019" t="inlineStr">
        <is>
          <t>별도</t>
        </is>
      </c>
      <c r="E4019" t="inlineStr">
        <is>
          <t>2024Q3</t>
        </is>
      </c>
      <c r="F4019" s="2" t="n">
        <v>579697</v>
      </c>
      <c r="G4019" t="n">
        <v>-1.6</v>
      </c>
      <c r="H4019" t="n">
        <v>9.699999999999999</v>
      </c>
      <c r="I4019" s="2" t="n">
        <v>17103</v>
      </c>
      <c r="J4019" t="n">
        <v>-5.5</v>
      </c>
      <c r="K4019" t="n">
        <v>-7.1</v>
      </c>
      <c r="L4019" s="2" t="n">
        <v>11025</v>
      </c>
      <c r="M4019" t="n">
        <v>103.7</v>
      </c>
      <c r="N4019" t="inlineStr">
        <is>
          <t>20241107800077</t>
        </is>
      </c>
      <c r="O4019">
        <f>HYPERLINK("https://dart.fss.or.kr/dsaf001/main.do?rcpNo=20241107800077", "공시열람")</f>
        <v/>
      </c>
    </row>
    <row r="4020">
      <c r="A4020" t="inlineStr">
        <is>
          <t>2024-11-07</t>
        </is>
      </c>
      <c r="B4020" t="inlineStr">
        <is>
          <t>카페24</t>
        </is>
      </c>
      <c r="C4020" t="inlineStr">
        <is>
          <t>042000</t>
        </is>
      </c>
      <c r="D4020" t="inlineStr">
        <is>
          <t>연결</t>
        </is>
      </c>
      <c r="E4020" t="inlineStr">
        <is>
          <t>2024Q3</t>
        </is>
      </c>
      <c r="F4020" s="2" t="n">
        <v>76488</v>
      </c>
      <c r="G4020" t="inlineStr"/>
      <c r="H4020" t="inlineStr"/>
      <c r="I4020" s="2" t="n">
        <v>6717</v>
      </c>
      <c r="J4020" t="inlineStr"/>
      <c r="K4020" t="inlineStr"/>
      <c r="L4020" s="2" t="n">
        <v>4893</v>
      </c>
      <c r="M4020" t="inlineStr"/>
      <c r="N4020" t="inlineStr">
        <is>
          <t>20241107900438</t>
        </is>
      </c>
      <c r="O4020">
        <f>HYPERLINK("https://dart.fss.or.kr/dsaf001/main.do?rcpNo=20241107900438", "공시열람")</f>
        <v/>
      </c>
    </row>
    <row r="4021">
      <c r="A4021" t="inlineStr">
        <is>
          <t>2024-11-07</t>
        </is>
      </c>
      <c r="B4021" t="inlineStr">
        <is>
          <t>헥토파이낸셜</t>
        </is>
      </c>
      <c r="C4021" t="inlineStr">
        <is>
          <t>234340</t>
        </is>
      </c>
      <c r="D4021" t="inlineStr">
        <is>
          <t>별도</t>
        </is>
      </c>
      <c r="E4021" t="inlineStr">
        <is>
          <t>2024Q3</t>
        </is>
      </c>
      <c r="F4021" s="2" t="n">
        <v>35766</v>
      </c>
      <c r="G4021" t="inlineStr"/>
      <c r="H4021" t="inlineStr"/>
      <c r="I4021" s="2" t="n">
        <v>4647</v>
      </c>
      <c r="J4021" t="inlineStr"/>
      <c r="K4021" t="inlineStr"/>
      <c r="L4021" s="2" t="n">
        <v>4911</v>
      </c>
      <c r="M4021" t="inlineStr"/>
      <c r="N4021" t="inlineStr">
        <is>
          <t>20241107900086</t>
        </is>
      </c>
      <c r="O4021">
        <f>HYPERLINK("https://dart.fss.or.kr/dsaf001/main.do?rcpNo=20241107900086", "공시열람")</f>
        <v/>
      </c>
    </row>
    <row r="4022">
      <c r="A4022" t="inlineStr">
        <is>
          <t>2024-11-07</t>
        </is>
      </c>
      <c r="B4022" t="inlineStr">
        <is>
          <t>클래시스</t>
        </is>
      </c>
      <c r="C4022" t="inlineStr">
        <is>
          <t>214150</t>
        </is>
      </c>
      <c r="D4022" t="inlineStr">
        <is>
          <t>연결</t>
        </is>
      </c>
      <c r="E4022" t="inlineStr">
        <is>
          <t>2024Q3</t>
        </is>
      </c>
      <c r="F4022" s="2" t="n">
        <v>59413</v>
      </c>
      <c r="G4022" t="inlineStr"/>
      <c r="H4022" t="inlineStr"/>
      <c r="I4022" s="2" t="n">
        <v>28951</v>
      </c>
      <c r="J4022" t="inlineStr"/>
      <c r="K4022" t="inlineStr"/>
      <c r="L4022" s="2" t="n">
        <v>16079</v>
      </c>
      <c r="M4022" t="inlineStr"/>
      <c r="N4022" t="inlineStr">
        <is>
          <t>20241107900202</t>
        </is>
      </c>
      <c r="O4022">
        <f>HYPERLINK("https://dart.fss.or.kr/dsaf001/main.do?rcpNo=20241107900202", "공시열람")</f>
        <v/>
      </c>
    </row>
    <row r="4023">
      <c r="A4023" t="inlineStr">
        <is>
          <t>2024-11-07</t>
        </is>
      </c>
      <c r="B4023" t="inlineStr">
        <is>
          <t>흥국에프엔비</t>
        </is>
      </c>
      <c r="C4023" t="inlineStr">
        <is>
          <t>189980</t>
        </is>
      </c>
      <c r="D4023" t="inlineStr">
        <is>
          <t>연결</t>
        </is>
      </c>
      <c r="E4023" t="inlineStr">
        <is>
          <t>2024Q3</t>
        </is>
      </c>
      <c r="F4023" s="2" t="n">
        <v>25628</v>
      </c>
      <c r="G4023" t="inlineStr"/>
      <c r="H4023" t="inlineStr"/>
      <c r="I4023" s="2" t="n">
        <v>3515</v>
      </c>
      <c r="J4023" t="inlineStr"/>
      <c r="K4023" t="inlineStr"/>
      <c r="L4023" s="2" t="n">
        <v>2596</v>
      </c>
      <c r="M4023" t="inlineStr"/>
      <c r="N4023" t="inlineStr">
        <is>
          <t>20241107900199</t>
        </is>
      </c>
      <c r="O4023">
        <f>HYPERLINK("https://dart.fss.or.kr/dsaf001/main.do?rcpNo=20241107900199", "공시열람")</f>
        <v/>
      </c>
    </row>
    <row r="4024">
      <c r="A4024" t="inlineStr">
        <is>
          <t>2024-11-07</t>
        </is>
      </c>
      <c r="B4024" t="inlineStr">
        <is>
          <t>CJ ENM</t>
        </is>
      </c>
      <c r="C4024" t="inlineStr">
        <is>
          <t>035760</t>
        </is>
      </c>
      <c r="D4024" t="inlineStr">
        <is>
          <t>연결</t>
        </is>
      </c>
      <c r="E4024" t="inlineStr">
        <is>
          <t>2024Q3</t>
        </is>
      </c>
      <c r="F4024" s="2" t="n">
        <v>1124550</v>
      </c>
      <c r="G4024" t="inlineStr"/>
      <c r="H4024" t="inlineStr"/>
      <c r="I4024" s="2" t="n">
        <v>15834</v>
      </c>
      <c r="J4024" t="inlineStr"/>
      <c r="K4024" t="inlineStr"/>
      <c r="L4024" s="2" t="n">
        <v>-531424</v>
      </c>
      <c r="M4024" t="inlineStr"/>
      <c r="N4024" t="inlineStr">
        <is>
          <t>20241107900208</t>
        </is>
      </c>
      <c r="O4024">
        <f>HYPERLINK("https://dart.fss.or.kr/dsaf001/main.do?rcpNo=20241107900208", "공시열람")</f>
        <v/>
      </c>
    </row>
    <row r="4025">
      <c r="A4025" t="inlineStr">
        <is>
          <t>2024-11-07</t>
        </is>
      </c>
      <c r="B4025" t="inlineStr">
        <is>
          <t>금호석유화학</t>
        </is>
      </c>
      <c r="C4025" t="inlineStr">
        <is>
          <t>011780</t>
        </is>
      </c>
      <c r="D4025" t="inlineStr">
        <is>
          <t>연결</t>
        </is>
      </c>
      <c r="E4025" t="inlineStr">
        <is>
          <t>2024Q3</t>
        </is>
      </c>
      <c r="F4025" s="2" t="n">
        <v>1827890</v>
      </c>
      <c r="G4025" t="n">
        <v>-1.3</v>
      </c>
      <c r="H4025" t="n">
        <v>21.3</v>
      </c>
      <c r="I4025" s="2" t="n">
        <v>65077</v>
      </c>
      <c r="J4025" t="n">
        <v>-45.4</v>
      </c>
      <c r="K4025" t="n">
        <v>-22.7</v>
      </c>
      <c r="L4025" s="2" t="n">
        <v>53134</v>
      </c>
      <c r="M4025" t="n">
        <v>-49.6</v>
      </c>
      <c r="N4025" t="inlineStr">
        <is>
          <t>20241107800238</t>
        </is>
      </c>
      <c r="O4025">
        <f>HYPERLINK("https://dart.fss.or.kr/dsaf001/main.do?rcpNo=20241107800238", "공시열람")</f>
        <v/>
      </c>
    </row>
    <row r="4026">
      <c r="A4026" t="inlineStr">
        <is>
          <t>2024-11-07</t>
        </is>
      </c>
      <c r="B4026" t="inlineStr">
        <is>
          <t>JW생명과학</t>
        </is>
      </c>
      <c r="C4026" t="inlineStr">
        <is>
          <t>234080</t>
        </is>
      </c>
      <c r="D4026" t="inlineStr">
        <is>
          <t>별도</t>
        </is>
      </c>
      <c r="E4026" t="inlineStr">
        <is>
          <t>2024Q3</t>
        </is>
      </c>
      <c r="F4026" s="2" t="n">
        <v>57729</v>
      </c>
      <c r="G4026" t="n">
        <v>6.73</v>
      </c>
      <c r="H4026" t="n">
        <v>14.46</v>
      </c>
      <c r="I4026" s="2" t="n">
        <v>9371</v>
      </c>
      <c r="J4026" t="n">
        <v>11.25</v>
      </c>
      <c r="K4026" t="n">
        <v>59.61</v>
      </c>
      <c r="L4026" s="2" t="n">
        <v>7170</v>
      </c>
      <c r="M4026" t="n">
        <v>66.06</v>
      </c>
      <c r="N4026" t="inlineStr">
        <is>
          <t>20241107800231</t>
        </is>
      </c>
      <c r="O4026">
        <f>HYPERLINK("https://dart.fss.or.kr/dsaf001/main.do?rcpNo=20241107800231", "공시열람")</f>
        <v/>
      </c>
    </row>
    <row r="4027">
      <c r="A4027" t="inlineStr">
        <is>
          <t>2024-11-07</t>
        </is>
      </c>
      <c r="B4027" t="inlineStr">
        <is>
          <t>현대리바트</t>
        </is>
      </c>
      <c r="C4027" t="inlineStr">
        <is>
          <t>079430</t>
        </is>
      </c>
      <c r="D4027" t="inlineStr">
        <is>
          <t>연결</t>
        </is>
      </c>
      <c r="E4027" t="inlineStr">
        <is>
          <t>2024Q3</t>
        </is>
      </c>
      <c r="F4027" s="2" t="n">
        <v>454115</v>
      </c>
      <c r="G4027" t="n">
        <v>-8.6</v>
      </c>
      <c r="H4027" t="n">
        <v>14.5</v>
      </c>
      <c r="I4027" s="2" t="n">
        <v>9764</v>
      </c>
      <c r="J4027" t="n">
        <v>19.5</v>
      </c>
      <c r="K4027" t="n">
        <v>681.9</v>
      </c>
      <c r="L4027" s="2" t="n">
        <v>4223</v>
      </c>
      <c r="M4027" t="inlineStr"/>
      <c r="N4027" t="inlineStr">
        <is>
          <t>20241107800241</t>
        </is>
      </c>
      <c r="O4027">
        <f>HYPERLINK("https://dart.fss.or.kr/dsaf001/main.do?rcpNo=20241107800241", "공시열람")</f>
        <v/>
      </c>
    </row>
    <row r="4028">
      <c r="A4028" t="inlineStr">
        <is>
          <t>2024-11-07</t>
        </is>
      </c>
      <c r="B4028" t="inlineStr">
        <is>
          <t>JW신약</t>
        </is>
      </c>
      <c r="C4028" t="inlineStr">
        <is>
          <t>067290</t>
        </is>
      </c>
      <c r="D4028" t="inlineStr">
        <is>
          <t>별도</t>
        </is>
      </c>
      <c r="E4028" t="inlineStr">
        <is>
          <t>2024Q3</t>
        </is>
      </c>
      <c r="F4028" s="2" t="n">
        <v>31512</v>
      </c>
      <c r="G4028" t="inlineStr"/>
      <c r="H4028" t="inlineStr"/>
      <c r="I4028" s="2" t="n">
        <v>8126</v>
      </c>
      <c r="J4028" t="inlineStr"/>
      <c r="K4028" t="inlineStr"/>
      <c r="L4028" s="2" t="n">
        <v>6053</v>
      </c>
      <c r="M4028" t="inlineStr"/>
      <c r="N4028" t="inlineStr">
        <is>
          <t>20241107900249</t>
        </is>
      </c>
      <c r="O4028">
        <f>HYPERLINK("https://dart.fss.or.kr/dsaf001/main.do?rcpNo=20241107900249", "공시열람")</f>
        <v/>
      </c>
    </row>
    <row r="4029">
      <c r="A4029" t="inlineStr">
        <is>
          <t>2024-11-07</t>
        </is>
      </c>
      <c r="B4029" t="inlineStr">
        <is>
          <t>케이엔더블유</t>
        </is>
      </c>
      <c r="C4029" t="inlineStr">
        <is>
          <t>105330</t>
        </is>
      </c>
      <c r="D4029" t="inlineStr">
        <is>
          <t>연결</t>
        </is>
      </c>
      <c r="E4029" t="inlineStr">
        <is>
          <t>2024Q3</t>
        </is>
      </c>
      <c r="F4029" s="2" t="n">
        <v>20190</v>
      </c>
      <c r="G4029" t="inlineStr"/>
      <c r="H4029" t="inlineStr"/>
      <c r="I4029" s="2" t="n">
        <v>367</v>
      </c>
      <c r="J4029" t="inlineStr"/>
      <c r="K4029" t="inlineStr"/>
      <c r="L4029" s="2" t="n">
        <v>-383</v>
      </c>
      <c r="M4029" t="inlineStr"/>
      <c r="N4029" t="inlineStr">
        <is>
          <t>20241107900243</t>
        </is>
      </c>
      <c r="O4029">
        <f>HYPERLINK("https://dart.fss.or.kr/dsaf001/main.do?rcpNo=20241107900243", "공시열람")</f>
        <v/>
      </c>
    </row>
    <row r="4030">
      <c r="A4030" t="inlineStr">
        <is>
          <t>2024-11-07</t>
        </is>
      </c>
      <c r="B4030" t="inlineStr">
        <is>
          <t>한글과컴퓨터</t>
        </is>
      </c>
      <c r="C4030" t="inlineStr">
        <is>
          <t>030520</t>
        </is>
      </c>
      <c r="D4030" t="inlineStr">
        <is>
          <t>연결</t>
        </is>
      </c>
      <c r="E4030" t="inlineStr">
        <is>
          <t>2024Q3</t>
        </is>
      </c>
      <c r="F4030" s="2" t="n">
        <v>71160</v>
      </c>
      <c r="G4030" t="inlineStr"/>
      <c r="H4030" t="inlineStr"/>
      <c r="I4030" s="2" t="n">
        <v>8480</v>
      </c>
      <c r="J4030" t="inlineStr"/>
      <c r="K4030" t="inlineStr"/>
      <c r="L4030" s="2" t="n">
        <v>5569</v>
      </c>
      <c r="M4030" t="inlineStr"/>
      <c r="N4030" t="inlineStr">
        <is>
          <t>20241107900102</t>
        </is>
      </c>
      <c r="O4030">
        <f>HYPERLINK("https://dart.fss.or.kr/dsaf001/main.do?rcpNo=20241107900102", "공시열람")</f>
        <v/>
      </c>
    </row>
    <row r="4031">
      <c r="A4031" t="inlineStr">
        <is>
          <t>2024-11-07</t>
        </is>
      </c>
      <c r="B4031" t="inlineStr">
        <is>
          <t>GS</t>
        </is>
      </c>
      <c r="C4031" t="inlineStr">
        <is>
          <t>078930</t>
        </is>
      </c>
      <c r="D4031" t="inlineStr">
        <is>
          <t>연결</t>
        </is>
      </c>
      <c r="E4031" t="inlineStr">
        <is>
          <t>2024Q3</t>
        </is>
      </c>
      <c r="F4031" s="2" t="n">
        <v>6397456</v>
      </c>
      <c r="G4031" t="n">
        <v>3.12</v>
      </c>
      <c r="H4031" t="n">
        <v>-1.08</v>
      </c>
      <c r="I4031" s="2" t="n">
        <v>627741</v>
      </c>
      <c r="J4031" t="n">
        <v>-21.34</v>
      </c>
      <c r="K4031" t="n">
        <v>-49.02</v>
      </c>
      <c r="L4031" s="2" t="n">
        <v>38707</v>
      </c>
      <c r="M4031" t="n">
        <v>-94.47</v>
      </c>
      <c r="N4031" t="inlineStr">
        <is>
          <t>20241107800272</t>
        </is>
      </c>
      <c r="O4031">
        <f>HYPERLINK("https://dart.fss.or.kr/dsaf001/main.do?rcpNo=20241107800272", "공시열람")</f>
        <v/>
      </c>
    </row>
    <row r="4032">
      <c r="A4032" t="inlineStr">
        <is>
          <t>2024-11-07</t>
        </is>
      </c>
      <c r="B4032" t="inlineStr">
        <is>
          <t>하이록코리아</t>
        </is>
      </c>
      <c r="C4032" t="inlineStr">
        <is>
          <t>013030</t>
        </is>
      </c>
      <c r="D4032" t="inlineStr">
        <is>
          <t>연결</t>
        </is>
      </c>
      <c r="E4032" t="inlineStr">
        <is>
          <t>2024Q3</t>
        </is>
      </c>
      <c r="F4032" s="2" t="n">
        <v>45285</v>
      </c>
      <c r="G4032" t="inlineStr"/>
      <c r="H4032" t="inlineStr"/>
      <c r="I4032" s="2" t="n">
        <v>13656</v>
      </c>
      <c r="J4032" t="inlineStr"/>
      <c r="K4032" t="inlineStr"/>
      <c r="L4032" s="2" t="n">
        <v>9150</v>
      </c>
      <c r="M4032" t="inlineStr"/>
      <c r="N4032" t="inlineStr">
        <is>
          <t>20241107900265</t>
        </is>
      </c>
      <c r="O4032">
        <f>HYPERLINK("https://dart.fss.or.kr/dsaf001/main.do?rcpNo=20241107900265", "공시열람")</f>
        <v/>
      </c>
    </row>
    <row r="4033">
      <c r="A4033" t="inlineStr">
        <is>
          <t>2024-11-07</t>
        </is>
      </c>
      <c r="B4033" t="inlineStr">
        <is>
          <t>BGF에코머티리얼즈</t>
        </is>
      </c>
      <c r="C4033" t="inlineStr">
        <is>
          <t>126600</t>
        </is>
      </c>
      <c r="D4033" t="inlineStr">
        <is>
          <t>연결</t>
        </is>
      </c>
      <c r="E4033" t="inlineStr">
        <is>
          <t>2024Q3</t>
        </is>
      </c>
      <c r="F4033" s="2" t="n">
        <v>86533</v>
      </c>
      <c r="G4033" t="inlineStr"/>
      <c r="H4033" t="inlineStr"/>
      <c r="I4033" s="2" t="n">
        <v>3263</v>
      </c>
      <c r="J4033" t="inlineStr"/>
      <c r="K4033" t="inlineStr"/>
      <c r="L4033" s="2" t="n">
        <v>1876</v>
      </c>
      <c r="M4033" t="inlineStr"/>
      <c r="N4033" t="inlineStr">
        <is>
          <t>20241107900282</t>
        </is>
      </c>
      <c r="O4033">
        <f>HYPERLINK("https://dart.fss.or.kr/dsaf001/main.do?rcpNo=20241107900282", "공시열람")</f>
        <v/>
      </c>
    </row>
    <row r="4034">
      <c r="A4034" t="inlineStr">
        <is>
          <t>2024-11-07</t>
        </is>
      </c>
      <c r="B4034" t="inlineStr">
        <is>
          <t>텔레칩스</t>
        </is>
      </c>
      <c r="C4034" t="inlineStr">
        <is>
          <t>054450</t>
        </is>
      </c>
      <c r="D4034" t="inlineStr">
        <is>
          <t>연결</t>
        </is>
      </c>
      <c r="E4034" t="inlineStr">
        <is>
          <t>2024Q3</t>
        </is>
      </c>
      <c r="F4034" s="2" t="n">
        <v>47606</v>
      </c>
      <c r="G4034" t="inlineStr"/>
      <c r="H4034" t="inlineStr"/>
      <c r="I4034" s="2" t="n">
        <v>1417</v>
      </c>
      <c r="J4034" t="inlineStr"/>
      <c r="K4034" t="inlineStr"/>
      <c r="L4034" s="2" t="n">
        <v>-9749</v>
      </c>
      <c r="M4034" t="inlineStr"/>
      <c r="N4034" t="inlineStr">
        <is>
          <t>20241107900419</t>
        </is>
      </c>
      <c r="O4034">
        <f>HYPERLINK("https://dart.fss.or.kr/dsaf001/main.do?rcpNo=20241107900419", "공시열람")</f>
        <v/>
      </c>
    </row>
    <row r="4035">
      <c r="A4035" t="inlineStr">
        <is>
          <t>2024-11-07</t>
        </is>
      </c>
      <c r="B4035" t="inlineStr">
        <is>
          <t>바텍</t>
        </is>
      </c>
      <c r="C4035" t="inlineStr">
        <is>
          <t>043150</t>
        </is>
      </c>
      <c r="D4035" t="inlineStr">
        <is>
          <t>연결</t>
        </is>
      </c>
      <c r="E4035" t="inlineStr">
        <is>
          <t>2024Q3</t>
        </is>
      </c>
      <c r="F4035" s="2" t="n">
        <v>87279</v>
      </c>
      <c r="G4035" t="inlineStr"/>
      <c r="H4035" t="inlineStr"/>
      <c r="I4035" s="2" t="n">
        <v>12454</v>
      </c>
      <c r="J4035" t="inlineStr"/>
      <c r="K4035" t="inlineStr"/>
      <c r="L4035" s="2" t="n">
        <v>7270</v>
      </c>
      <c r="M4035" t="inlineStr"/>
      <c r="N4035" t="inlineStr">
        <is>
          <t>20241107900429</t>
        </is>
      </c>
      <c r="O4035">
        <f>HYPERLINK("https://dart.fss.or.kr/dsaf001/main.do?rcpNo=20241107900429", "공시열람")</f>
        <v/>
      </c>
    </row>
    <row r="4036">
      <c r="A4036" t="inlineStr">
        <is>
          <t>2024-11-07</t>
        </is>
      </c>
      <c r="B4036" t="inlineStr">
        <is>
          <t>진에어</t>
        </is>
      </c>
      <c r="C4036" t="inlineStr">
        <is>
          <t>272450</t>
        </is>
      </c>
      <c r="D4036" t="inlineStr">
        <is>
          <t>별도</t>
        </is>
      </c>
      <c r="E4036" t="inlineStr">
        <is>
          <t>2024Q3</t>
        </is>
      </c>
      <c r="F4036" s="2" t="n">
        <v>364576</v>
      </c>
      <c r="G4036" t="n">
        <v>18.3</v>
      </c>
      <c r="H4036" t="n">
        <v>13.1</v>
      </c>
      <c r="I4036" s="2" t="n">
        <v>40159</v>
      </c>
      <c r="J4036" t="n">
        <v>4340.1</v>
      </c>
      <c r="K4036" t="n">
        <v>23.1</v>
      </c>
      <c r="L4036" s="2" t="n">
        <v>42010</v>
      </c>
      <c r="M4036" t="n">
        <v>100</v>
      </c>
      <c r="N4036" t="inlineStr">
        <is>
          <t>20241107800480</t>
        </is>
      </c>
      <c r="O4036">
        <f>HYPERLINK("https://dart.fss.or.kr/dsaf001/main.do?rcpNo=20241107800480", "공시열람")</f>
        <v/>
      </c>
    </row>
    <row r="4037">
      <c r="A4037" t="inlineStr">
        <is>
          <t>2024-11-07</t>
        </is>
      </c>
      <c r="B4037" t="inlineStr">
        <is>
          <t>덴티움</t>
        </is>
      </c>
      <c r="C4037" t="inlineStr">
        <is>
          <t>145720</t>
        </is>
      </c>
      <c r="D4037" t="inlineStr">
        <is>
          <t>연결</t>
        </is>
      </c>
      <c r="E4037" t="inlineStr">
        <is>
          <t>2024Q3</t>
        </is>
      </c>
      <c r="F4037" s="2" t="n">
        <v>94643</v>
      </c>
      <c r="G4037" t="n">
        <v>-15.2</v>
      </c>
      <c r="H4037" t="n">
        <v>0.9</v>
      </c>
      <c r="I4037" s="2" t="n">
        <v>23627</v>
      </c>
      <c r="J4037" t="n">
        <v>-14.7</v>
      </c>
      <c r="K4037" t="n">
        <v>-21.4</v>
      </c>
      <c r="L4037" s="2" t="n">
        <v>14756</v>
      </c>
      <c r="M4037" t="n">
        <v>-38.7</v>
      </c>
      <c r="N4037" t="inlineStr">
        <is>
          <t>20241107800518</t>
        </is>
      </c>
      <c r="O4037">
        <f>HYPERLINK("https://dart.fss.or.kr/dsaf001/main.do?rcpNo=20241107800518", "공시열람")</f>
        <v/>
      </c>
    </row>
    <row r="4038">
      <c r="A4038" t="inlineStr">
        <is>
          <t>2024-11-07</t>
        </is>
      </c>
      <c r="B4038" t="inlineStr">
        <is>
          <t>대신증권</t>
        </is>
      </c>
      <c r="C4038" t="inlineStr">
        <is>
          <t>003540</t>
        </is>
      </c>
      <c r="D4038" t="inlineStr">
        <is>
          <t>연결</t>
        </is>
      </c>
      <c r="E4038" t="inlineStr">
        <is>
          <t>2024Q3</t>
        </is>
      </c>
      <c r="F4038" s="2" t="n">
        <v>989138</v>
      </c>
      <c r="G4038" t="n">
        <v>5.2</v>
      </c>
      <c r="H4038" t="n">
        <v>-0.5</v>
      </c>
      <c r="I4038" s="2" t="n">
        <v>3642</v>
      </c>
      <c r="J4038" t="n">
        <v>-89.90000000000001</v>
      </c>
      <c r="K4038" t="n">
        <v>-91.40000000000001</v>
      </c>
      <c r="L4038" s="2" t="n">
        <v>3202</v>
      </c>
      <c r="M4038" t="n">
        <v>-85.59999999999999</v>
      </c>
      <c r="N4038" t="inlineStr">
        <is>
          <t>20241107800529</t>
        </is>
      </c>
      <c r="O4038">
        <f>HYPERLINK("https://dart.fss.or.kr/dsaf001/main.do?rcpNo=20241107800529", "공시열람")</f>
        <v/>
      </c>
    </row>
    <row r="4039">
      <c r="A4039" t="inlineStr">
        <is>
          <t>2024-11-07</t>
        </is>
      </c>
      <c r="B4039" t="inlineStr">
        <is>
          <t>KT지니뮤직</t>
        </is>
      </c>
      <c r="C4039" t="inlineStr">
        <is>
          <t>043610</t>
        </is>
      </c>
      <c r="D4039" t="inlineStr">
        <is>
          <t>연결</t>
        </is>
      </c>
      <c r="E4039" t="inlineStr">
        <is>
          <t>2024Q3</t>
        </is>
      </c>
      <c r="F4039" s="2" t="n">
        <v>80209</v>
      </c>
      <c r="G4039" t="inlineStr"/>
      <c r="H4039" t="inlineStr"/>
      <c r="I4039" s="2" t="n">
        <v>3392</v>
      </c>
      <c r="J4039" t="inlineStr"/>
      <c r="K4039" t="inlineStr"/>
      <c r="L4039" s="2" t="n">
        <v>3316</v>
      </c>
      <c r="M4039" t="inlineStr"/>
      <c r="N4039" t="inlineStr">
        <is>
          <t>20241107900540</t>
        </is>
      </c>
      <c r="O4039">
        <f>HYPERLINK("https://dart.fss.or.kr/dsaf001/main.do?rcpNo=20241107900540", "공시열람")</f>
        <v/>
      </c>
    </row>
    <row r="4040">
      <c r="A4040" t="inlineStr">
        <is>
          <t>2024-11-07</t>
        </is>
      </c>
      <c r="B4040" t="inlineStr">
        <is>
          <t>KTis</t>
        </is>
      </c>
      <c r="C4040" t="inlineStr">
        <is>
          <t>058860</t>
        </is>
      </c>
      <c r="D4040" t="inlineStr">
        <is>
          <t>별도</t>
        </is>
      </c>
      <c r="E4040" t="inlineStr">
        <is>
          <t>2024Q3</t>
        </is>
      </c>
      <c r="F4040" s="2" t="n">
        <v>156153</v>
      </c>
      <c r="G4040" t="inlineStr"/>
      <c r="H4040" t="inlineStr"/>
      <c r="I4040" s="2" t="n">
        <v>4862</v>
      </c>
      <c r="J4040" t="inlineStr"/>
      <c r="K4040" t="inlineStr"/>
      <c r="L4040" s="2" t="n">
        <v>3290</v>
      </c>
      <c r="M4040" t="inlineStr"/>
      <c r="N4040" t="inlineStr">
        <is>
          <t>20241107800561</t>
        </is>
      </c>
      <c r="O4040">
        <f>HYPERLINK("https://dart.fss.or.kr/dsaf001/main.do?rcpNo=20241107800561", "공시열람")</f>
        <v/>
      </c>
    </row>
    <row r="4041">
      <c r="A4041" t="inlineStr">
        <is>
          <t>2024-11-07</t>
        </is>
      </c>
      <c r="B4041" t="inlineStr">
        <is>
          <t>이수앱지스</t>
        </is>
      </c>
      <c r="C4041" t="inlineStr">
        <is>
          <t>086890</t>
        </is>
      </c>
      <c r="D4041" t="inlineStr">
        <is>
          <t>별도</t>
        </is>
      </c>
      <c r="E4041" t="inlineStr">
        <is>
          <t>2024Q3</t>
        </is>
      </c>
      <c r="F4041" s="2" t="n">
        <v>8764</v>
      </c>
      <c r="G4041" t="inlineStr"/>
      <c r="H4041" t="inlineStr"/>
      <c r="I4041" s="2" t="n">
        <v>145</v>
      </c>
      <c r="J4041" t="inlineStr"/>
      <c r="K4041" t="inlineStr"/>
      <c r="L4041" s="2" t="n">
        <v>1122</v>
      </c>
      <c r="M4041" t="inlineStr"/>
      <c r="N4041" t="inlineStr">
        <is>
          <t>20241107900601</t>
        </is>
      </c>
      <c r="O4041">
        <f>HYPERLINK("https://dart.fss.or.kr/dsaf001/main.do?rcpNo=20241107900601", "공시열람")</f>
        <v/>
      </c>
    </row>
    <row r="4042">
      <c r="A4042" t="inlineStr">
        <is>
          <t>2024-11-07</t>
        </is>
      </c>
      <c r="B4042" t="inlineStr">
        <is>
          <t>SP삼화</t>
        </is>
      </c>
      <c r="C4042" t="inlineStr">
        <is>
          <t>000390</t>
        </is>
      </c>
      <c r="D4042" t="inlineStr">
        <is>
          <t>연결</t>
        </is>
      </c>
      <c r="E4042" t="inlineStr">
        <is>
          <t>2024Q3</t>
        </is>
      </c>
      <c r="F4042" s="2" t="n">
        <v>150485</v>
      </c>
      <c r="G4042" t="n">
        <v>-17.6</v>
      </c>
      <c r="H4042" t="n">
        <v>-2.8</v>
      </c>
      <c r="I4042" s="2" t="n">
        <v>4373</v>
      </c>
      <c r="J4042" t="n">
        <v>-64.8</v>
      </c>
      <c r="K4042" t="n">
        <v>-57.1</v>
      </c>
      <c r="L4042" s="2" t="n">
        <v>1358</v>
      </c>
      <c r="M4042" t="n">
        <v>-81.59999999999999</v>
      </c>
      <c r="N4042" t="inlineStr">
        <is>
          <t>20241107800223</t>
        </is>
      </c>
      <c r="O4042">
        <f>HYPERLINK("https://dart.fss.or.kr/dsaf001/main.do?rcpNo=20241107800223", "공시열람")</f>
        <v/>
      </c>
    </row>
    <row r="4043">
      <c r="A4043" t="inlineStr">
        <is>
          <t>2024-11-07</t>
        </is>
      </c>
      <c r="B4043" t="inlineStr">
        <is>
          <t>BGF리테일</t>
        </is>
      </c>
      <c r="C4043" t="inlineStr">
        <is>
          <t>282330</t>
        </is>
      </c>
      <c r="D4043" t="inlineStr">
        <is>
          <t>연결</t>
        </is>
      </c>
      <c r="E4043" t="inlineStr">
        <is>
          <t>2024Q3</t>
        </is>
      </c>
      <c r="F4043" s="2" t="n">
        <v>2325600</v>
      </c>
      <c r="G4043" t="n">
        <v>5.6</v>
      </c>
      <c r="H4043" t="n">
        <v>5.4</v>
      </c>
      <c r="I4043" s="2" t="n">
        <v>91200</v>
      </c>
      <c r="J4043" t="n">
        <v>19.7</v>
      </c>
      <c r="K4043" t="n">
        <v>4.8</v>
      </c>
      <c r="L4043" s="2" t="n">
        <v>69900</v>
      </c>
      <c r="M4043" t="n">
        <v>-0.1</v>
      </c>
      <c r="N4043" t="inlineStr">
        <is>
          <t>20241107800267</t>
        </is>
      </c>
      <c r="O4043">
        <f>HYPERLINK("https://dart.fss.or.kr/dsaf001/main.do?rcpNo=20241107800267", "공시열람")</f>
        <v/>
      </c>
    </row>
    <row r="4044">
      <c r="A4044" t="inlineStr">
        <is>
          <t>2024-11-07</t>
        </is>
      </c>
      <c r="B4044" t="inlineStr">
        <is>
          <t>현대백화점</t>
        </is>
      </c>
      <c r="C4044" t="inlineStr">
        <is>
          <t>069960</t>
        </is>
      </c>
      <c r="D4044" t="inlineStr">
        <is>
          <t>연결</t>
        </is>
      </c>
      <c r="E4044" t="inlineStr">
        <is>
          <t>2024Q3</t>
        </is>
      </c>
      <c r="F4044" s="2" t="n">
        <v>1036800</v>
      </c>
      <c r="G4044" t="n">
        <v>1.3</v>
      </c>
      <c r="H4044" t="n">
        <v>3.2</v>
      </c>
      <c r="I4044" s="2" t="n">
        <v>64600</v>
      </c>
      <c r="J4044" t="n">
        <v>50.8</v>
      </c>
      <c r="K4044" t="n">
        <v>-12.7</v>
      </c>
      <c r="L4044" s="2" t="n">
        <v>28400</v>
      </c>
      <c r="M4044" t="n">
        <v>-54.8</v>
      </c>
      <c r="N4044" t="inlineStr">
        <is>
          <t>20241107800132</t>
        </is>
      </c>
      <c r="O4044">
        <f>HYPERLINK("https://dart.fss.or.kr/dsaf001/main.do?rcpNo=20241107800132", "공시열람")</f>
        <v/>
      </c>
    </row>
    <row r="4045">
      <c r="A4045" t="inlineStr">
        <is>
          <t>2024-11-07</t>
        </is>
      </c>
      <c r="B4045" t="inlineStr">
        <is>
          <t>스튜디오드래곤</t>
        </is>
      </c>
      <c r="C4045" t="inlineStr">
        <is>
          <t>253450</t>
        </is>
      </c>
      <c r="D4045" t="inlineStr">
        <is>
          <t>연결</t>
        </is>
      </c>
      <c r="E4045" t="inlineStr">
        <is>
          <t>2024Q3</t>
        </is>
      </c>
      <c r="F4045" s="2" t="n">
        <v>90320</v>
      </c>
      <c r="G4045" t="inlineStr"/>
      <c r="H4045" t="inlineStr"/>
      <c r="I4045" s="2" t="n">
        <v>-937</v>
      </c>
      <c r="J4045" t="inlineStr"/>
      <c r="K4045" t="inlineStr"/>
      <c r="L4045" s="2" t="n">
        <v>-6128</v>
      </c>
      <c r="M4045" t="inlineStr"/>
      <c r="N4045" t="inlineStr">
        <is>
          <t>20241107900201</t>
        </is>
      </c>
      <c r="O4045">
        <f>HYPERLINK("https://dart.fss.or.kr/dsaf001/main.do?rcpNo=20241107900201", "공시열람")</f>
        <v/>
      </c>
    </row>
    <row r="4046">
      <c r="A4046" t="inlineStr">
        <is>
          <t>2024-11-07</t>
        </is>
      </c>
      <c r="B4046" t="inlineStr">
        <is>
          <t>GS리테일</t>
        </is>
      </c>
      <c r="C4046" t="inlineStr">
        <is>
          <t>007070</t>
        </is>
      </c>
      <c r="D4046" t="inlineStr">
        <is>
          <t>연결</t>
        </is>
      </c>
      <c r="E4046" t="inlineStr">
        <is>
          <t>2024Q3</t>
        </is>
      </c>
      <c r="F4046" s="2" t="n">
        <v>3054711</v>
      </c>
      <c r="G4046" t="inlineStr"/>
      <c r="H4046" t="inlineStr"/>
      <c r="I4046" s="2" t="n">
        <v>80640</v>
      </c>
      <c r="J4046" t="inlineStr"/>
      <c r="K4046" t="inlineStr"/>
      <c r="L4046" s="2" t="n">
        <v>-63082</v>
      </c>
      <c r="M4046" t="inlineStr"/>
      <c r="N4046" t="inlineStr">
        <is>
          <t>20241107800120</t>
        </is>
      </c>
      <c r="O4046">
        <f>HYPERLINK("https://dart.fss.or.kr/dsaf001/main.do?rcpNo=20241107800120", "공시열람")</f>
        <v/>
      </c>
    </row>
    <row r="4047">
      <c r="A4047" t="inlineStr">
        <is>
          <t>2024-11-07</t>
        </is>
      </c>
      <c r="B4047" t="inlineStr">
        <is>
          <t>아비코전자</t>
        </is>
      </c>
      <c r="C4047" t="inlineStr">
        <is>
          <t>036010</t>
        </is>
      </c>
      <c r="D4047" t="inlineStr">
        <is>
          <t>연결</t>
        </is>
      </c>
      <c r="E4047" t="inlineStr">
        <is>
          <t>2024Q3</t>
        </is>
      </c>
      <c r="F4047" s="2" t="n">
        <v>30002</v>
      </c>
      <c r="G4047" t="inlineStr"/>
      <c r="H4047" t="inlineStr"/>
      <c r="I4047" s="2" t="n">
        <v>-1259</v>
      </c>
      <c r="J4047" t="inlineStr"/>
      <c r="K4047" t="inlineStr"/>
      <c r="L4047" s="2" t="n">
        <v>-474</v>
      </c>
      <c r="M4047" t="inlineStr"/>
      <c r="N4047" t="inlineStr">
        <is>
          <t>20241107900113</t>
        </is>
      </c>
      <c r="O4047">
        <f>HYPERLINK("https://dart.fss.or.kr/dsaf001/main.do?rcpNo=20241107900113", "공시열람")</f>
        <v/>
      </c>
    </row>
    <row r="4048">
      <c r="A4048" t="inlineStr">
        <is>
          <t>2024-11-07</t>
        </is>
      </c>
      <c r="B4048" t="inlineStr">
        <is>
          <t>코텍</t>
        </is>
      </c>
      <c r="C4048" t="inlineStr">
        <is>
          <t>052330</t>
        </is>
      </c>
      <c r="D4048" t="inlineStr">
        <is>
          <t>연결</t>
        </is>
      </c>
      <c r="E4048" t="inlineStr">
        <is>
          <t>2024Q3</t>
        </is>
      </c>
      <c r="F4048" s="2" t="n">
        <v>85303</v>
      </c>
      <c r="G4048" t="inlineStr"/>
      <c r="H4048" t="inlineStr"/>
      <c r="I4048" s="2" t="n">
        <v>7628</v>
      </c>
      <c r="J4048" t="inlineStr"/>
      <c r="K4048" t="inlineStr"/>
      <c r="L4048" s="2" t="n">
        <v>2180</v>
      </c>
      <c r="M4048" t="inlineStr"/>
      <c r="N4048" t="inlineStr">
        <is>
          <t>20241107900133</t>
        </is>
      </c>
      <c r="O4048">
        <f>HYPERLINK("https://dart.fss.or.kr/dsaf001/main.do?rcpNo=20241107900133", "공시열람")</f>
        <v/>
      </c>
    </row>
    <row r="4049">
      <c r="A4049" t="inlineStr">
        <is>
          <t>2024-11-07</t>
        </is>
      </c>
      <c r="B4049" t="inlineStr">
        <is>
          <t>한글과컴퓨터</t>
        </is>
      </c>
      <c r="C4049" t="inlineStr">
        <is>
          <t>030520</t>
        </is>
      </c>
      <c r="D4049" t="inlineStr">
        <is>
          <t>별도</t>
        </is>
      </c>
      <c r="E4049" t="inlineStr">
        <is>
          <t>2024Q3</t>
        </is>
      </c>
      <c r="F4049" s="2" t="n">
        <v>37588</v>
      </c>
      <c r="G4049" t="inlineStr"/>
      <c r="H4049" t="inlineStr"/>
      <c r="I4049" s="2" t="n">
        <v>12248</v>
      </c>
      <c r="J4049" t="inlineStr"/>
      <c r="K4049" t="inlineStr"/>
      <c r="L4049" s="2" t="n">
        <v>9500</v>
      </c>
      <c r="M4049" t="inlineStr"/>
      <c r="N4049" t="inlineStr">
        <is>
          <t>20241107900105</t>
        </is>
      </c>
      <c r="O4049">
        <f>HYPERLINK("https://dart.fss.or.kr/dsaf001/main.do?rcpNo=20241107900105", "공시열람")</f>
        <v/>
      </c>
    </row>
    <row r="4050">
      <c r="A4050" t="inlineStr">
        <is>
          <t>2024-11-07</t>
        </is>
      </c>
      <c r="B4050" t="inlineStr">
        <is>
          <t>빅텍</t>
        </is>
      </c>
      <c r="C4050" t="inlineStr">
        <is>
          <t>065450</t>
        </is>
      </c>
      <c r="D4050" t="inlineStr">
        <is>
          <t>연결</t>
        </is>
      </c>
      <c r="E4050" t="inlineStr">
        <is>
          <t>2024Q3</t>
        </is>
      </c>
      <c r="F4050" s="2" t="n">
        <v>15490</v>
      </c>
      <c r="G4050" t="inlineStr"/>
      <c r="H4050" t="inlineStr"/>
      <c r="I4050" s="2" t="n">
        <v>157</v>
      </c>
      <c r="J4050" t="inlineStr"/>
      <c r="K4050" t="inlineStr"/>
      <c r="L4050" s="2" t="n">
        <v>1072</v>
      </c>
      <c r="M4050" t="inlineStr"/>
      <c r="N4050" t="inlineStr">
        <is>
          <t>20241107900142</t>
        </is>
      </c>
      <c r="O4050">
        <f>HYPERLINK("https://dart.fss.or.kr/dsaf001/main.do?rcpNo=20241107900142", "공시열람")</f>
        <v/>
      </c>
    </row>
    <row r="4051">
      <c r="A4051" t="inlineStr">
        <is>
          <t>2024-11-07</t>
        </is>
      </c>
      <c r="B4051" t="inlineStr">
        <is>
          <t>한섬</t>
        </is>
      </c>
      <c r="C4051" t="inlineStr">
        <is>
          <t>020000</t>
        </is>
      </c>
      <c r="D4051" t="inlineStr">
        <is>
          <t>연결</t>
        </is>
      </c>
      <c r="E4051" t="inlineStr">
        <is>
          <t>2024Q3</t>
        </is>
      </c>
      <c r="F4051" s="2" t="n">
        <v>314244</v>
      </c>
      <c r="G4051" t="n">
        <v>-8</v>
      </c>
      <c r="H4051" t="n">
        <v>-3</v>
      </c>
      <c r="I4051" s="2" t="n">
        <v>6029</v>
      </c>
      <c r="J4051" t="n">
        <v>47.5</v>
      </c>
      <c r="K4051" t="n">
        <v>-31.4</v>
      </c>
      <c r="L4051" s="2" t="n">
        <v>4953</v>
      </c>
      <c r="M4051" t="n">
        <v>-8.9</v>
      </c>
      <c r="N4051" t="inlineStr">
        <is>
          <t>20241107800160</t>
        </is>
      </c>
      <c r="O4051">
        <f>HYPERLINK("https://dart.fss.or.kr/dsaf001/main.do?rcpNo=20241107800160", "공시열람")</f>
        <v/>
      </c>
    </row>
    <row r="4052">
      <c r="A4052" t="inlineStr">
        <is>
          <t>2024-11-07</t>
        </is>
      </c>
      <c r="B4052" t="inlineStr">
        <is>
          <t>메쎄이상</t>
        </is>
      </c>
      <c r="C4052" t="inlineStr">
        <is>
          <t>408920</t>
        </is>
      </c>
      <c r="D4052" t="inlineStr">
        <is>
          <t>연결</t>
        </is>
      </c>
      <c r="E4052" t="inlineStr">
        <is>
          <t>2024Q3</t>
        </is>
      </c>
      <c r="F4052" s="2" t="n">
        <v>13806</v>
      </c>
      <c r="G4052" t="inlineStr"/>
      <c r="H4052" t="inlineStr"/>
      <c r="I4052" s="2" t="n">
        <v>3159</v>
      </c>
      <c r="J4052" t="inlineStr"/>
      <c r="K4052" t="inlineStr"/>
      <c r="L4052" s="2" t="n">
        <v>2281</v>
      </c>
      <c r="M4052" t="inlineStr"/>
      <c r="N4052" t="inlineStr">
        <is>
          <t>20241107900183</t>
        </is>
      </c>
      <c r="O4052">
        <f>HYPERLINK("https://dart.fss.or.kr/dsaf001/main.do?rcpNo=20241107900183", "공시열람")</f>
        <v/>
      </c>
    </row>
    <row r="4053">
      <c r="A4053" t="inlineStr">
        <is>
          <t>2024-11-07</t>
        </is>
      </c>
      <c r="B4053" t="inlineStr">
        <is>
          <t>현대그린푸드</t>
        </is>
      </c>
      <c r="C4053" t="inlineStr">
        <is>
          <t>453340</t>
        </is>
      </c>
      <c r="D4053" t="inlineStr">
        <is>
          <t>연결</t>
        </is>
      </c>
      <c r="E4053" t="inlineStr">
        <is>
          <t>2024Q3</t>
        </is>
      </c>
      <c r="F4053" s="2" t="n">
        <v>601600</v>
      </c>
      <c r="G4053" t="n">
        <v>10.92</v>
      </c>
      <c r="H4053" t="n">
        <v>4.71</v>
      </c>
      <c r="I4053" s="2" t="n">
        <v>38300</v>
      </c>
      <c r="J4053" t="n">
        <v>17.82</v>
      </c>
      <c r="K4053" t="n">
        <v>35.32</v>
      </c>
      <c r="L4053" s="2" t="n">
        <v>30500</v>
      </c>
      <c r="M4053" t="n">
        <v>38.97</v>
      </c>
      <c r="N4053" t="inlineStr">
        <is>
          <t>20241107800194</t>
        </is>
      </c>
      <c r="O4053">
        <f>HYPERLINK("https://dart.fss.or.kr/dsaf001/main.do?rcpNo=20241107800194", "공시열람")</f>
        <v/>
      </c>
    </row>
    <row r="4054">
      <c r="A4054" t="inlineStr">
        <is>
          <t>2024-11-07</t>
        </is>
      </c>
      <c r="B4054" t="inlineStr">
        <is>
          <t>성광벤드</t>
        </is>
      </c>
      <c r="C4054" t="inlineStr">
        <is>
          <t>014620</t>
        </is>
      </c>
      <c r="D4054" t="inlineStr">
        <is>
          <t>연결</t>
        </is>
      </c>
      <c r="E4054" t="inlineStr">
        <is>
          <t>2024Q3</t>
        </is>
      </c>
      <c r="F4054" s="2" t="n">
        <v>45397</v>
      </c>
      <c r="G4054" t="inlineStr"/>
      <c r="H4054" t="inlineStr"/>
      <c r="I4054" s="2" t="n">
        <v>7810</v>
      </c>
      <c r="J4054" t="inlineStr"/>
      <c r="K4054" t="inlineStr"/>
      <c r="L4054" s="2" t="n">
        <v>4143</v>
      </c>
      <c r="M4054" t="inlineStr"/>
      <c r="N4054" t="inlineStr">
        <is>
          <t>20241107900115</t>
        </is>
      </c>
      <c r="O4054">
        <f>HYPERLINK("https://dart.fss.or.kr/dsaf001/main.do?rcpNo=20241107900115", "공시열람")</f>
        <v/>
      </c>
    </row>
    <row r="4055">
      <c r="A4055" t="inlineStr">
        <is>
          <t>2024-11-07</t>
        </is>
      </c>
      <c r="B4055" t="inlineStr">
        <is>
          <t>씨에스윈드</t>
        </is>
      </c>
      <c r="C4055" t="inlineStr">
        <is>
          <t>112610</t>
        </is>
      </c>
      <c r="D4055" t="inlineStr">
        <is>
          <t>연결</t>
        </is>
      </c>
      <c r="E4055" t="inlineStr">
        <is>
          <t>2024Q3</t>
        </is>
      </c>
      <c r="F4055" s="2" t="n">
        <v>805473</v>
      </c>
      <c r="G4055" t="n">
        <v>-6.1</v>
      </c>
      <c r="H4055" t="n">
        <v>111.7</v>
      </c>
      <c r="I4055" s="2" t="n">
        <v>109646</v>
      </c>
      <c r="J4055" t="n">
        <v>-15</v>
      </c>
      <c r="K4055" t="n">
        <v>164.3</v>
      </c>
      <c r="L4055" s="2" t="n">
        <v>79795</v>
      </c>
      <c r="M4055" t="n">
        <v>345.1</v>
      </c>
      <c r="N4055" t="inlineStr">
        <is>
          <t>20241107800130</t>
        </is>
      </c>
      <c r="O4055">
        <f>HYPERLINK("https://dart.fss.or.kr/dsaf001/main.do?rcpNo=20241107800130", "공시열람")</f>
        <v/>
      </c>
    </row>
    <row r="4056">
      <c r="A4056" t="inlineStr">
        <is>
          <t>2024-11-07</t>
        </is>
      </c>
      <c r="B4056" t="inlineStr">
        <is>
          <t>삼성증권</t>
        </is>
      </c>
      <c r="C4056" t="inlineStr">
        <is>
          <t>016360</t>
        </is>
      </c>
      <c r="D4056" t="inlineStr">
        <is>
          <t>연결</t>
        </is>
      </c>
      <c r="E4056" t="inlineStr">
        <is>
          <t>2024Q3</t>
        </is>
      </c>
      <c r="F4056" s="2" t="n">
        <v>2767670</v>
      </c>
      <c r="G4056" t="inlineStr"/>
      <c r="H4056" t="inlineStr"/>
      <c r="I4056" s="2" t="n">
        <v>324120</v>
      </c>
      <c r="J4056" t="inlineStr"/>
      <c r="K4056" t="inlineStr"/>
      <c r="L4056" s="2" t="n">
        <v>240313</v>
      </c>
      <c r="M4056" t="inlineStr"/>
      <c r="N4056" t="inlineStr">
        <is>
          <t>20241107800427</t>
        </is>
      </c>
      <c r="O4056">
        <f>HYPERLINK("https://dart.fss.or.kr/dsaf001/main.do?rcpNo=20241107800427", "공시열람")</f>
        <v/>
      </c>
    </row>
    <row r="4057">
      <c r="A4057" t="inlineStr">
        <is>
          <t>2024-11-06</t>
        </is>
      </c>
      <c r="B4057" t="inlineStr">
        <is>
          <t>뷰웍스</t>
        </is>
      </c>
      <c r="C4057" t="inlineStr">
        <is>
          <t>100120</t>
        </is>
      </c>
      <c r="D4057" t="inlineStr">
        <is>
          <t>연결</t>
        </is>
      </c>
      <c r="E4057" t="inlineStr">
        <is>
          <t>2024Q3</t>
        </is>
      </c>
      <c r="F4057" s="2" t="n">
        <v>48378</v>
      </c>
      <c r="G4057" t="inlineStr"/>
      <c r="H4057" t="inlineStr"/>
      <c r="I4057" s="2" t="n">
        <v>4524</v>
      </c>
      <c r="J4057" t="inlineStr"/>
      <c r="K4057" t="inlineStr"/>
      <c r="L4057" s="2" t="inlineStr"/>
      <c r="M4057" t="inlineStr"/>
      <c r="N4057" t="inlineStr">
        <is>
          <t>20241106900314</t>
        </is>
      </c>
      <c r="O4057">
        <f>HYPERLINK("https://dart.fss.or.kr/dsaf001/main.do?rcpNo=20241106900314", "공시열람")</f>
        <v/>
      </c>
    </row>
    <row r="4058">
      <c r="A4058" t="inlineStr">
        <is>
          <t>2024-11-06</t>
        </is>
      </c>
      <c r="B4058" t="inlineStr">
        <is>
          <t>화천기계</t>
        </is>
      </c>
      <c r="C4058" t="inlineStr">
        <is>
          <t>010660</t>
        </is>
      </c>
      <c r="D4058" t="inlineStr">
        <is>
          <t>별도</t>
        </is>
      </c>
      <c r="E4058" t="inlineStr">
        <is>
          <t>2024Q3</t>
        </is>
      </c>
      <c r="F4058" s="2" t="n">
        <v>60728</v>
      </c>
      <c r="G4058" t="n">
        <v>-4.9</v>
      </c>
      <c r="H4058" t="n">
        <v>71.3</v>
      </c>
      <c r="I4058" s="2" t="n">
        <v>270</v>
      </c>
      <c r="J4058" t="n">
        <v>-85.59999999999999</v>
      </c>
      <c r="K4058" t="inlineStr"/>
      <c r="L4058" s="2" t="n">
        <v>644</v>
      </c>
      <c r="M4058" t="inlineStr"/>
      <c r="N4058" t="inlineStr">
        <is>
          <t>20241106800291</t>
        </is>
      </c>
      <c r="O4058">
        <f>HYPERLINK("https://dart.fss.or.kr/dsaf001/main.do?rcpNo=20241106800291", "공시열람")</f>
        <v/>
      </c>
    </row>
    <row r="4059">
      <c r="A4059" t="inlineStr">
        <is>
          <t>2024-11-06</t>
        </is>
      </c>
      <c r="B4059" t="inlineStr">
        <is>
          <t>대한항공</t>
        </is>
      </c>
      <c r="C4059" t="inlineStr">
        <is>
          <t>003490</t>
        </is>
      </c>
      <c r="D4059" t="inlineStr">
        <is>
          <t>별도</t>
        </is>
      </c>
      <c r="E4059" t="inlineStr">
        <is>
          <t>2024Q3</t>
        </is>
      </c>
      <c r="F4059" s="2" t="n">
        <v>4240783</v>
      </c>
      <c r="G4059" t="n">
        <v>5.4</v>
      </c>
      <c r="H4059" t="n">
        <v>9.800000000000001</v>
      </c>
      <c r="I4059" s="2" t="n">
        <v>618619</v>
      </c>
      <c r="J4059" t="n">
        <v>49.6</v>
      </c>
      <c r="K4059" t="n">
        <v>18.9</v>
      </c>
      <c r="L4059" s="2" t="n">
        <v>276557</v>
      </c>
      <c r="M4059" t="n">
        <v>-34.8</v>
      </c>
      <c r="N4059" t="inlineStr">
        <is>
          <t>20241106800302</t>
        </is>
      </c>
      <c r="O4059">
        <f>HYPERLINK("https://dart.fss.or.kr/dsaf001/main.do?rcpNo=20241106800302", "공시열람")</f>
        <v/>
      </c>
    </row>
    <row r="4060">
      <c r="A4060" t="inlineStr">
        <is>
          <t>2024-11-06</t>
        </is>
      </c>
      <c r="B4060" t="inlineStr">
        <is>
          <t>심텍</t>
        </is>
      </c>
      <c r="C4060" t="inlineStr">
        <is>
          <t>222800</t>
        </is>
      </c>
      <c r="D4060" t="inlineStr">
        <is>
          <t>연결</t>
        </is>
      </c>
      <c r="E4060" t="inlineStr">
        <is>
          <t>2024Q3</t>
        </is>
      </c>
      <c r="F4060" s="2" t="n">
        <v>324781</v>
      </c>
      <c r="G4060" t="inlineStr"/>
      <c r="H4060" t="inlineStr"/>
      <c r="I4060" s="2" t="n">
        <v>510</v>
      </c>
      <c r="J4060" t="inlineStr"/>
      <c r="K4060" t="inlineStr"/>
      <c r="L4060" s="2" t="n">
        <v>21366</v>
      </c>
      <c r="M4060" t="inlineStr"/>
      <c r="N4060" t="inlineStr">
        <is>
          <t>20241106900284</t>
        </is>
      </c>
      <c r="O4060">
        <f>HYPERLINK("https://dart.fss.or.kr/dsaf001/main.do?rcpNo=20241106900284", "공시열람")</f>
        <v/>
      </c>
    </row>
    <row r="4061">
      <c r="A4061" t="inlineStr">
        <is>
          <t>2024-11-06</t>
        </is>
      </c>
      <c r="B4061" t="inlineStr">
        <is>
          <t>HDC</t>
        </is>
      </c>
      <c r="C4061" t="inlineStr">
        <is>
          <t>012630</t>
        </is>
      </c>
      <c r="D4061" t="inlineStr">
        <is>
          <t>연결</t>
        </is>
      </c>
      <c r="E4061" t="inlineStr">
        <is>
          <t>2024Q3</t>
        </is>
      </c>
      <c r="F4061" s="2" t="n">
        <v>1569234</v>
      </c>
      <c r="G4061" t="n">
        <v>1.9</v>
      </c>
      <c r="H4061" t="n">
        <v>7.5</v>
      </c>
      <c r="I4061" s="2" t="n">
        <v>92870</v>
      </c>
      <c r="J4061" t="n">
        <v>10.3</v>
      </c>
      <c r="K4061" t="n">
        <v>-7.3</v>
      </c>
      <c r="L4061" s="2" t="n">
        <v>68345</v>
      </c>
      <c r="M4061" t="n">
        <v>-15</v>
      </c>
      <c r="N4061" t="inlineStr">
        <is>
          <t>20241106800276</t>
        </is>
      </c>
      <c r="O4061">
        <f>HYPERLINK("https://dart.fss.or.kr/dsaf001/main.do?rcpNo=20241106800276", "공시열람")</f>
        <v/>
      </c>
    </row>
    <row r="4062">
      <c r="A4062" t="inlineStr">
        <is>
          <t>2024-11-06</t>
        </is>
      </c>
      <c r="B4062" t="inlineStr">
        <is>
          <t>두산로보틱스</t>
        </is>
      </c>
      <c r="C4062" t="inlineStr">
        <is>
          <t>454910</t>
        </is>
      </c>
      <c r="D4062" t="inlineStr">
        <is>
          <t>연결</t>
        </is>
      </c>
      <c r="E4062" t="inlineStr">
        <is>
          <t>2024Q3</t>
        </is>
      </c>
      <c r="F4062" s="2" t="n">
        <v>10034</v>
      </c>
      <c r="G4062" t="n">
        <v>-30.43</v>
      </c>
      <c r="H4062" t="n">
        <v>-19.79</v>
      </c>
      <c r="I4062" s="2" t="n">
        <v>-9588</v>
      </c>
      <c r="J4062" t="n">
        <v>-21.82</v>
      </c>
      <c r="K4062" t="n">
        <v>-56.23</v>
      </c>
      <c r="L4062" s="2" t="n">
        <v>-6882</v>
      </c>
      <c r="M4062" t="n">
        <v>-6.59</v>
      </c>
      <c r="N4062" t="inlineStr">
        <is>
          <t>20241106800250</t>
        </is>
      </c>
      <c r="O4062">
        <f>HYPERLINK("https://dart.fss.or.kr/dsaf001/main.do?rcpNo=20241106800250", "공시열람")</f>
        <v/>
      </c>
    </row>
    <row r="4063">
      <c r="A4063" t="inlineStr">
        <is>
          <t>2024-11-06</t>
        </is>
      </c>
      <c r="B4063" t="inlineStr">
        <is>
          <t>이노션</t>
        </is>
      </c>
      <c r="C4063" t="inlineStr">
        <is>
          <t>214320</t>
        </is>
      </c>
      <c r="D4063" t="inlineStr">
        <is>
          <t>연결</t>
        </is>
      </c>
      <c r="E4063" t="inlineStr">
        <is>
          <t>2024Q3</t>
        </is>
      </c>
      <c r="F4063" s="2" t="n">
        <v>512024</v>
      </c>
      <c r="G4063" t="n">
        <v>-1.9</v>
      </c>
      <c r="H4063" t="n">
        <v>2.9</v>
      </c>
      <c r="I4063" s="2" t="n">
        <v>45896</v>
      </c>
      <c r="J4063" t="n">
        <v>25.2</v>
      </c>
      <c r="K4063" t="n">
        <v>12.4</v>
      </c>
      <c r="L4063" s="2" t="n">
        <v>32655</v>
      </c>
      <c r="M4063" t="n">
        <v>-24.5</v>
      </c>
      <c r="N4063" t="inlineStr">
        <is>
          <t>20241106800307</t>
        </is>
      </c>
      <c r="O4063">
        <f>HYPERLINK("https://dart.fss.or.kr/dsaf001/main.do?rcpNo=20241106800307", "공시열람")</f>
        <v/>
      </c>
    </row>
    <row r="4064">
      <c r="A4064" t="inlineStr">
        <is>
          <t>2024-11-06</t>
        </is>
      </c>
      <c r="B4064" t="inlineStr">
        <is>
          <t>파크시스템스</t>
        </is>
      </c>
      <c r="C4064" t="inlineStr">
        <is>
          <t>140860</t>
        </is>
      </c>
      <c r="D4064" t="inlineStr">
        <is>
          <t>연결</t>
        </is>
      </c>
      <c r="E4064" t="inlineStr">
        <is>
          <t>2024Q3</t>
        </is>
      </c>
      <c r="F4064" s="2" t="n">
        <v>41374</v>
      </c>
      <c r="G4064" t="inlineStr"/>
      <c r="H4064" t="inlineStr"/>
      <c r="I4064" s="2" t="n">
        <v>8748</v>
      </c>
      <c r="J4064" t="inlineStr"/>
      <c r="K4064" t="inlineStr"/>
      <c r="L4064" s="2" t="inlineStr"/>
      <c r="M4064" t="inlineStr"/>
      <c r="N4064" t="inlineStr">
        <is>
          <t>20241106900437</t>
        </is>
      </c>
      <c r="O4064">
        <f>HYPERLINK("https://dart.fss.or.kr/dsaf001/main.do?rcpNo=20241106900437", "공시열람")</f>
        <v/>
      </c>
    </row>
    <row r="4065">
      <c r="A4065" t="inlineStr">
        <is>
          <t>2024-11-06</t>
        </is>
      </c>
      <c r="B4065" t="inlineStr">
        <is>
          <t>한국금융지주</t>
        </is>
      </c>
      <c r="C4065" t="inlineStr">
        <is>
          <t>071050</t>
        </is>
      </c>
      <c r="D4065" t="inlineStr">
        <is>
          <t>연결</t>
        </is>
      </c>
      <c r="E4065" t="inlineStr">
        <is>
          <t>2024Q3</t>
        </is>
      </c>
      <c r="F4065" s="2" t="n">
        <v>6303579</v>
      </c>
      <c r="G4065" t="n">
        <v>9.52</v>
      </c>
      <c r="H4065" t="n">
        <v>15.68</v>
      </c>
      <c r="I4065" s="2" t="n">
        <v>362976</v>
      </c>
      <c r="J4065" t="n">
        <v>21.21</v>
      </c>
      <c r="K4065" t="n">
        <v>70.73999999999999</v>
      </c>
      <c r="L4065" s="2" t="n">
        <v>314541</v>
      </c>
      <c r="M4065" t="n">
        <v>48.24</v>
      </c>
      <c r="N4065" t="inlineStr">
        <is>
          <t>20241106800270</t>
        </is>
      </c>
      <c r="O4065">
        <f>HYPERLINK("https://dart.fss.or.kr/dsaf001/main.do?rcpNo=20241106800270", "공시열람")</f>
        <v/>
      </c>
    </row>
    <row r="4066">
      <c r="A4066" t="inlineStr">
        <is>
          <t>2024-11-06</t>
        </is>
      </c>
      <c r="B4066" t="inlineStr">
        <is>
          <t>한국금융지주</t>
        </is>
      </c>
      <c r="C4066" t="inlineStr">
        <is>
          <t>071050</t>
        </is>
      </c>
      <c r="D4066" t="inlineStr">
        <is>
          <t>연결</t>
        </is>
      </c>
      <c r="E4066" t="inlineStr">
        <is>
          <t>2024Q3</t>
        </is>
      </c>
      <c r="F4066" s="2" t="n">
        <v>5981690</v>
      </c>
      <c r="G4066" t="n">
        <v>12.72</v>
      </c>
      <c r="H4066" t="n">
        <v>18.04</v>
      </c>
      <c r="I4066" s="2" t="n">
        <v>383503</v>
      </c>
      <c r="J4066" t="n">
        <v>0.04</v>
      </c>
      <c r="K4066" t="n">
        <v>91.20999999999999</v>
      </c>
      <c r="L4066" s="2" t="n">
        <v>330691</v>
      </c>
      <c r="M4066" t="n">
        <v>72.09999999999999</v>
      </c>
      <c r="N4066" t="inlineStr">
        <is>
          <t>20241106800267</t>
        </is>
      </c>
      <c r="O4066">
        <f>HYPERLINK("https://dart.fss.or.kr/dsaf001/main.do?rcpNo=20241106800267", "공시열람")</f>
        <v/>
      </c>
    </row>
    <row r="4067">
      <c r="A4067" t="inlineStr">
        <is>
          <t>2024-11-06</t>
        </is>
      </c>
      <c r="B4067" t="inlineStr">
        <is>
          <t>코스맥스엔비티</t>
        </is>
      </c>
      <c r="C4067" t="inlineStr">
        <is>
          <t>222040</t>
        </is>
      </c>
      <c r="D4067" t="inlineStr">
        <is>
          <t>연결</t>
        </is>
      </c>
      <c r="E4067" t="inlineStr">
        <is>
          <t>2024Q3</t>
        </is>
      </c>
      <c r="F4067" s="2" t="n">
        <v>85805</v>
      </c>
      <c r="G4067" t="inlineStr"/>
      <c r="H4067" t="inlineStr"/>
      <c r="I4067" s="2" t="n">
        <v>2578</v>
      </c>
      <c r="J4067" t="inlineStr"/>
      <c r="K4067" t="inlineStr"/>
      <c r="L4067" s="2" t="n">
        <v>-1390</v>
      </c>
      <c r="M4067" t="inlineStr"/>
      <c r="N4067" t="inlineStr">
        <is>
          <t>20241106900244</t>
        </is>
      </c>
      <c r="O4067">
        <f>HYPERLINK("https://dart.fss.or.kr/dsaf001/main.do?rcpNo=20241106900244", "공시열람")</f>
        <v/>
      </c>
    </row>
    <row r="4068">
      <c r="A4068" t="inlineStr">
        <is>
          <t>2024-11-06</t>
        </is>
      </c>
      <c r="B4068" t="inlineStr">
        <is>
          <t>에이피알</t>
        </is>
      </c>
      <c r="C4068" t="inlineStr">
        <is>
          <t>278470</t>
        </is>
      </c>
      <c r="D4068" t="inlineStr">
        <is>
          <t>연결</t>
        </is>
      </c>
      <c r="E4068" t="inlineStr">
        <is>
          <t>2024Q3</t>
        </is>
      </c>
      <c r="F4068" s="2" t="n">
        <v>174117</v>
      </c>
      <c r="G4068" t="n">
        <v>12</v>
      </c>
      <c r="H4068" t="n">
        <v>42.8</v>
      </c>
      <c r="I4068" s="2" t="n">
        <v>27243</v>
      </c>
      <c r="J4068" t="n">
        <v>-2.7</v>
      </c>
      <c r="K4068" t="n">
        <v>24.6</v>
      </c>
      <c r="L4068" s="2" t="n">
        <v>16007</v>
      </c>
      <c r="M4068" t="n">
        <v>-12.9</v>
      </c>
      <c r="N4068" t="inlineStr">
        <is>
          <t>20241106800193</t>
        </is>
      </c>
      <c r="O4068">
        <f>HYPERLINK("https://dart.fss.or.kr/dsaf001/main.do?rcpNo=20241106800193", "공시열람")</f>
        <v/>
      </c>
    </row>
    <row r="4069">
      <c r="A4069" t="inlineStr">
        <is>
          <t>2024-11-06</t>
        </is>
      </c>
      <c r="B4069" t="inlineStr">
        <is>
          <t>일신방직</t>
        </is>
      </c>
      <c r="C4069" t="inlineStr">
        <is>
          <t>003200</t>
        </is>
      </c>
      <c r="D4069" t="inlineStr">
        <is>
          <t>연결</t>
        </is>
      </c>
      <c r="E4069" t="inlineStr">
        <is>
          <t>2024Q3</t>
        </is>
      </c>
      <c r="F4069" s="2" t="n">
        <v>119819</v>
      </c>
      <c r="G4069" t="n">
        <v>-3.22</v>
      </c>
      <c r="H4069" t="n">
        <v>-7.64</v>
      </c>
      <c r="I4069" s="2" t="n">
        <v>-3199</v>
      </c>
      <c r="J4069" t="inlineStr"/>
      <c r="K4069" t="n">
        <v>-286.35</v>
      </c>
      <c r="L4069" s="2" t="n">
        <v>1456</v>
      </c>
      <c r="M4069" t="n">
        <v>-9.619999999999999</v>
      </c>
      <c r="N4069" t="inlineStr">
        <is>
          <t>20241106800156</t>
        </is>
      </c>
      <c r="O4069">
        <f>HYPERLINK("https://dart.fss.or.kr/dsaf001/main.do?rcpNo=20241106800156", "공시열람")</f>
        <v/>
      </c>
    </row>
    <row r="4070">
      <c r="A4070" t="inlineStr">
        <is>
          <t>2024-11-06</t>
        </is>
      </c>
      <c r="B4070" t="inlineStr">
        <is>
          <t>티케이지휴켐스</t>
        </is>
      </c>
      <c r="C4070" t="inlineStr">
        <is>
          <t>069260</t>
        </is>
      </c>
      <c r="D4070" t="inlineStr">
        <is>
          <t>연결</t>
        </is>
      </c>
      <c r="E4070" t="inlineStr">
        <is>
          <t>2024Q3</t>
        </is>
      </c>
      <c r="F4070" s="2" t="n">
        <v>294769</v>
      </c>
      <c r="G4070" t="n">
        <v>5</v>
      </c>
      <c r="H4070" t="n">
        <v>24.4</v>
      </c>
      <c r="I4070" s="2" t="n">
        <v>19559</v>
      </c>
      <c r="J4070" t="n">
        <v>-9</v>
      </c>
      <c r="K4070" t="n">
        <v>-35.8</v>
      </c>
      <c r="L4070" s="2" t="n">
        <v>18005</v>
      </c>
      <c r="M4070" t="n">
        <v>-38.6</v>
      </c>
      <c r="N4070" t="inlineStr">
        <is>
          <t>20241106800309</t>
        </is>
      </c>
      <c r="O4070">
        <f>HYPERLINK("https://dart.fss.or.kr/dsaf001/main.do?rcpNo=20241106800309", "공시열람")</f>
        <v/>
      </c>
    </row>
    <row r="4071">
      <c r="A4071" t="inlineStr">
        <is>
          <t>2024-11-06</t>
        </is>
      </c>
      <c r="B4071" t="inlineStr">
        <is>
          <t>카카오게임즈</t>
        </is>
      </c>
      <c r="C4071" t="inlineStr">
        <is>
          <t>293490</t>
        </is>
      </c>
      <c r="D4071" t="inlineStr">
        <is>
          <t>연결</t>
        </is>
      </c>
      <c r="E4071" t="inlineStr">
        <is>
          <t>2024Q3</t>
        </is>
      </c>
      <c r="F4071" s="2" t="n">
        <v>193899</v>
      </c>
      <c r="G4071" t="inlineStr"/>
      <c r="H4071" t="inlineStr"/>
      <c r="I4071" s="2" t="n">
        <v>5715</v>
      </c>
      <c r="J4071" t="inlineStr"/>
      <c r="K4071" t="inlineStr"/>
      <c r="L4071" s="2" t="n">
        <v>-7311</v>
      </c>
      <c r="M4071" t="inlineStr"/>
      <c r="N4071" t="inlineStr">
        <is>
          <t>20241106900019</t>
        </is>
      </c>
      <c r="O4071">
        <f>HYPERLINK("https://dart.fss.or.kr/dsaf001/main.do?rcpNo=20241106900019", "공시열람")</f>
        <v/>
      </c>
    </row>
    <row r="4072">
      <c r="A4072" t="inlineStr">
        <is>
          <t>2024-11-06</t>
        </is>
      </c>
      <c r="B4072" t="inlineStr">
        <is>
          <t>JW중외제약</t>
        </is>
      </c>
      <c r="C4072" t="inlineStr">
        <is>
          <t>001060</t>
        </is>
      </c>
      <c r="D4072" t="inlineStr">
        <is>
          <t>별도</t>
        </is>
      </c>
      <c r="E4072" t="inlineStr">
        <is>
          <t>2024Q3</t>
        </is>
      </c>
      <c r="F4072" s="2" t="n">
        <v>176564</v>
      </c>
      <c r="G4072" t="n">
        <v>3.5</v>
      </c>
      <c r="H4072" t="n">
        <v>-3.5</v>
      </c>
      <c r="I4072" s="2" t="n">
        <v>26340</v>
      </c>
      <c r="J4072" t="n">
        <v>110.7</v>
      </c>
      <c r="K4072" t="n">
        <v>-1.6</v>
      </c>
      <c r="L4072" s="2" t="n">
        <v>19691</v>
      </c>
      <c r="M4072" t="inlineStr"/>
      <c r="N4072" t="inlineStr">
        <is>
          <t>20241106800140</t>
        </is>
      </c>
      <c r="O4072">
        <f>HYPERLINK("https://dart.fss.or.kr/dsaf001/main.do?rcpNo=20241106800140", "공시열람")</f>
        <v/>
      </c>
    </row>
    <row r="4073">
      <c r="A4073" t="inlineStr">
        <is>
          <t>2024-11-06</t>
        </is>
      </c>
      <c r="B4073" t="inlineStr">
        <is>
          <t>동진쎄미켐</t>
        </is>
      </c>
      <c r="C4073" t="inlineStr">
        <is>
          <t>005290</t>
        </is>
      </c>
      <c r="D4073" t="inlineStr">
        <is>
          <t>연결</t>
        </is>
      </c>
      <c r="E4073" t="inlineStr">
        <is>
          <t>2024Q3</t>
        </is>
      </c>
      <c r="F4073" s="2" t="n">
        <v>359409</v>
      </c>
      <c r="G4073" t="inlineStr"/>
      <c r="H4073" t="inlineStr"/>
      <c r="I4073" s="2" t="n">
        <v>61868</v>
      </c>
      <c r="J4073" t="inlineStr"/>
      <c r="K4073" t="inlineStr"/>
      <c r="L4073" s="2" t="n">
        <v>33295</v>
      </c>
      <c r="M4073" t="inlineStr"/>
      <c r="N4073" t="inlineStr">
        <is>
          <t>20241106900078</t>
        </is>
      </c>
      <c r="O4073">
        <f>HYPERLINK("https://dart.fss.or.kr/dsaf001/main.do?rcpNo=20241106900078", "공시열람")</f>
        <v/>
      </c>
    </row>
    <row r="4074">
      <c r="A4074" t="inlineStr">
        <is>
          <t>2024-11-06</t>
        </is>
      </c>
      <c r="B4074" t="inlineStr">
        <is>
          <t>케이티스카이라이프</t>
        </is>
      </c>
      <c r="C4074" t="inlineStr">
        <is>
          <t>053210</t>
        </is>
      </c>
      <c r="D4074" t="inlineStr">
        <is>
          <t>별도</t>
        </is>
      </c>
      <c r="E4074" t="inlineStr">
        <is>
          <t>2024Q3</t>
        </is>
      </c>
      <c r="F4074" s="2" t="n">
        <v>177342</v>
      </c>
      <c r="G4074" t="n">
        <v>0.6</v>
      </c>
      <c r="H4074" t="n">
        <v>-0.7</v>
      </c>
      <c r="I4074" s="2" t="n">
        <v>10692</v>
      </c>
      <c r="J4074" t="n">
        <v>-16</v>
      </c>
      <c r="K4074" t="n">
        <v>27</v>
      </c>
      <c r="L4074" s="2" t="n">
        <v>7735</v>
      </c>
      <c r="M4074" t="n">
        <v>76.5</v>
      </c>
      <c r="N4074" t="inlineStr">
        <is>
          <t>20241106800027</t>
        </is>
      </c>
      <c r="O4074">
        <f>HYPERLINK("https://dart.fss.or.kr/dsaf001/main.do?rcpNo=20241106800027", "공시열람")</f>
        <v/>
      </c>
    </row>
    <row r="4075">
      <c r="A4075" t="inlineStr">
        <is>
          <t>2024-11-06</t>
        </is>
      </c>
      <c r="B4075" t="inlineStr">
        <is>
          <t>케이티스카이라이프</t>
        </is>
      </c>
      <c r="C4075" t="inlineStr">
        <is>
          <t>053210</t>
        </is>
      </c>
      <c r="D4075" t="inlineStr">
        <is>
          <t>연결</t>
        </is>
      </c>
      <c r="E4075" t="inlineStr">
        <is>
          <t>2024Q3</t>
        </is>
      </c>
      <c r="F4075" s="2" t="n">
        <v>256914</v>
      </c>
      <c r="G4075" t="n">
        <v>0.9</v>
      </c>
      <c r="H4075" t="n">
        <v>-0.5</v>
      </c>
      <c r="I4075" s="2" t="n">
        <v>1847</v>
      </c>
      <c r="J4075" t="inlineStr"/>
      <c r="K4075" t="n">
        <v>-32.5</v>
      </c>
      <c r="L4075" s="2" t="n">
        <v>2124</v>
      </c>
      <c r="M4075" t="inlineStr"/>
      <c r="N4075" t="inlineStr">
        <is>
          <t>20241106800028</t>
        </is>
      </c>
      <c r="O4075">
        <f>HYPERLINK("https://dart.fss.or.kr/dsaf001/main.do?rcpNo=20241106800028", "공시열람")</f>
        <v/>
      </c>
    </row>
    <row r="4076">
      <c r="A4076" t="inlineStr">
        <is>
          <t>2024-11-06</t>
        </is>
      </c>
      <c r="B4076" t="inlineStr">
        <is>
          <t>토비스</t>
        </is>
      </c>
      <c r="C4076" t="inlineStr">
        <is>
          <t>051360</t>
        </is>
      </c>
      <c r="D4076" t="inlineStr">
        <is>
          <t>연결</t>
        </is>
      </c>
      <c r="E4076" t="inlineStr">
        <is>
          <t>2024Q3</t>
        </is>
      </c>
      <c r="F4076" s="2" t="n">
        <v>163053</v>
      </c>
      <c r="G4076" t="inlineStr"/>
      <c r="H4076" t="inlineStr"/>
      <c r="I4076" s="2" t="n">
        <v>17735</v>
      </c>
      <c r="J4076" t="inlineStr"/>
      <c r="K4076" t="inlineStr"/>
      <c r="L4076" s="2" t="n">
        <v>18042</v>
      </c>
      <c r="M4076" t="inlineStr"/>
      <c r="N4076" t="inlineStr">
        <is>
          <t>20241106900052</t>
        </is>
      </c>
      <c r="O4076">
        <f>HYPERLINK("https://dart.fss.or.kr/dsaf001/main.do?rcpNo=20241106900052", "공시열람")</f>
        <v/>
      </c>
    </row>
    <row r="4077">
      <c r="A4077" t="inlineStr">
        <is>
          <t>2024-11-06</t>
        </is>
      </c>
      <c r="B4077" t="inlineStr">
        <is>
          <t>SK텔레콤</t>
        </is>
      </c>
      <c r="C4077" t="inlineStr">
        <is>
          <t>017670</t>
        </is>
      </c>
      <c r="D4077" t="inlineStr">
        <is>
          <t>연결</t>
        </is>
      </c>
      <c r="E4077" t="inlineStr">
        <is>
          <t>2024Q3</t>
        </is>
      </c>
      <c r="F4077" s="2" t="n">
        <v>4532100</v>
      </c>
      <c r="G4077" t="n">
        <v>2.48</v>
      </c>
      <c r="H4077" t="n">
        <v>2.94</v>
      </c>
      <c r="I4077" s="2" t="n">
        <v>533300</v>
      </c>
      <c r="J4077" t="n">
        <v>-0.79</v>
      </c>
      <c r="K4077" t="n">
        <v>7.09</v>
      </c>
      <c r="L4077" s="2" t="n">
        <v>280200</v>
      </c>
      <c r="M4077" t="n">
        <v>-9.1</v>
      </c>
      <c r="N4077" t="inlineStr">
        <is>
          <t>20241106800049</t>
        </is>
      </c>
      <c r="O4077">
        <f>HYPERLINK("https://dart.fss.or.kr/dsaf001/main.do?rcpNo=20241106800049", "공시열람")</f>
        <v/>
      </c>
    </row>
    <row r="4078">
      <c r="A4078" t="inlineStr">
        <is>
          <t>2024-11-06</t>
        </is>
      </c>
      <c r="B4078" t="inlineStr">
        <is>
          <t>SK텔레콤</t>
        </is>
      </c>
      <c r="C4078" t="inlineStr">
        <is>
          <t>017670</t>
        </is>
      </c>
      <c r="D4078" t="inlineStr">
        <is>
          <t>별도</t>
        </is>
      </c>
      <c r="E4078" t="inlineStr">
        <is>
          <t>2024Q3</t>
        </is>
      </c>
      <c r="F4078" s="2" t="n">
        <v>3203200</v>
      </c>
      <c r="G4078" t="n">
        <v>0.37</v>
      </c>
      <c r="H4078" t="n">
        <v>1.74</v>
      </c>
      <c r="I4078" s="2" t="n">
        <v>457000</v>
      </c>
      <c r="J4078" t="n">
        <v>1.46</v>
      </c>
      <c r="K4078" t="n">
        <v>12.25</v>
      </c>
      <c r="L4078" s="2" t="n">
        <v>222400</v>
      </c>
      <c r="M4078" t="n">
        <v>-11.2</v>
      </c>
      <c r="N4078" t="inlineStr">
        <is>
          <t>20241106800050</t>
        </is>
      </c>
      <c r="O4078">
        <f>HYPERLINK("https://dart.fss.or.kr/dsaf001/main.do?rcpNo=20241106800050", "공시열람")</f>
        <v/>
      </c>
    </row>
    <row r="4079">
      <c r="A4079" t="inlineStr">
        <is>
          <t>2024-11-06</t>
        </is>
      </c>
      <c r="B4079" t="inlineStr">
        <is>
          <t>데브시스터즈</t>
        </is>
      </c>
      <c r="C4079" t="inlineStr">
        <is>
          <t>194480</t>
        </is>
      </c>
      <c r="D4079" t="inlineStr">
        <is>
          <t>연결</t>
        </is>
      </c>
      <c r="E4079" t="inlineStr">
        <is>
          <t>2024Q3</t>
        </is>
      </c>
      <c r="F4079" s="2" t="n">
        <v>72030</v>
      </c>
      <c r="G4079" t="inlineStr"/>
      <c r="H4079" t="inlineStr"/>
      <c r="I4079" s="2" t="n">
        <v>13394</v>
      </c>
      <c r="J4079" t="inlineStr"/>
      <c r="K4079" t="inlineStr"/>
      <c r="L4079" s="2" t="n">
        <v>14347</v>
      </c>
      <c r="M4079" t="inlineStr"/>
      <c r="N4079" t="inlineStr">
        <is>
          <t>20241106900054</t>
        </is>
      </c>
      <c r="O4079">
        <f>HYPERLINK("https://dart.fss.or.kr/dsaf001/main.do?rcpNo=20241106900054", "공시열람")</f>
        <v/>
      </c>
    </row>
    <row r="4080">
      <c r="A4080" t="inlineStr">
        <is>
          <t>2024-11-06</t>
        </is>
      </c>
      <c r="B4080" t="inlineStr">
        <is>
          <t>휴젤</t>
        </is>
      </c>
      <c r="C4080" t="inlineStr">
        <is>
          <t>145020</t>
        </is>
      </c>
      <c r="D4080" t="inlineStr">
        <is>
          <t>연결</t>
        </is>
      </c>
      <c r="E4080" t="inlineStr">
        <is>
          <t>2024Q3</t>
        </is>
      </c>
      <c r="F4080" s="2" t="n">
        <v>105109</v>
      </c>
      <c r="G4080" t="inlineStr"/>
      <c r="H4080" t="inlineStr"/>
      <c r="I4080" s="2" t="n">
        <v>53380</v>
      </c>
      <c r="J4080" t="inlineStr"/>
      <c r="K4080" t="inlineStr"/>
      <c r="L4080" s="2" t="n">
        <v>42029</v>
      </c>
      <c r="M4080" t="inlineStr"/>
      <c r="N4080" t="inlineStr">
        <is>
          <t>20241106900147</t>
        </is>
      </c>
      <c r="O4080">
        <f>HYPERLINK("https://dart.fss.or.kr/dsaf001/main.do?rcpNo=20241106900147", "공시열람")</f>
        <v/>
      </c>
    </row>
    <row r="4081">
      <c r="A4081" t="inlineStr">
        <is>
          <t>2024-11-06</t>
        </is>
      </c>
      <c r="B4081" t="inlineStr">
        <is>
          <t>카카오뱅크</t>
        </is>
      </c>
      <c r="C4081" t="inlineStr">
        <is>
          <t>323410</t>
        </is>
      </c>
      <c r="D4081" t="inlineStr">
        <is>
          <t>별도</t>
        </is>
      </c>
      <c r="E4081" t="inlineStr">
        <is>
          <t>2024Q3</t>
        </is>
      </c>
      <c r="F4081" s="2" t="n">
        <v>746339</v>
      </c>
      <c r="G4081" t="n">
        <v>1.66</v>
      </c>
      <c r="H4081" t="n">
        <v>13.67</v>
      </c>
      <c r="I4081" s="2" t="n">
        <v>173735</v>
      </c>
      <c r="J4081" t="n">
        <v>2.34</v>
      </c>
      <c r="K4081" t="n">
        <v>36.23</v>
      </c>
      <c r="L4081" s="2" t="n">
        <v>124166</v>
      </c>
      <c r="M4081" t="n">
        <v>30.13</v>
      </c>
      <c r="N4081" t="inlineStr">
        <is>
          <t>20241106800002</t>
        </is>
      </c>
      <c r="O4081">
        <f>HYPERLINK("https://dart.fss.or.kr/dsaf001/main.do?rcpNo=20241106800002", "공시열람")</f>
        <v/>
      </c>
    </row>
    <row r="4082">
      <c r="A4082" t="inlineStr">
        <is>
          <t>2024-11-06</t>
        </is>
      </c>
      <c r="B4082" t="inlineStr">
        <is>
          <t>GS글로벌</t>
        </is>
      </c>
      <c r="C4082" t="inlineStr">
        <is>
          <t>001250</t>
        </is>
      </c>
      <c r="D4082" t="inlineStr">
        <is>
          <t>연결</t>
        </is>
      </c>
      <c r="E4082" t="inlineStr">
        <is>
          <t>2024Q3</t>
        </is>
      </c>
      <c r="F4082" s="2" t="n">
        <v>1055420</v>
      </c>
      <c r="G4082" t="n">
        <v>10.2</v>
      </c>
      <c r="H4082" t="n">
        <v>15</v>
      </c>
      <c r="I4082" s="2" t="n">
        <v>24601</v>
      </c>
      <c r="J4082" t="n">
        <v>15.9</v>
      </c>
      <c r="K4082" t="n">
        <v>7.7</v>
      </c>
      <c r="L4082" s="2" t="n">
        <v>17003</v>
      </c>
      <c r="M4082" t="n">
        <v>34.9</v>
      </c>
      <c r="N4082" t="inlineStr">
        <is>
          <t>20241106800510</t>
        </is>
      </c>
      <c r="O4082">
        <f>HYPERLINK("https://dart.fss.or.kr/dsaf001/main.do?rcpNo=20241106800510", "공시열람")</f>
        <v/>
      </c>
    </row>
    <row r="4083">
      <c r="A4083" t="inlineStr">
        <is>
          <t>2024-11-06</t>
        </is>
      </c>
      <c r="B4083" t="inlineStr">
        <is>
          <t>아이마켓코리아</t>
        </is>
      </c>
      <c r="C4083" t="inlineStr">
        <is>
          <t>122900</t>
        </is>
      </c>
      <c r="D4083" t="inlineStr">
        <is>
          <t>연결</t>
        </is>
      </c>
      <c r="E4083" t="inlineStr">
        <is>
          <t>2024Q3</t>
        </is>
      </c>
      <c r="F4083" s="2" t="n">
        <v>784157</v>
      </c>
      <c r="G4083" t="n">
        <v>-3.94</v>
      </c>
      <c r="H4083" t="n">
        <v>-3.19</v>
      </c>
      <c r="I4083" s="2" t="n">
        <v>9856</v>
      </c>
      <c r="J4083" t="n">
        <v>-3.78</v>
      </c>
      <c r="K4083" t="n">
        <v>-18.36</v>
      </c>
      <c r="L4083" s="2" t="n">
        <v>7376</v>
      </c>
      <c r="M4083" t="n">
        <v>61.4</v>
      </c>
      <c r="N4083" t="inlineStr">
        <is>
          <t>20241106800493</t>
        </is>
      </c>
      <c r="O4083">
        <f>HYPERLINK("https://dart.fss.or.kr/dsaf001/main.do?rcpNo=20241106800493", "공시열람")</f>
        <v/>
      </c>
    </row>
    <row r="4084">
      <c r="A4084" t="inlineStr">
        <is>
          <t>2024-11-06</t>
        </is>
      </c>
      <c r="B4084" t="inlineStr">
        <is>
          <t>케이씨씨글라스</t>
        </is>
      </c>
      <c r="C4084" t="inlineStr">
        <is>
          <t>344820</t>
        </is>
      </c>
      <c r="D4084" t="inlineStr">
        <is>
          <t>연결</t>
        </is>
      </c>
      <c r="E4084" t="inlineStr">
        <is>
          <t>2024Q3</t>
        </is>
      </c>
      <c r="F4084" s="2" t="n">
        <v>487719</v>
      </c>
      <c r="G4084" t="n">
        <v>-5.2</v>
      </c>
      <c r="H4084" t="n">
        <v>14.7</v>
      </c>
      <c r="I4084" s="2" t="n">
        <v>8021</v>
      </c>
      <c r="J4084" t="n">
        <v>-62.8</v>
      </c>
      <c r="K4084" t="n">
        <v>-63.3</v>
      </c>
      <c r="L4084" s="2" t="n">
        <v>23154</v>
      </c>
      <c r="M4084" t="n">
        <v>101.8</v>
      </c>
      <c r="N4084" t="inlineStr">
        <is>
          <t>20241106800449</t>
        </is>
      </c>
      <c r="O4084">
        <f>HYPERLINK("https://dart.fss.or.kr/dsaf001/main.do?rcpNo=20241106800449", "공시열람")</f>
        <v/>
      </c>
    </row>
    <row r="4085">
      <c r="A4085" t="inlineStr">
        <is>
          <t>2024-11-06</t>
        </is>
      </c>
      <c r="B4085" t="inlineStr">
        <is>
          <t>케이티알파</t>
        </is>
      </c>
      <c r="C4085" t="inlineStr">
        <is>
          <t>036030</t>
        </is>
      </c>
      <c r="D4085" t="inlineStr">
        <is>
          <t>별도</t>
        </is>
      </c>
      <c r="E4085" t="inlineStr">
        <is>
          <t>2024Q3</t>
        </is>
      </c>
      <c r="F4085" s="2" t="n">
        <v>99382</v>
      </c>
      <c r="G4085" t="inlineStr"/>
      <c r="H4085" t="inlineStr"/>
      <c r="I4085" s="2" t="n">
        <v>3263</v>
      </c>
      <c r="J4085" t="inlineStr"/>
      <c r="K4085" t="inlineStr"/>
      <c r="L4085" s="2" t="n">
        <v>4399</v>
      </c>
      <c r="M4085" t="inlineStr"/>
      <c r="N4085" t="inlineStr">
        <is>
          <t>20241106900456</t>
        </is>
      </c>
      <c r="O4085">
        <f>HYPERLINK("https://dart.fss.or.kr/dsaf001/main.do?rcpNo=20241106900456", "공시열람")</f>
        <v/>
      </c>
    </row>
    <row r="4086">
      <c r="A4086" t="inlineStr">
        <is>
          <t>2024-11-06</t>
        </is>
      </c>
      <c r="B4086" t="inlineStr">
        <is>
          <t>쎌바이오텍</t>
        </is>
      </c>
      <c r="C4086" t="inlineStr">
        <is>
          <t>049960</t>
        </is>
      </c>
      <c r="D4086" t="inlineStr">
        <is>
          <t>연결</t>
        </is>
      </c>
      <c r="E4086" t="inlineStr">
        <is>
          <t>2024Q3</t>
        </is>
      </c>
      <c r="F4086" s="2" t="n">
        <v>12162</v>
      </c>
      <c r="G4086" t="inlineStr"/>
      <c r="H4086" t="inlineStr"/>
      <c r="I4086" s="2" t="n">
        <v>2089</v>
      </c>
      <c r="J4086" t="inlineStr"/>
      <c r="K4086" t="inlineStr"/>
      <c r="L4086" s="2" t="n">
        <v>969</v>
      </c>
      <c r="M4086" t="inlineStr"/>
      <c r="N4086" t="inlineStr">
        <is>
          <t>20241106900111</t>
        </is>
      </c>
      <c r="O4086">
        <f>HYPERLINK("https://dart.fss.or.kr/dsaf001/main.do?rcpNo=20241106900111", "공시열람")</f>
        <v/>
      </c>
    </row>
    <row r="4087">
      <c r="A4087" t="inlineStr">
        <is>
          <t>2024-11-06</t>
        </is>
      </c>
      <c r="B4087" t="inlineStr">
        <is>
          <t>JW홀딩스</t>
        </is>
      </c>
      <c r="C4087" t="inlineStr">
        <is>
          <t>096760</t>
        </is>
      </c>
      <c r="D4087" t="inlineStr">
        <is>
          <t>별도</t>
        </is>
      </c>
      <c r="E4087" t="inlineStr">
        <is>
          <t>2024Q3</t>
        </is>
      </c>
      <c r="F4087" s="2" t="n">
        <v>17201</v>
      </c>
      <c r="G4087" t="n">
        <v>-48.81</v>
      </c>
      <c r="H4087" t="n">
        <v>-10.24</v>
      </c>
      <c r="I4087" s="2" t="n">
        <v>3527</v>
      </c>
      <c r="J4087" t="n">
        <v>-81.7</v>
      </c>
      <c r="K4087" t="n">
        <v>39.81</v>
      </c>
      <c r="L4087" s="2" t="n">
        <v>2814</v>
      </c>
      <c r="M4087" t="n">
        <v>-9.949999999999999</v>
      </c>
      <c r="N4087" t="inlineStr">
        <is>
          <t>20241106800129</t>
        </is>
      </c>
      <c r="O4087">
        <f>HYPERLINK("https://dart.fss.or.kr/dsaf001/main.do?rcpNo=20241106800129", "공시열람")</f>
        <v/>
      </c>
    </row>
    <row r="4088">
      <c r="A4088" t="inlineStr">
        <is>
          <t>2024-11-05</t>
        </is>
      </c>
      <c r="B4088" t="inlineStr">
        <is>
          <t>제주항공</t>
        </is>
      </c>
      <c r="C4088" t="inlineStr">
        <is>
          <t>089590</t>
        </is>
      </c>
      <c r="D4088" t="inlineStr">
        <is>
          <t>별도</t>
        </is>
      </c>
      <c r="E4088" t="inlineStr">
        <is>
          <t>2024Q3</t>
        </is>
      </c>
      <c r="F4088" s="2" t="n">
        <v>460173</v>
      </c>
      <c r="G4088" t="inlineStr"/>
      <c r="H4088" t="inlineStr"/>
      <c r="I4088" s="2" t="n">
        <v>39523</v>
      </c>
      <c r="J4088" t="inlineStr"/>
      <c r="K4088" t="inlineStr"/>
      <c r="L4088" s="2" t="n">
        <v>43082</v>
      </c>
      <c r="M4088" t="inlineStr"/>
      <c r="N4088" t="inlineStr">
        <is>
          <t>20241105800493</t>
        </is>
      </c>
      <c r="O4088">
        <f>HYPERLINK("https://dart.fss.or.kr/dsaf001/main.do?rcpNo=20241105800493", "공시열람")</f>
        <v/>
      </c>
    </row>
    <row r="4089">
      <c r="A4089" t="inlineStr">
        <is>
          <t>2024-11-05</t>
        </is>
      </c>
      <c r="B4089" t="inlineStr">
        <is>
          <t>하림</t>
        </is>
      </c>
      <c r="C4089" t="inlineStr">
        <is>
          <t>136480</t>
        </is>
      </c>
      <c r="D4089" t="inlineStr">
        <is>
          <t>별도</t>
        </is>
      </c>
      <c r="E4089" t="inlineStr">
        <is>
          <t>2024Q3</t>
        </is>
      </c>
      <c r="F4089" s="2" t="n">
        <v>367077</v>
      </c>
      <c r="G4089" t="inlineStr"/>
      <c r="H4089" t="inlineStr"/>
      <c r="I4089" s="2" t="n">
        <v>25557</v>
      </c>
      <c r="J4089" t="inlineStr"/>
      <c r="K4089" t="inlineStr"/>
      <c r="L4089" s="2" t="n">
        <v>36930</v>
      </c>
      <c r="M4089" t="inlineStr"/>
      <c r="N4089" t="inlineStr">
        <is>
          <t>20241105900494</t>
        </is>
      </c>
      <c r="O4089">
        <f>HYPERLINK("https://dart.fss.or.kr/dsaf001/main.do?rcpNo=20241105900494", "공시열람")</f>
        <v/>
      </c>
    </row>
    <row r="4090">
      <c r="A4090" t="inlineStr">
        <is>
          <t>2024-11-05</t>
        </is>
      </c>
      <c r="B4090" t="inlineStr">
        <is>
          <t>예스티</t>
        </is>
      </c>
      <c r="C4090" t="inlineStr">
        <is>
          <t>122640</t>
        </is>
      </c>
      <c r="D4090" t="inlineStr">
        <is>
          <t>별도</t>
        </is>
      </c>
      <c r="E4090" t="inlineStr">
        <is>
          <t>2024Q3</t>
        </is>
      </c>
      <c r="F4090" s="2" t="n">
        <v>19794</v>
      </c>
      <c r="G4090" t="inlineStr"/>
      <c r="H4090" t="inlineStr"/>
      <c r="I4090" s="2" t="n">
        <v>4360</v>
      </c>
      <c r="J4090" t="inlineStr"/>
      <c r="K4090" t="inlineStr"/>
      <c r="L4090" s="2" t="n">
        <v>6251</v>
      </c>
      <c r="M4090" t="inlineStr"/>
      <c r="N4090" t="inlineStr">
        <is>
          <t>20241105900055</t>
        </is>
      </c>
      <c r="O4090">
        <f>HYPERLINK("https://dart.fss.or.kr/dsaf001/main.do?rcpNo=20241105900055", "공시열람")</f>
        <v/>
      </c>
    </row>
    <row r="4091">
      <c r="A4091" t="inlineStr">
        <is>
          <t>2024-11-05</t>
        </is>
      </c>
      <c r="B4091" t="inlineStr">
        <is>
          <t>코나아이</t>
        </is>
      </c>
      <c r="C4091" t="inlineStr">
        <is>
          <t>052400</t>
        </is>
      </c>
      <c r="D4091" t="inlineStr">
        <is>
          <t>연결</t>
        </is>
      </c>
      <c r="E4091" t="inlineStr">
        <is>
          <t>2024Q3</t>
        </is>
      </c>
      <c r="F4091" s="2" t="n">
        <v>55576</v>
      </c>
      <c r="G4091" t="inlineStr"/>
      <c r="H4091" t="inlineStr"/>
      <c r="I4091" s="2" t="n">
        <v>10113</v>
      </c>
      <c r="J4091" t="inlineStr"/>
      <c r="K4091" t="inlineStr"/>
      <c r="L4091" s="2" t="n">
        <v>7436</v>
      </c>
      <c r="M4091" t="inlineStr"/>
      <c r="N4091" t="inlineStr">
        <is>
          <t>20241105900275</t>
        </is>
      </c>
      <c r="O4091">
        <f>HYPERLINK("https://dart.fss.or.kr/dsaf001/main.do?rcpNo=20241105900275", "공시열람")</f>
        <v/>
      </c>
    </row>
    <row r="4092">
      <c r="A4092" t="inlineStr">
        <is>
          <t>2024-11-05</t>
        </is>
      </c>
      <c r="B4092" t="inlineStr">
        <is>
          <t>하림</t>
        </is>
      </c>
      <c r="C4092" t="inlineStr">
        <is>
          <t>136480</t>
        </is>
      </c>
      <c r="D4092" t="inlineStr">
        <is>
          <t>연결</t>
        </is>
      </c>
      <c r="E4092" t="inlineStr">
        <is>
          <t>2024Q3</t>
        </is>
      </c>
      <c r="F4092" s="2" t="n">
        <v>380986</v>
      </c>
      <c r="G4092" t="inlineStr"/>
      <c r="H4092" t="inlineStr"/>
      <c r="I4092" s="2" t="n">
        <v>27830</v>
      </c>
      <c r="J4092" t="inlineStr"/>
      <c r="K4092" t="inlineStr"/>
      <c r="L4092" s="2" t="n">
        <v>38662</v>
      </c>
      <c r="M4092" t="inlineStr"/>
      <c r="N4092" t="inlineStr">
        <is>
          <t>20241105900495</t>
        </is>
      </c>
      <c r="O4092">
        <f>HYPERLINK("https://dart.fss.or.kr/dsaf001/main.do?rcpNo=20241105900495", "공시열람")</f>
        <v/>
      </c>
    </row>
    <row r="4093">
      <c r="A4093" t="inlineStr">
        <is>
          <t>2024-11-05</t>
        </is>
      </c>
      <c r="B4093" t="inlineStr">
        <is>
          <t>인크로스</t>
        </is>
      </c>
      <c r="C4093" t="inlineStr">
        <is>
          <t>216050</t>
        </is>
      </c>
      <c r="D4093" t="inlineStr">
        <is>
          <t>별도</t>
        </is>
      </c>
      <c r="E4093" t="inlineStr">
        <is>
          <t>2024Q3</t>
        </is>
      </c>
      <c r="F4093" s="2" t="n">
        <v>11735</v>
      </c>
      <c r="G4093" t="inlineStr"/>
      <c r="H4093" t="inlineStr"/>
      <c r="I4093" s="2" t="n">
        <v>5141</v>
      </c>
      <c r="J4093" t="inlineStr"/>
      <c r="K4093" t="inlineStr"/>
      <c r="L4093" s="2" t="n">
        <v>4859</v>
      </c>
      <c r="M4093" t="inlineStr"/>
      <c r="N4093" t="inlineStr">
        <is>
          <t>20241105900063</t>
        </is>
      </c>
      <c r="O4093">
        <f>HYPERLINK("https://dart.fss.or.kr/dsaf001/main.do?rcpNo=20241105900063", "공시열람")</f>
        <v/>
      </c>
    </row>
    <row r="4094">
      <c r="A4094" t="inlineStr">
        <is>
          <t>2024-11-05</t>
        </is>
      </c>
      <c r="B4094" t="inlineStr">
        <is>
          <t>인크로스</t>
        </is>
      </c>
      <c r="C4094" t="inlineStr">
        <is>
          <t>216050</t>
        </is>
      </c>
      <c r="D4094" t="inlineStr">
        <is>
          <t>연결</t>
        </is>
      </c>
      <c r="E4094" t="inlineStr">
        <is>
          <t>2024Q3</t>
        </is>
      </c>
      <c r="F4094" s="2" t="n">
        <v>13260</v>
      </c>
      <c r="G4094" t="inlineStr"/>
      <c r="H4094" t="inlineStr"/>
      <c r="I4094" s="2" t="n">
        <v>5364</v>
      </c>
      <c r="J4094" t="inlineStr"/>
      <c r="K4094" t="inlineStr"/>
      <c r="L4094" s="2" t="n">
        <v>5043</v>
      </c>
      <c r="M4094" t="inlineStr"/>
      <c r="N4094" t="inlineStr">
        <is>
          <t>20241105900064</t>
        </is>
      </c>
      <c r="O4094">
        <f>HYPERLINK("https://dart.fss.or.kr/dsaf001/main.do?rcpNo=20241105900064", "공시열람")</f>
        <v/>
      </c>
    </row>
    <row r="4095">
      <c r="A4095" t="inlineStr">
        <is>
          <t>2024-11-05</t>
        </is>
      </c>
      <c r="B4095" t="inlineStr">
        <is>
          <t>DB하이텍</t>
        </is>
      </c>
      <c r="C4095" t="inlineStr">
        <is>
          <t>000990</t>
        </is>
      </c>
      <c r="D4095" t="inlineStr">
        <is>
          <t>연결</t>
        </is>
      </c>
      <c r="E4095" t="inlineStr">
        <is>
          <t>2024Q3</t>
        </is>
      </c>
      <c r="F4095" s="2" t="n">
        <v>289417</v>
      </c>
      <c r="G4095" t="n">
        <v>-3.01</v>
      </c>
      <c r="H4095" t="n">
        <v>8.07</v>
      </c>
      <c r="I4095" s="2" t="n">
        <v>49184</v>
      </c>
      <c r="J4095" t="n">
        <v>-27.08</v>
      </c>
      <c r="K4095" t="n">
        <v>-2.2</v>
      </c>
      <c r="L4095" s="2" t="n">
        <v>71368</v>
      </c>
      <c r="M4095" t="n">
        <v>35.93</v>
      </c>
      <c r="N4095" t="inlineStr">
        <is>
          <t>20241105800058</t>
        </is>
      </c>
      <c r="O4095">
        <f>HYPERLINK("https://dart.fss.or.kr/dsaf001/main.do?rcpNo=20241105800058", "공시열람")</f>
        <v/>
      </c>
    </row>
    <row r="4096">
      <c r="A4096" t="inlineStr">
        <is>
          <t>2024-11-05</t>
        </is>
      </c>
      <c r="B4096" t="inlineStr">
        <is>
          <t>더존비즈온</t>
        </is>
      </c>
      <c r="C4096" t="inlineStr">
        <is>
          <t>012510</t>
        </is>
      </c>
      <c r="D4096" t="inlineStr">
        <is>
          <t>연결</t>
        </is>
      </c>
      <c r="E4096" t="inlineStr">
        <is>
          <t>2024Q3</t>
        </is>
      </c>
      <c r="F4096" s="2" t="n">
        <v>97036</v>
      </c>
      <c r="G4096" t="n">
        <v>-2.4</v>
      </c>
      <c r="H4096" t="n">
        <v>14.5</v>
      </c>
      <c r="I4096" s="2" t="n">
        <v>20085</v>
      </c>
      <c r="J4096" t="n">
        <v>-1.6</v>
      </c>
      <c r="K4096" t="n">
        <v>29.4</v>
      </c>
      <c r="L4096" s="2" t="n">
        <v>10686</v>
      </c>
      <c r="M4096" t="n">
        <v>34.3</v>
      </c>
      <c r="N4096" t="inlineStr">
        <is>
          <t>20241105800059</t>
        </is>
      </c>
      <c r="O4096">
        <f>HYPERLINK("https://dart.fss.or.kr/dsaf001/main.do?rcpNo=20241105800059", "공시열람")</f>
        <v/>
      </c>
    </row>
    <row r="4097">
      <c r="A4097" t="inlineStr">
        <is>
          <t>2024-11-05</t>
        </is>
      </c>
      <c r="B4097" t="inlineStr">
        <is>
          <t>ISC</t>
        </is>
      </c>
      <c r="C4097" t="inlineStr">
        <is>
          <t>095340</t>
        </is>
      </c>
      <c r="D4097" t="inlineStr">
        <is>
          <t>연결</t>
        </is>
      </c>
      <c r="E4097" t="inlineStr">
        <is>
          <t>2024Q3</t>
        </is>
      </c>
      <c r="F4097" s="2" t="n">
        <v>50393</v>
      </c>
      <c r="G4097" t="inlineStr"/>
      <c r="H4097" t="inlineStr"/>
      <c r="I4097" s="2" t="n">
        <v>13814</v>
      </c>
      <c r="J4097" t="inlineStr"/>
      <c r="K4097" t="inlineStr"/>
      <c r="L4097" s="2" t="n">
        <v>11180</v>
      </c>
      <c r="M4097" t="inlineStr"/>
      <c r="N4097" t="inlineStr">
        <is>
          <t>20241105900061</t>
        </is>
      </c>
      <c r="O4097">
        <f>HYPERLINK("https://dart.fss.or.kr/dsaf001/main.do?rcpNo=20241105900061", "공시열람")</f>
        <v/>
      </c>
    </row>
    <row r="4098">
      <c r="A4098" t="inlineStr">
        <is>
          <t>2024-11-05</t>
        </is>
      </c>
      <c r="B4098" t="inlineStr">
        <is>
          <t>하이브</t>
        </is>
      </c>
      <c r="C4098" t="inlineStr">
        <is>
          <t>352820</t>
        </is>
      </c>
      <c r="D4098" t="inlineStr">
        <is>
          <t>연결</t>
        </is>
      </c>
      <c r="E4098" t="inlineStr">
        <is>
          <t>2024Q3</t>
        </is>
      </c>
      <c r="F4098" s="2" t="n">
        <v>527800</v>
      </c>
      <c r="G4098" t="n">
        <v>-17.6</v>
      </c>
      <c r="H4098" t="n">
        <v>-1.9</v>
      </c>
      <c r="I4098" s="2" t="n">
        <v>54200</v>
      </c>
      <c r="J4098" t="n">
        <v>6.4</v>
      </c>
      <c r="K4098" t="n">
        <v>-25.4</v>
      </c>
      <c r="L4098" s="2" t="n">
        <v>1400</v>
      </c>
      <c r="M4098" t="n">
        <v>-98.59999999999999</v>
      </c>
      <c r="N4098" t="inlineStr">
        <is>
          <t>20241105800077</t>
        </is>
      </c>
      <c r="O4098">
        <f>HYPERLINK("https://dart.fss.or.kr/dsaf001/main.do?rcpNo=20241105800077", "공시열람")</f>
        <v/>
      </c>
    </row>
    <row r="4099">
      <c r="A4099" t="inlineStr">
        <is>
          <t>2024-11-05</t>
        </is>
      </c>
      <c r="B4099" t="inlineStr">
        <is>
          <t>제이에스코퍼레이션</t>
        </is>
      </c>
      <c r="C4099" t="inlineStr">
        <is>
          <t>194370</t>
        </is>
      </c>
      <c r="D4099" t="inlineStr">
        <is>
          <t>연결</t>
        </is>
      </c>
      <c r="E4099" t="inlineStr">
        <is>
          <t>2024Q3</t>
        </is>
      </c>
      <c r="F4099" s="2" t="n">
        <v>361626</v>
      </c>
      <c r="G4099" t="n">
        <v>58.15</v>
      </c>
      <c r="H4099" t="n">
        <v>34.7</v>
      </c>
      <c r="I4099" s="2" t="n">
        <v>42781</v>
      </c>
      <c r="J4099" t="n">
        <v>63.73</v>
      </c>
      <c r="K4099" t="n">
        <v>32.35</v>
      </c>
      <c r="L4099" s="2" t="n">
        <v>113209</v>
      </c>
      <c r="M4099" t="n">
        <v>315.2</v>
      </c>
      <c r="N4099" t="inlineStr">
        <is>
          <t>20241105800086</t>
        </is>
      </c>
      <c r="O4099">
        <f>HYPERLINK("https://dart.fss.or.kr/dsaf001/main.do?rcpNo=20241105800086", "공시열람")</f>
        <v/>
      </c>
    </row>
    <row r="4100">
      <c r="A4100" t="inlineStr">
        <is>
          <t>2024-11-05</t>
        </is>
      </c>
      <c r="B4100" t="inlineStr">
        <is>
          <t>안랩</t>
        </is>
      </c>
      <c r="C4100" t="inlineStr">
        <is>
          <t>053800</t>
        </is>
      </c>
      <c r="D4100" t="inlineStr">
        <is>
          <t>연결</t>
        </is>
      </c>
      <c r="E4100" t="inlineStr">
        <is>
          <t>2024Q3</t>
        </is>
      </c>
      <c r="F4100" s="2" t="n">
        <v>68500</v>
      </c>
      <c r="G4100" t="inlineStr"/>
      <c r="H4100" t="inlineStr"/>
      <c r="I4100" s="2" t="n">
        <v>8529</v>
      </c>
      <c r="J4100" t="inlineStr"/>
      <c r="K4100" t="inlineStr"/>
      <c r="L4100" s="2" t="n">
        <v>9057</v>
      </c>
      <c r="M4100" t="inlineStr"/>
      <c r="N4100" t="inlineStr">
        <is>
          <t>20241105900115</t>
        </is>
      </c>
      <c r="O4100">
        <f>HYPERLINK("https://dart.fss.or.kr/dsaf001/main.do?rcpNo=20241105900115", "공시열람")</f>
        <v/>
      </c>
    </row>
    <row r="4101">
      <c r="A4101" t="inlineStr">
        <is>
          <t>2024-11-05</t>
        </is>
      </c>
      <c r="B4101" t="inlineStr">
        <is>
          <t>안랩</t>
        </is>
      </c>
      <c r="C4101" t="inlineStr">
        <is>
          <t>053800</t>
        </is>
      </c>
      <c r="D4101" t="inlineStr">
        <is>
          <t>별도</t>
        </is>
      </c>
      <c r="E4101" t="inlineStr">
        <is>
          <t>2024Q3</t>
        </is>
      </c>
      <c r="F4101" s="2" t="n">
        <v>61002</v>
      </c>
      <c r="G4101" t="inlineStr"/>
      <c r="H4101" t="inlineStr"/>
      <c r="I4101" s="2" t="n">
        <v>9554</v>
      </c>
      <c r="J4101" t="inlineStr"/>
      <c r="K4101" t="inlineStr"/>
      <c r="L4101" s="2" t="n">
        <v>14091</v>
      </c>
      <c r="M4101" t="inlineStr"/>
      <c r="N4101" t="inlineStr">
        <is>
          <t>20241105900116</t>
        </is>
      </c>
      <c r="O4101">
        <f>HYPERLINK("https://dart.fss.or.kr/dsaf001/main.do?rcpNo=20241105900116", "공시열람")</f>
        <v/>
      </c>
    </row>
    <row r="4102">
      <c r="A4102" t="inlineStr">
        <is>
          <t>2024-11-05</t>
        </is>
      </c>
      <c r="B4102" t="inlineStr">
        <is>
          <t>한화</t>
        </is>
      </c>
      <c r="C4102" t="inlineStr">
        <is>
          <t>000880</t>
        </is>
      </c>
      <c r="D4102" t="inlineStr">
        <is>
          <t>별도</t>
        </is>
      </c>
      <c r="E4102" t="inlineStr">
        <is>
          <t>2024Q3</t>
        </is>
      </c>
      <c r="F4102" s="2" t="n">
        <v>1256967</v>
      </c>
      <c r="G4102" t="n">
        <v>-19.24</v>
      </c>
      <c r="H4102" t="n">
        <v>-32.06</v>
      </c>
      <c r="I4102" s="2" t="n">
        <v>58887</v>
      </c>
      <c r="J4102" t="inlineStr"/>
      <c r="K4102" t="n">
        <v>-13.93</v>
      </c>
      <c r="L4102" s="2" t="n">
        <v>234823</v>
      </c>
      <c r="M4102" t="n">
        <v>1502.01</v>
      </c>
      <c r="N4102" t="inlineStr">
        <is>
          <t>20241105800146</t>
        </is>
      </c>
      <c r="O4102">
        <f>HYPERLINK("https://dart.fss.or.kr/dsaf001/main.do?rcpNo=20241105800146", "공시열람")</f>
        <v/>
      </c>
    </row>
    <row r="4103">
      <c r="A4103" t="inlineStr">
        <is>
          <t>2024-11-05</t>
        </is>
      </c>
      <c r="B4103" t="inlineStr">
        <is>
          <t>에스엠</t>
        </is>
      </c>
      <c r="C4103" t="inlineStr">
        <is>
          <t>041510</t>
        </is>
      </c>
      <c r="D4103" t="inlineStr">
        <is>
          <t>연결</t>
        </is>
      </c>
      <c r="E4103" t="inlineStr">
        <is>
          <t>2024Q3</t>
        </is>
      </c>
      <c r="F4103" s="2" t="n">
        <v>242224</v>
      </c>
      <c r="G4103" t="inlineStr"/>
      <c r="H4103" t="inlineStr"/>
      <c r="I4103" s="2" t="n">
        <v>13333</v>
      </c>
      <c r="J4103" t="inlineStr"/>
      <c r="K4103" t="inlineStr"/>
      <c r="L4103" s="2" t="n">
        <v>3702</v>
      </c>
      <c r="M4103" t="inlineStr"/>
      <c r="N4103" t="inlineStr">
        <is>
          <t>20241105900174</t>
        </is>
      </c>
      <c r="O4103">
        <f>HYPERLINK("https://dart.fss.or.kr/dsaf001/main.do?rcpNo=20241105900174", "공시열람")</f>
        <v/>
      </c>
    </row>
    <row r="4104">
      <c r="A4104" t="inlineStr">
        <is>
          <t>2024-11-05</t>
        </is>
      </c>
      <c r="B4104" t="inlineStr">
        <is>
          <t>롯데렌탈</t>
        </is>
      </c>
      <c r="C4104" t="inlineStr">
        <is>
          <t>089860</t>
        </is>
      </c>
      <c r="D4104" t="inlineStr">
        <is>
          <t>연결</t>
        </is>
      </c>
      <c r="E4104" t="inlineStr">
        <is>
          <t>2024Q3</t>
        </is>
      </c>
      <c r="F4104" s="2" t="n">
        <v>718491</v>
      </c>
      <c r="G4104" t="inlineStr"/>
      <c r="H4104" t="inlineStr"/>
      <c r="I4104" s="2" t="n">
        <v>80488</v>
      </c>
      <c r="J4104" t="inlineStr"/>
      <c r="K4104" t="inlineStr"/>
      <c r="L4104" s="2" t="n">
        <v>30952</v>
      </c>
      <c r="M4104" t="inlineStr"/>
      <c r="N4104" t="inlineStr">
        <is>
          <t>20241105800259</t>
        </is>
      </c>
      <c r="O4104">
        <f>HYPERLINK("https://dart.fss.or.kr/dsaf001/main.do?rcpNo=20241105800259", "공시열람")</f>
        <v/>
      </c>
    </row>
    <row r="4105">
      <c r="A4105" t="inlineStr">
        <is>
          <t>2024-11-05</t>
        </is>
      </c>
      <c r="B4105" t="inlineStr">
        <is>
          <t>롯데칠성음료</t>
        </is>
      </c>
      <c r="C4105" t="inlineStr">
        <is>
          <t>005300</t>
        </is>
      </c>
      <c r="D4105" t="inlineStr">
        <is>
          <t>연결</t>
        </is>
      </c>
      <c r="E4105" t="inlineStr">
        <is>
          <t>2024Q3</t>
        </is>
      </c>
      <c r="F4105" s="2" t="n">
        <v>1065041</v>
      </c>
      <c r="G4105" t="n">
        <v>-3.1</v>
      </c>
      <c r="H4105" t="n">
        <v>28.3</v>
      </c>
      <c r="I4105" s="2" t="n">
        <v>78719</v>
      </c>
      <c r="J4105" t="n">
        <v>30.7</v>
      </c>
      <c r="K4105" t="n">
        <v>-6.6</v>
      </c>
      <c r="L4105" s="2" t="n">
        <v>44484</v>
      </c>
      <c r="M4105" t="n">
        <v>-34.4</v>
      </c>
      <c r="N4105" t="inlineStr">
        <is>
          <t>20241105800255</t>
        </is>
      </c>
      <c r="O4105">
        <f>HYPERLINK("https://dart.fss.or.kr/dsaf001/main.do?rcpNo=20241105800255", "공시열람")</f>
        <v/>
      </c>
    </row>
    <row r="4106">
      <c r="A4106" t="inlineStr">
        <is>
          <t>2024-11-05</t>
        </is>
      </c>
      <c r="B4106" t="inlineStr">
        <is>
          <t>조이시티</t>
        </is>
      </c>
      <c r="C4106" t="inlineStr">
        <is>
          <t>067000</t>
        </is>
      </c>
      <c r="D4106" t="inlineStr">
        <is>
          <t>연결</t>
        </is>
      </c>
      <c r="E4106" t="inlineStr">
        <is>
          <t>2024Q3</t>
        </is>
      </c>
      <c r="F4106" s="2" t="n">
        <v>34002</v>
      </c>
      <c r="G4106" t="inlineStr"/>
      <c r="H4106" t="inlineStr"/>
      <c r="I4106" s="2" t="n">
        <v>1833</v>
      </c>
      <c r="J4106" t="inlineStr"/>
      <c r="K4106" t="inlineStr"/>
      <c r="L4106" s="2" t="n">
        <v>-771</v>
      </c>
      <c r="M4106" t="inlineStr"/>
      <c r="N4106" t="inlineStr">
        <is>
          <t>20241105900276</t>
        </is>
      </c>
      <c r="O4106">
        <f>HYPERLINK("https://dart.fss.or.kr/dsaf001/main.do?rcpNo=20241105900276", "공시열람")</f>
        <v/>
      </c>
    </row>
    <row r="4107">
      <c r="A4107" t="inlineStr">
        <is>
          <t>2024-11-05</t>
        </is>
      </c>
      <c r="B4107" t="inlineStr">
        <is>
          <t>한국앤컴퍼니</t>
        </is>
      </c>
      <c r="C4107" t="inlineStr">
        <is>
          <t>000240</t>
        </is>
      </c>
      <c r="D4107" t="inlineStr">
        <is>
          <t>연결</t>
        </is>
      </c>
      <c r="E4107" t="inlineStr">
        <is>
          <t>2024Q3</t>
        </is>
      </c>
      <c r="F4107" s="2" t="n">
        <v>381397</v>
      </c>
      <c r="G4107" t="inlineStr"/>
      <c r="H4107" t="inlineStr"/>
      <c r="I4107" s="2" t="n">
        <v>137276</v>
      </c>
      <c r="J4107" t="inlineStr"/>
      <c r="K4107" t="inlineStr"/>
      <c r="L4107" s="2" t="n">
        <v>120683</v>
      </c>
      <c r="M4107" t="inlineStr"/>
      <c r="N4107" t="inlineStr">
        <is>
          <t>20241105800265</t>
        </is>
      </c>
      <c r="O4107">
        <f>HYPERLINK("https://dart.fss.or.kr/dsaf001/main.do?rcpNo=20241105800265", "공시열람")</f>
        <v/>
      </c>
    </row>
    <row r="4108">
      <c r="A4108" t="inlineStr">
        <is>
          <t>2024-11-05</t>
        </is>
      </c>
      <c r="B4108" t="inlineStr">
        <is>
          <t>SK케미칼</t>
        </is>
      </c>
      <c r="C4108" t="inlineStr">
        <is>
          <t>285130</t>
        </is>
      </c>
      <c r="D4108" t="inlineStr">
        <is>
          <t>연결</t>
        </is>
      </c>
      <c r="E4108" t="inlineStr">
        <is>
          <t>2024Q3</t>
        </is>
      </c>
      <c r="F4108" s="2" t="n">
        <v>426348</v>
      </c>
      <c r="G4108" t="n">
        <v>3</v>
      </c>
      <c r="H4108" t="n">
        <v>-26.7</v>
      </c>
      <c r="I4108" s="2" t="n">
        <v>-12453</v>
      </c>
      <c r="J4108" t="inlineStr"/>
      <c r="K4108" t="inlineStr"/>
      <c r="L4108" s="2" t="n">
        <v>-10951</v>
      </c>
      <c r="M4108" t="inlineStr"/>
      <c r="N4108" t="inlineStr">
        <is>
          <t>20241105800319</t>
        </is>
      </c>
      <c r="O4108">
        <f>HYPERLINK("https://dart.fss.or.kr/dsaf001/main.do?rcpNo=20241105800319", "공시열람")</f>
        <v/>
      </c>
    </row>
    <row r="4109">
      <c r="A4109" t="inlineStr">
        <is>
          <t>2024-11-05</t>
        </is>
      </c>
      <c r="B4109" t="inlineStr">
        <is>
          <t>한샘</t>
        </is>
      </c>
      <c r="C4109" t="inlineStr">
        <is>
          <t>009240</t>
        </is>
      </c>
      <c r="D4109" t="inlineStr">
        <is>
          <t>연결</t>
        </is>
      </c>
      <c r="E4109" t="inlineStr">
        <is>
          <t>2024Q3</t>
        </is>
      </c>
      <c r="F4109" s="2" t="n">
        <v>454095</v>
      </c>
      <c r="G4109" t="n">
        <v>-5</v>
      </c>
      <c r="H4109" t="n">
        <v>-5.6</v>
      </c>
      <c r="I4109" s="2" t="n">
        <v>7286</v>
      </c>
      <c r="J4109" t="n">
        <v>2.8</v>
      </c>
      <c r="K4109" t="n">
        <v>48.1</v>
      </c>
      <c r="L4109" s="2" t="n">
        <v>93045</v>
      </c>
      <c r="M4109" t="inlineStr"/>
      <c r="N4109" t="inlineStr">
        <is>
          <t>20241105800401</t>
        </is>
      </c>
      <c r="O4109">
        <f>HYPERLINK("https://dart.fss.or.kr/dsaf001/main.do?rcpNo=20241105800401", "공시열람")</f>
        <v/>
      </c>
    </row>
    <row r="4110">
      <c r="A4110" t="inlineStr">
        <is>
          <t>2024-11-05</t>
        </is>
      </c>
      <c r="B4110" t="inlineStr">
        <is>
          <t>현대홈쇼핑</t>
        </is>
      </c>
      <c r="C4110" t="inlineStr">
        <is>
          <t>057050</t>
        </is>
      </c>
      <c r="D4110" t="inlineStr">
        <is>
          <t>연결</t>
        </is>
      </c>
      <c r="E4110" t="inlineStr">
        <is>
          <t>2024Q3</t>
        </is>
      </c>
      <c r="F4110" s="2" t="n">
        <v>899545</v>
      </c>
      <c r="G4110" t="inlineStr"/>
      <c r="H4110" t="inlineStr"/>
      <c r="I4110" s="2" t="n">
        <v>18243</v>
      </c>
      <c r="J4110" t="inlineStr"/>
      <c r="K4110" t="inlineStr"/>
      <c r="L4110" s="2" t="n">
        <v>26565</v>
      </c>
      <c r="M4110" t="inlineStr"/>
      <c r="N4110" t="inlineStr">
        <is>
          <t>20241105800433</t>
        </is>
      </c>
      <c r="O4110">
        <f>HYPERLINK("https://dart.fss.or.kr/dsaf001/main.do?rcpNo=20241105800433", "공시열람")</f>
        <v/>
      </c>
    </row>
    <row r="4111">
      <c r="A4111" t="inlineStr">
        <is>
          <t>2024-11-05</t>
        </is>
      </c>
      <c r="B4111" t="inlineStr">
        <is>
          <t>위메이드플레이</t>
        </is>
      </c>
      <c r="C4111" t="inlineStr">
        <is>
          <t>123420</t>
        </is>
      </c>
      <c r="D4111" t="inlineStr">
        <is>
          <t>연결</t>
        </is>
      </c>
      <c r="E4111" t="inlineStr">
        <is>
          <t>2024Q3</t>
        </is>
      </c>
      <c r="F4111" s="2" t="n">
        <v>29026</v>
      </c>
      <c r="G4111" t="inlineStr"/>
      <c r="H4111" t="inlineStr"/>
      <c r="I4111" s="2" t="n">
        <v>-959</v>
      </c>
      <c r="J4111" t="inlineStr"/>
      <c r="K4111" t="inlineStr"/>
      <c r="L4111" s="2" t="n">
        <v>-721</v>
      </c>
      <c r="M4111" t="inlineStr"/>
      <c r="N4111" t="inlineStr">
        <is>
          <t>20241105900337</t>
        </is>
      </c>
      <c r="O4111">
        <f>HYPERLINK("https://dart.fss.or.kr/dsaf001/main.do?rcpNo=20241105900337", "공시열람")</f>
        <v/>
      </c>
    </row>
    <row r="4112">
      <c r="A4112" t="inlineStr">
        <is>
          <t>2024-11-05</t>
        </is>
      </c>
      <c r="B4112" t="inlineStr">
        <is>
          <t>현대이지웰</t>
        </is>
      </c>
      <c r="C4112" t="inlineStr">
        <is>
          <t>090850</t>
        </is>
      </c>
      <c r="D4112" t="inlineStr">
        <is>
          <t>연결</t>
        </is>
      </c>
      <c r="E4112" t="inlineStr">
        <is>
          <t>2024Q3</t>
        </is>
      </c>
      <c r="F4112" s="2" t="n">
        <v>34251</v>
      </c>
      <c r="G4112" t="inlineStr"/>
      <c r="H4112" t="inlineStr"/>
      <c r="I4112" s="2" t="n">
        <v>3789</v>
      </c>
      <c r="J4112" t="inlineStr"/>
      <c r="K4112" t="inlineStr"/>
      <c r="L4112" s="2" t="n">
        <v>3621</v>
      </c>
      <c r="M4112" t="inlineStr"/>
      <c r="N4112" t="inlineStr">
        <is>
          <t>20241105900357</t>
        </is>
      </c>
      <c r="O4112">
        <f>HYPERLINK("https://dart.fss.or.kr/dsaf001/main.do?rcpNo=20241105900357", "공시열람")</f>
        <v/>
      </c>
    </row>
    <row r="4113">
      <c r="A4113" t="inlineStr">
        <is>
          <t>2024-11-05</t>
        </is>
      </c>
      <c r="B4113" t="inlineStr">
        <is>
          <t>하나투어</t>
        </is>
      </c>
      <c r="C4113" t="inlineStr">
        <is>
          <t>039130</t>
        </is>
      </c>
      <c r="D4113" t="inlineStr">
        <is>
          <t>연결</t>
        </is>
      </c>
      <c r="E4113" t="inlineStr">
        <is>
          <t>2024Q3</t>
        </is>
      </c>
      <c r="F4113" s="2" t="n">
        <v>159393</v>
      </c>
      <c r="G4113" t="n">
        <v>21.06</v>
      </c>
      <c r="H4113" t="n">
        <v>25.81</v>
      </c>
      <c r="I4113" s="2" t="n">
        <v>12026</v>
      </c>
      <c r="J4113" t="n">
        <v>228.04</v>
      </c>
      <c r="K4113" t="n">
        <v>-8.99</v>
      </c>
      <c r="L4113" s="2" t="n">
        <v>13609</v>
      </c>
      <c r="M4113" t="n">
        <v>-15.3</v>
      </c>
      <c r="N4113" t="inlineStr">
        <is>
          <t>20241105800331</t>
        </is>
      </c>
      <c r="O4113">
        <f>HYPERLINK("https://dart.fss.or.kr/dsaf001/main.do?rcpNo=20241105800331", "공시열람")</f>
        <v/>
      </c>
    </row>
    <row r="4114">
      <c r="A4114" t="inlineStr">
        <is>
          <t>2024-11-05</t>
        </is>
      </c>
      <c r="B4114" t="inlineStr">
        <is>
          <t>위메이드맥스</t>
        </is>
      </c>
      <c r="C4114" t="inlineStr">
        <is>
          <t>101730</t>
        </is>
      </c>
      <c r="D4114" t="inlineStr">
        <is>
          <t>연결</t>
        </is>
      </c>
      <c r="E4114" t="inlineStr">
        <is>
          <t>2024Q3</t>
        </is>
      </c>
      <c r="F4114" s="2" t="n">
        <v>18986</v>
      </c>
      <c r="G4114" t="inlineStr"/>
      <c r="H4114" t="inlineStr"/>
      <c r="I4114" s="2" t="n">
        <v>-2130</v>
      </c>
      <c r="J4114" t="inlineStr"/>
      <c r="K4114" t="inlineStr"/>
      <c r="L4114" s="2" t="n">
        <v>-4841</v>
      </c>
      <c r="M4114" t="inlineStr"/>
      <c r="N4114" t="inlineStr">
        <is>
          <t>20241105900339</t>
        </is>
      </c>
      <c r="O4114">
        <f>HYPERLINK("https://dart.fss.or.kr/dsaf001/main.do?rcpNo=20241105900339", "공시열람")</f>
        <v/>
      </c>
    </row>
    <row r="4115">
      <c r="A4115" t="inlineStr">
        <is>
          <t>2024-11-05</t>
        </is>
      </c>
      <c r="B4115" t="inlineStr">
        <is>
          <t>신세계I&amp;C</t>
        </is>
      </c>
      <c r="C4115" t="inlineStr">
        <is>
          <t>035510</t>
        </is>
      </c>
      <c r="D4115" t="inlineStr">
        <is>
          <t>연결</t>
        </is>
      </c>
      <c r="E4115" t="inlineStr">
        <is>
          <t>2024Q3</t>
        </is>
      </c>
      <c r="F4115" s="2" t="n">
        <v>144096</v>
      </c>
      <c r="G4115" t="n">
        <v>-0.48</v>
      </c>
      <c r="H4115" t="n">
        <v>-2.61</v>
      </c>
      <c r="I4115" s="2" t="n">
        <v>5706</v>
      </c>
      <c r="J4115" t="n">
        <v>-45.69</v>
      </c>
      <c r="K4115" t="n">
        <v>-33.82</v>
      </c>
      <c r="L4115" s="2" t="n">
        <v>5096</v>
      </c>
      <c r="M4115" t="n">
        <v>-29.51</v>
      </c>
      <c r="N4115" t="inlineStr">
        <is>
          <t>20241105800520</t>
        </is>
      </c>
      <c r="O4115">
        <f>HYPERLINK("https://dart.fss.or.kr/dsaf001/main.do?rcpNo=20241105800520", "공시열람")</f>
        <v/>
      </c>
    </row>
    <row r="4116">
      <c r="A4116" t="inlineStr">
        <is>
          <t>2024-11-05</t>
        </is>
      </c>
      <c r="B4116" t="inlineStr">
        <is>
          <t>한국석유공업</t>
        </is>
      </c>
      <c r="C4116" t="inlineStr">
        <is>
          <t>004090</t>
        </is>
      </c>
      <c r="D4116" t="inlineStr">
        <is>
          <t>연결</t>
        </is>
      </c>
      <c r="E4116" t="inlineStr">
        <is>
          <t>2024Q3</t>
        </is>
      </c>
      <c r="F4116" s="2" t="n">
        <v>174521</v>
      </c>
      <c r="G4116" t="n">
        <v>-9.1</v>
      </c>
      <c r="H4116" t="n">
        <v>0.8</v>
      </c>
      <c r="I4116" s="2" t="n">
        <v>2528</v>
      </c>
      <c r="J4116" t="n">
        <v>-58.6</v>
      </c>
      <c r="K4116" t="n">
        <v>-32.5</v>
      </c>
      <c r="L4116" s="2" t="n">
        <v>5981</v>
      </c>
      <c r="M4116" t="n">
        <v>131.4</v>
      </c>
      <c r="N4116" t="inlineStr">
        <is>
          <t>20241105800272</t>
        </is>
      </c>
      <c r="O4116">
        <f>HYPERLINK("https://dart.fss.or.kr/dsaf001/main.do?rcpNo=20241105800272", "공시열람")</f>
        <v/>
      </c>
    </row>
    <row r="4117">
      <c r="A4117" t="inlineStr">
        <is>
          <t>2024-11-05</t>
        </is>
      </c>
      <c r="B4117" t="inlineStr">
        <is>
          <t>SKC</t>
        </is>
      </c>
      <c r="C4117" t="inlineStr">
        <is>
          <t>011790</t>
        </is>
      </c>
      <c r="D4117" t="inlineStr">
        <is>
          <t>연결</t>
        </is>
      </c>
      <c r="E4117" t="inlineStr">
        <is>
          <t>2024Q3</t>
        </is>
      </c>
      <c r="F4117" s="2" t="n">
        <v>462300</v>
      </c>
      <c r="G4117" t="inlineStr"/>
      <c r="H4117" t="inlineStr"/>
      <c r="I4117" s="2" t="n">
        <v>-62000</v>
      </c>
      <c r="J4117" t="inlineStr"/>
      <c r="K4117" t="inlineStr"/>
      <c r="L4117" s="2" t="n">
        <v>-49500</v>
      </c>
      <c r="M4117" t="inlineStr"/>
      <c r="N4117" t="inlineStr">
        <is>
          <t>20241105800212</t>
        </is>
      </c>
      <c r="O4117">
        <f>HYPERLINK("https://dart.fss.or.kr/dsaf001/main.do?rcpNo=20241105800212", "공시열람")</f>
        <v/>
      </c>
    </row>
    <row r="4118">
      <c r="A4118" t="inlineStr">
        <is>
          <t>2024-11-05</t>
        </is>
      </c>
      <c r="B4118" t="inlineStr">
        <is>
          <t>카카오페이</t>
        </is>
      </c>
      <c r="C4118" t="inlineStr">
        <is>
          <t>377300</t>
        </is>
      </c>
      <c r="D4118" t="inlineStr">
        <is>
          <t>연결</t>
        </is>
      </c>
      <c r="E4118" t="inlineStr">
        <is>
          <t>2024Q3</t>
        </is>
      </c>
      <c r="F4118" s="2" t="n">
        <v>186209</v>
      </c>
      <c r="G4118" t="n">
        <v>0.4</v>
      </c>
      <c r="H4118" t="n">
        <v>17.2</v>
      </c>
      <c r="I4118" s="2" t="n">
        <v>-7488</v>
      </c>
      <c r="J4118" t="n">
        <v>-3</v>
      </c>
      <c r="K4118" t="n">
        <v>21.4</v>
      </c>
      <c r="L4118" s="2" t="n">
        <v>-27529</v>
      </c>
      <c r="M4118" t="n">
        <v>-236.5</v>
      </c>
      <c r="N4118" t="inlineStr">
        <is>
          <t>20241105800195</t>
        </is>
      </c>
      <c r="O4118">
        <f>HYPERLINK("https://dart.fss.or.kr/dsaf001/main.do?rcpNo=20241105800195", "공시열람")</f>
        <v/>
      </c>
    </row>
    <row r="4119">
      <c r="A4119" t="inlineStr">
        <is>
          <t>2024-11-05</t>
        </is>
      </c>
      <c r="B4119" t="inlineStr">
        <is>
          <t>카카오페이</t>
        </is>
      </c>
      <c r="C4119" t="inlineStr">
        <is>
          <t>377300</t>
        </is>
      </c>
      <c r="D4119" t="inlineStr">
        <is>
          <t>별도</t>
        </is>
      </c>
      <c r="E4119" t="inlineStr">
        <is>
          <t>2024Q3</t>
        </is>
      </c>
      <c r="F4119" s="2" t="n">
        <v>156080</v>
      </c>
      <c r="G4119" t="n">
        <v>1.2</v>
      </c>
      <c r="H4119" t="n">
        <v>9.9</v>
      </c>
      <c r="I4119" s="2" t="n">
        <v>9391</v>
      </c>
      <c r="J4119" t="n">
        <v>-16.9</v>
      </c>
      <c r="K4119" t="n">
        <v>-21.9</v>
      </c>
      <c r="L4119" s="2" t="n">
        <v>-9523</v>
      </c>
      <c r="M4119" t="inlineStr"/>
      <c r="N4119" t="inlineStr">
        <is>
          <t>20241105800192</t>
        </is>
      </c>
      <c r="O4119">
        <f>HYPERLINK("https://dart.fss.or.kr/dsaf001/main.do?rcpNo=20241105800192", "공시열람")</f>
        <v/>
      </c>
    </row>
    <row r="4120">
      <c r="A4120" t="inlineStr">
        <is>
          <t>2024-11-05</t>
        </is>
      </c>
      <c r="B4120" t="inlineStr">
        <is>
          <t>에스엠</t>
        </is>
      </c>
      <c r="C4120" t="inlineStr">
        <is>
          <t>041510</t>
        </is>
      </c>
      <c r="D4120" t="inlineStr">
        <is>
          <t>별도</t>
        </is>
      </c>
      <c r="E4120" t="inlineStr">
        <is>
          <t>2024Q3</t>
        </is>
      </c>
      <c r="F4120" s="2" t="n">
        <v>172114</v>
      </c>
      <c r="G4120" t="inlineStr"/>
      <c r="H4120" t="inlineStr"/>
      <c r="I4120" s="2" t="n">
        <v>27051</v>
      </c>
      <c r="J4120" t="inlineStr"/>
      <c r="K4120" t="inlineStr"/>
      <c r="L4120" s="2" t="n">
        <v>15996</v>
      </c>
      <c r="M4120" t="inlineStr"/>
      <c r="N4120" t="inlineStr">
        <is>
          <t>20241105900175</t>
        </is>
      </c>
      <c r="O4120">
        <f>HYPERLINK("https://dart.fss.or.kr/dsaf001/main.do?rcpNo=20241105900175", "공시열람")</f>
        <v/>
      </c>
    </row>
    <row r="4121">
      <c r="A4121" t="inlineStr">
        <is>
          <t>2024-11-05</t>
        </is>
      </c>
      <c r="B4121" t="inlineStr">
        <is>
          <t>위메이드</t>
        </is>
      </c>
      <c r="C4121" t="inlineStr">
        <is>
          <t>112040</t>
        </is>
      </c>
      <c r="D4121" t="inlineStr">
        <is>
          <t>연결</t>
        </is>
      </c>
      <c r="E4121" t="inlineStr">
        <is>
          <t>2024Q3</t>
        </is>
      </c>
      <c r="F4121" s="2" t="n">
        <v>214361</v>
      </c>
      <c r="G4121" t="inlineStr"/>
      <c r="H4121" t="inlineStr"/>
      <c r="I4121" s="2" t="n">
        <v>51788</v>
      </c>
      <c r="J4121" t="inlineStr"/>
      <c r="K4121" t="inlineStr"/>
      <c r="L4121" s="2" t="n">
        <v>35886</v>
      </c>
      <c r="M4121" t="inlineStr"/>
      <c r="N4121" t="inlineStr">
        <is>
          <t>20241105900329</t>
        </is>
      </c>
      <c r="O4121">
        <f>HYPERLINK("https://dart.fss.or.kr/dsaf001/main.do?rcpNo=20241105900329", "공시열람")</f>
        <v/>
      </c>
    </row>
    <row r="4122">
      <c r="A4122" t="inlineStr">
        <is>
          <t>2024-11-05</t>
        </is>
      </c>
      <c r="B4122" t="inlineStr">
        <is>
          <t>SK케미칼</t>
        </is>
      </c>
      <c r="C4122" t="inlineStr">
        <is>
          <t>285130</t>
        </is>
      </c>
      <c r="D4122" t="inlineStr">
        <is>
          <t>별도</t>
        </is>
      </c>
      <c r="E4122" t="inlineStr">
        <is>
          <t>2024Q3</t>
        </is>
      </c>
      <c r="F4122" s="2" t="n">
        <v>331908</v>
      </c>
      <c r="G4122" t="n">
        <v>-3.8</v>
      </c>
      <c r="H4122" t="n">
        <v>11.3</v>
      </c>
      <c r="I4122" s="2" t="n">
        <v>29491</v>
      </c>
      <c r="J4122" t="n">
        <v>-5.7</v>
      </c>
      <c r="K4122" t="n">
        <v>23.6</v>
      </c>
      <c r="L4122" s="2" t="n">
        <v>14955</v>
      </c>
      <c r="M4122" t="n">
        <v>6.6</v>
      </c>
      <c r="N4122" t="inlineStr">
        <is>
          <t>20241105800317</t>
        </is>
      </c>
      <c r="O4122">
        <f>HYPERLINK("https://dart.fss.or.kr/dsaf001/main.do?rcpNo=20241105800317", "공시열람")</f>
        <v/>
      </c>
    </row>
    <row r="4123">
      <c r="A4123" t="inlineStr">
        <is>
          <t>2024-11-04</t>
        </is>
      </c>
      <c r="B4123" t="inlineStr">
        <is>
          <t>한국타이어앤테크놀로지</t>
        </is>
      </c>
      <c r="C4123" t="inlineStr">
        <is>
          <t>161390</t>
        </is>
      </c>
      <c r="D4123" t="inlineStr">
        <is>
          <t>연결</t>
        </is>
      </c>
      <c r="E4123" t="inlineStr">
        <is>
          <t>2024Q3</t>
        </is>
      </c>
      <c r="F4123" s="2" t="n">
        <v>2435262</v>
      </c>
      <c r="G4123" t="inlineStr"/>
      <c r="H4123" t="inlineStr"/>
      <c r="I4123" s="2" t="n">
        <v>470229</v>
      </c>
      <c r="J4123" t="inlineStr"/>
      <c r="K4123" t="inlineStr"/>
      <c r="L4123" s="2" t="n">
        <v>385556</v>
      </c>
      <c r="M4123" t="inlineStr"/>
      <c r="N4123" t="inlineStr">
        <is>
          <t>20241104800211</t>
        </is>
      </c>
      <c r="O4123">
        <f>HYPERLINK("https://dart.fss.or.kr/dsaf001/main.do?rcpNo=20241104800211", "공시열람")</f>
        <v/>
      </c>
    </row>
    <row r="4124">
      <c r="A4124" t="inlineStr">
        <is>
          <t>2024-11-04</t>
        </is>
      </c>
      <c r="B4124" t="inlineStr">
        <is>
          <t>대교</t>
        </is>
      </c>
      <c r="C4124" t="inlineStr">
        <is>
          <t>019680</t>
        </is>
      </c>
      <c r="D4124" t="inlineStr">
        <is>
          <t>연결</t>
        </is>
      </c>
      <c r="E4124" t="inlineStr">
        <is>
          <t>2024Q3</t>
        </is>
      </c>
      <c r="F4124" s="2" t="n">
        <v>168900</v>
      </c>
      <c r="G4124" t="n">
        <v>5.3</v>
      </c>
      <c r="H4124" t="n">
        <v>4.5</v>
      </c>
      <c r="I4124" s="2" t="n">
        <v>7900</v>
      </c>
      <c r="J4124" t="inlineStr"/>
      <c r="K4124" t="inlineStr"/>
      <c r="L4124" s="2" t="n">
        <v>4700</v>
      </c>
      <c r="M4124" t="inlineStr"/>
      <c r="N4124" t="inlineStr">
        <is>
          <t>20241104800140</t>
        </is>
      </c>
      <c r="O4124">
        <f>HYPERLINK("https://dart.fss.or.kr/dsaf001/main.do?rcpNo=20241104800140", "공시열람")</f>
        <v/>
      </c>
    </row>
    <row r="4125">
      <c r="A4125" t="inlineStr">
        <is>
          <t>2024-11-04</t>
        </is>
      </c>
      <c r="B4125" t="inlineStr">
        <is>
          <t>영화금속</t>
        </is>
      </c>
      <c r="C4125" t="inlineStr">
        <is>
          <t>012280</t>
        </is>
      </c>
      <c r="D4125" t="inlineStr">
        <is>
          <t>별도</t>
        </is>
      </c>
      <c r="E4125" t="inlineStr">
        <is>
          <t>2024Q3</t>
        </is>
      </c>
      <c r="F4125" s="2" t="n">
        <v>81595</v>
      </c>
      <c r="G4125" t="n">
        <v>3.2</v>
      </c>
      <c r="H4125" t="n">
        <v>10.8</v>
      </c>
      <c r="I4125" s="2" t="n">
        <v>2177</v>
      </c>
      <c r="J4125" t="n">
        <v>7.4</v>
      </c>
      <c r="K4125" t="n">
        <v>37.7</v>
      </c>
      <c r="L4125" s="2" t="n">
        <v>2274</v>
      </c>
      <c r="M4125" t="n">
        <v>41.6</v>
      </c>
      <c r="N4125" t="inlineStr">
        <is>
          <t>20241104800195</t>
        </is>
      </c>
      <c r="O4125">
        <f>HYPERLINK("https://dart.fss.or.kr/dsaf001/main.do?rcpNo=20241104800195", "공시열람")</f>
        <v/>
      </c>
    </row>
    <row r="4126">
      <c r="A4126" t="inlineStr">
        <is>
          <t>2024-11-04</t>
        </is>
      </c>
      <c r="B4126" t="inlineStr">
        <is>
          <t>윈스테크넷</t>
        </is>
      </c>
      <c r="C4126" t="inlineStr">
        <is>
          <t>136540</t>
        </is>
      </c>
      <c r="D4126" t="inlineStr">
        <is>
          <t>별도</t>
        </is>
      </c>
      <c r="E4126" t="inlineStr">
        <is>
          <t>2024Q3</t>
        </is>
      </c>
      <c r="F4126" s="2" t="n">
        <v>19955</v>
      </c>
      <c r="G4126" t="inlineStr"/>
      <c r="H4126" t="inlineStr"/>
      <c r="I4126" s="2" t="n">
        <v>4138</v>
      </c>
      <c r="J4126" t="inlineStr"/>
      <c r="K4126" t="inlineStr"/>
      <c r="L4126" s="2" t="n">
        <v>4694</v>
      </c>
      <c r="M4126" t="inlineStr"/>
      <c r="N4126" t="inlineStr">
        <is>
          <t>20241104900445</t>
        </is>
      </c>
      <c r="O4126">
        <f>HYPERLINK("https://dart.fss.or.kr/dsaf001/main.do?rcpNo=20241104900445", "공시열람")</f>
        <v/>
      </c>
    </row>
    <row r="4127">
      <c r="A4127" t="inlineStr">
        <is>
          <t>2024-11-04</t>
        </is>
      </c>
      <c r="B4127" t="inlineStr">
        <is>
          <t>지누스</t>
        </is>
      </c>
      <c r="C4127" t="inlineStr">
        <is>
          <t>013890</t>
        </is>
      </c>
      <c r="D4127" t="inlineStr">
        <is>
          <t>연결</t>
        </is>
      </c>
      <c r="E4127" t="inlineStr">
        <is>
          <t>2024Q3</t>
        </is>
      </c>
      <c r="F4127" s="2" t="n">
        <v>272870</v>
      </c>
      <c r="G4127" t="n">
        <v>32.3</v>
      </c>
      <c r="H4127" t="n">
        <v>23.2</v>
      </c>
      <c r="I4127" s="2" t="n">
        <v>11922</v>
      </c>
      <c r="J4127" t="inlineStr"/>
      <c r="K4127" t="n">
        <v>277.1</v>
      </c>
      <c r="L4127" s="2" t="n">
        <v>-2948</v>
      </c>
      <c r="M4127" t="inlineStr"/>
      <c r="N4127" t="inlineStr">
        <is>
          <t>20241104800153</t>
        </is>
      </c>
      <c r="O4127">
        <f>HYPERLINK("https://dart.fss.or.kr/dsaf001/main.do?rcpNo=20241104800153", "공시열람")</f>
        <v/>
      </c>
    </row>
    <row r="4128">
      <c r="A4128" t="inlineStr">
        <is>
          <t>2024-11-04</t>
        </is>
      </c>
      <c r="B4128" t="inlineStr">
        <is>
          <t>현대퓨처넷</t>
        </is>
      </c>
      <c r="C4128" t="inlineStr">
        <is>
          <t>126560</t>
        </is>
      </c>
      <c r="D4128" t="inlineStr">
        <is>
          <t>연결</t>
        </is>
      </c>
      <c r="E4128" t="inlineStr">
        <is>
          <t>2024Q3</t>
        </is>
      </c>
      <c r="F4128" s="2" t="n">
        <v>68365</v>
      </c>
      <c r="G4128" t="n">
        <v>44.2</v>
      </c>
      <c r="H4128" t="n">
        <v>62.8</v>
      </c>
      <c r="I4128" s="2" t="n">
        <v>3022</v>
      </c>
      <c r="J4128" t="n">
        <v>-19.7</v>
      </c>
      <c r="K4128" t="n">
        <v>169</v>
      </c>
      <c r="L4128" s="2" t="n">
        <v>5071</v>
      </c>
      <c r="M4128" t="n">
        <v>0.4</v>
      </c>
      <c r="N4128" t="inlineStr">
        <is>
          <t>20241104800157</t>
        </is>
      </c>
      <c r="O4128">
        <f>HYPERLINK("https://dart.fss.or.kr/dsaf001/main.do?rcpNo=20241104800157", "공시열람")</f>
        <v/>
      </c>
    </row>
    <row r="4129">
      <c r="A4129" t="inlineStr">
        <is>
          <t>2024-11-04</t>
        </is>
      </c>
      <c r="B4129" t="inlineStr">
        <is>
          <t>케이씨씨</t>
        </is>
      </c>
      <c r="C4129" t="inlineStr">
        <is>
          <t>002380</t>
        </is>
      </c>
      <c r="D4129" t="inlineStr">
        <is>
          <t>연결</t>
        </is>
      </c>
      <c r="E4129" t="inlineStr">
        <is>
          <t>2024Q3</t>
        </is>
      </c>
      <c r="F4129" s="2" t="n">
        <v>1634208</v>
      </c>
      <c r="G4129" t="n">
        <v>-8.1</v>
      </c>
      <c r="H4129" t="n">
        <v>5.2</v>
      </c>
      <c r="I4129" s="2" t="n">
        <v>125329</v>
      </c>
      <c r="J4129" t="n">
        <v>-10.8</v>
      </c>
      <c r="K4129" t="n">
        <v>41.7</v>
      </c>
      <c r="L4129" s="2" t="n">
        <v>-42308</v>
      </c>
      <c r="M4129" t="inlineStr"/>
      <c r="N4129" t="inlineStr">
        <is>
          <t>20241104800177</t>
        </is>
      </c>
      <c r="O4129">
        <f>HYPERLINK("https://dart.fss.or.kr/dsaf001/main.do?rcpNo=20241104800177", "공시열람")</f>
        <v/>
      </c>
    </row>
    <row r="4130">
      <c r="A4130" t="inlineStr">
        <is>
          <t>2024-11-04</t>
        </is>
      </c>
      <c r="B4130" t="inlineStr">
        <is>
          <t>S-Oil</t>
        </is>
      </c>
      <c r="C4130" t="inlineStr">
        <is>
          <t>010950</t>
        </is>
      </c>
      <c r="D4130" t="inlineStr">
        <is>
          <t>연결</t>
        </is>
      </c>
      <c r="E4130" t="inlineStr">
        <is>
          <t>2024Q3</t>
        </is>
      </c>
      <c r="F4130" s="2" t="n">
        <v>8840623</v>
      </c>
      <c r="G4130" t="inlineStr"/>
      <c r="H4130" t="inlineStr"/>
      <c r="I4130" s="2" t="n">
        <v>-414948</v>
      </c>
      <c r="J4130" t="inlineStr"/>
      <c r="K4130" t="inlineStr"/>
      <c r="L4130" s="2" t="n">
        <v>-206188</v>
      </c>
      <c r="M4130" t="inlineStr"/>
      <c r="N4130" t="inlineStr">
        <is>
          <t>20241104800189</t>
        </is>
      </c>
      <c r="O4130">
        <f>HYPERLINK("https://dart.fss.or.kr/dsaf001/main.do?rcpNo=20241104800189", "공시열람")</f>
        <v/>
      </c>
    </row>
    <row r="4131">
      <c r="A4131" t="inlineStr">
        <is>
          <t>2024-11-04</t>
        </is>
      </c>
      <c r="B4131" t="inlineStr">
        <is>
          <t>보락</t>
        </is>
      </c>
      <c r="C4131" t="inlineStr">
        <is>
          <t>002760</t>
        </is>
      </c>
      <c r="D4131" t="inlineStr">
        <is>
          <t>별도</t>
        </is>
      </c>
      <c r="E4131" t="inlineStr">
        <is>
          <t>2024Q3</t>
        </is>
      </c>
      <c r="F4131" s="2" t="n">
        <v>12626</v>
      </c>
      <c r="G4131" t="n">
        <v>6.76</v>
      </c>
      <c r="H4131" t="n">
        <v>9.220000000000001</v>
      </c>
      <c r="I4131" s="2" t="n">
        <v>616</v>
      </c>
      <c r="J4131" t="n">
        <v>86.67</v>
      </c>
      <c r="K4131" t="n">
        <v>2364</v>
      </c>
      <c r="L4131" s="2" t="n">
        <v>594</v>
      </c>
      <c r="M4131" t="n">
        <v>318.31</v>
      </c>
      <c r="N4131" t="inlineStr">
        <is>
          <t>20241104800200</t>
        </is>
      </c>
      <c r="O4131">
        <f>HYPERLINK("https://dart.fss.or.kr/dsaf001/main.do?rcpNo=20241104800200", "공시열람")</f>
        <v/>
      </c>
    </row>
    <row r="4132">
      <c r="A4132" t="inlineStr">
        <is>
          <t>2024-11-04</t>
        </is>
      </c>
      <c r="B4132" t="inlineStr">
        <is>
          <t>노을</t>
        </is>
      </c>
      <c r="C4132" t="inlineStr">
        <is>
          <t>376930</t>
        </is>
      </c>
      <c r="D4132" t="inlineStr">
        <is>
          <t>연결</t>
        </is>
      </c>
      <c r="E4132" t="inlineStr">
        <is>
          <t>2024Q3</t>
        </is>
      </c>
      <c r="F4132" s="2" t="n">
        <v>1359</v>
      </c>
      <c r="G4132" t="inlineStr"/>
      <c r="H4132" t="inlineStr"/>
      <c r="I4132" s="2" t="n">
        <v>-4388</v>
      </c>
      <c r="J4132" t="inlineStr"/>
      <c r="K4132" t="inlineStr"/>
      <c r="L4132" s="2" t="inlineStr"/>
      <c r="M4132" t="inlineStr"/>
      <c r="N4132" t="inlineStr">
        <is>
          <t>20241104900607</t>
        </is>
      </c>
      <c r="O4132">
        <f>HYPERLINK("https://dart.fss.or.kr/dsaf001/main.do?rcpNo=20241104900607", "공시열람")</f>
        <v/>
      </c>
    </row>
    <row r="4133">
      <c r="A4133" t="inlineStr">
        <is>
          <t>2024-11-04</t>
        </is>
      </c>
      <c r="B4133" t="inlineStr">
        <is>
          <t>GKL</t>
        </is>
      </c>
      <c r="C4133" t="inlineStr">
        <is>
          <t>114090</t>
        </is>
      </c>
      <c r="D4133" t="inlineStr">
        <is>
          <t>별도</t>
        </is>
      </c>
      <c r="E4133" t="inlineStr">
        <is>
          <t>2024Q3</t>
        </is>
      </c>
      <c r="F4133" s="2" t="inlineStr"/>
      <c r="G4133" t="inlineStr"/>
      <c r="H4133" t="inlineStr"/>
      <c r="I4133" s="2" t="inlineStr"/>
      <c r="J4133" t="inlineStr"/>
      <c r="K4133" t="inlineStr"/>
      <c r="L4133" s="2" t="inlineStr"/>
      <c r="M4133" t="inlineStr"/>
      <c r="N4133" t="inlineStr">
        <is>
          <t>20241104800248</t>
        </is>
      </c>
      <c r="O4133">
        <f>HYPERLINK("https://dart.fss.or.kr/dsaf001/main.do?rcpNo=20241104800248", "공시열람")</f>
        <v/>
      </c>
    </row>
    <row r="4134">
      <c r="A4134" t="inlineStr">
        <is>
          <t>2024-11-04</t>
        </is>
      </c>
      <c r="B4134" t="inlineStr">
        <is>
          <t>세이브존I&amp;C</t>
        </is>
      </c>
      <c r="C4134" t="inlineStr">
        <is>
          <t>067830</t>
        </is>
      </c>
      <c r="D4134" t="inlineStr">
        <is>
          <t>별도</t>
        </is>
      </c>
      <c r="E4134" t="inlineStr">
        <is>
          <t>2024Q3</t>
        </is>
      </c>
      <c r="F4134" s="2" t="n">
        <v>27366</v>
      </c>
      <c r="G4134" t="inlineStr"/>
      <c r="H4134" t="inlineStr"/>
      <c r="I4134" s="2" t="n">
        <v>-664</v>
      </c>
      <c r="J4134" t="inlineStr"/>
      <c r="K4134" t="inlineStr"/>
      <c r="L4134" s="2" t="n">
        <v>1322</v>
      </c>
      <c r="M4134" t="inlineStr"/>
      <c r="N4134" t="inlineStr">
        <is>
          <t>20241104800594</t>
        </is>
      </c>
      <c r="O4134">
        <f>HYPERLINK("https://dart.fss.or.kr/dsaf001/main.do?rcpNo=20241104800594", "공시열람")</f>
        <v/>
      </c>
    </row>
    <row r="4135">
      <c r="A4135" t="inlineStr">
        <is>
          <t>2024-11-04</t>
        </is>
      </c>
      <c r="B4135" t="inlineStr">
        <is>
          <t>배럴</t>
        </is>
      </c>
      <c r="C4135" t="inlineStr">
        <is>
          <t>267790</t>
        </is>
      </c>
      <c r="D4135" t="inlineStr">
        <is>
          <t>연결</t>
        </is>
      </c>
      <c r="E4135" t="inlineStr">
        <is>
          <t>2024Q3</t>
        </is>
      </c>
      <c r="F4135" s="2" t="n">
        <v>25309</v>
      </c>
      <c r="G4135" t="inlineStr"/>
      <c r="H4135" t="inlineStr"/>
      <c r="I4135" s="2" t="n">
        <v>5319</v>
      </c>
      <c r="J4135" t="inlineStr"/>
      <c r="K4135" t="inlineStr"/>
      <c r="L4135" s="2" t="n">
        <v>3807</v>
      </c>
      <c r="M4135" t="inlineStr"/>
      <c r="N4135" t="inlineStr">
        <is>
          <t>20241104900407</t>
        </is>
      </c>
      <c r="O4135">
        <f>HYPERLINK("https://dart.fss.or.kr/dsaf001/main.do?rcpNo=20241104900407", "공시열람")</f>
        <v/>
      </c>
    </row>
    <row r="4136">
      <c r="A4136" t="inlineStr">
        <is>
          <t>2024-11-04</t>
        </is>
      </c>
      <c r="B4136" t="inlineStr">
        <is>
          <t>SK이노베이션</t>
        </is>
      </c>
      <c r="C4136" t="inlineStr">
        <is>
          <t>096770</t>
        </is>
      </c>
      <c r="D4136" t="inlineStr">
        <is>
          <t>연결</t>
        </is>
      </c>
      <c r="E4136" t="inlineStr">
        <is>
          <t>2024Q3</t>
        </is>
      </c>
      <c r="F4136" s="2" t="n">
        <v>17657045</v>
      </c>
      <c r="G4136" t="inlineStr"/>
      <c r="H4136" t="inlineStr"/>
      <c r="I4136" s="2" t="n">
        <v>-423338</v>
      </c>
      <c r="J4136" t="inlineStr"/>
      <c r="K4136" t="inlineStr"/>
      <c r="L4136" s="2" t="n">
        <v>-588117</v>
      </c>
      <c r="M4136" t="inlineStr"/>
      <c r="N4136" t="inlineStr">
        <is>
          <t>20241104800090</t>
        </is>
      </c>
      <c r="O4136">
        <f>HYPERLINK("https://dart.fss.or.kr/dsaf001/main.do?rcpNo=20241104800090", "공시열람")</f>
        <v/>
      </c>
    </row>
    <row r="4137">
      <c r="A4137" t="inlineStr">
        <is>
          <t>2024-11-04</t>
        </is>
      </c>
      <c r="B4137" t="inlineStr">
        <is>
          <t>동원산업</t>
        </is>
      </c>
      <c r="C4137" t="inlineStr">
        <is>
          <t>006040</t>
        </is>
      </c>
      <c r="D4137" t="inlineStr">
        <is>
          <t>별도</t>
        </is>
      </c>
      <c r="E4137" t="inlineStr">
        <is>
          <t>2024Q3</t>
        </is>
      </c>
      <c r="F4137" s="2" t="n">
        <v>236570</v>
      </c>
      <c r="G4137" t="inlineStr"/>
      <c r="H4137" t="inlineStr"/>
      <c r="I4137" s="2" t="n">
        <v>23605</v>
      </c>
      <c r="J4137" t="inlineStr"/>
      <c r="K4137" t="inlineStr"/>
      <c r="L4137" s="2" t="n">
        <v>16089</v>
      </c>
      <c r="M4137" t="inlineStr"/>
      <c r="N4137" t="inlineStr">
        <is>
          <t>20241104800357</t>
        </is>
      </c>
      <c r="O4137">
        <f>HYPERLINK("https://dart.fss.or.kr/dsaf001/main.do?rcpNo=20241104800357", "공시열람")</f>
        <v/>
      </c>
    </row>
    <row r="4138">
      <c r="A4138" t="inlineStr">
        <is>
          <t>2024-11-04</t>
        </is>
      </c>
      <c r="B4138" t="inlineStr">
        <is>
          <t>윈스테크넷</t>
        </is>
      </c>
      <c r="C4138" t="inlineStr">
        <is>
          <t>136540</t>
        </is>
      </c>
      <c r="D4138" t="inlineStr">
        <is>
          <t>연결</t>
        </is>
      </c>
      <c r="E4138" t="inlineStr">
        <is>
          <t>2024Q3</t>
        </is>
      </c>
      <c r="F4138" s="2" t="n">
        <v>21480</v>
      </c>
      <c r="G4138" t="inlineStr"/>
      <c r="H4138" t="inlineStr"/>
      <c r="I4138" s="2" t="n">
        <v>4251</v>
      </c>
      <c r="J4138" t="inlineStr"/>
      <c r="K4138" t="inlineStr"/>
      <c r="L4138" s="2" t="n">
        <v>4838</v>
      </c>
      <c r="M4138" t="inlineStr"/>
      <c r="N4138" t="inlineStr">
        <is>
          <t>20241104900442</t>
        </is>
      </c>
      <c r="O4138">
        <f>HYPERLINK("https://dart.fss.or.kr/dsaf001/main.do?rcpNo=20241104900442", "공시열람")</f>
        <v/>
      </c>
    </row>
    <row r="4139">
      <c r="A4139" t="inlineStr">
        <is>
          <t>2024-11-04</t>
        </is>
      </c>
      <c r="B4139" t="inlineStr">
        <is>
          <t>SK아이이테크놀로지</t>
        </is>
      </c>
      <c r="C4139" t="inlineStr">
        <is>
          <t>361610</t>
        </is>
      </c>
      <c r="D4139" t="inlineStr">
        <is>
          <t>연결</t>
        </is>
      </c>
      <c r="E4139" t="inlineStr">
        <is>
          <t>2024Q3</t>
        </is>
      </c>
      <c r="F4139" s="2" t="n">
        <v>50762</v>
      </c>
      <c r="G4139" t="inlineStr"/>
      <c r="H4139" t="inlineStr"/>
      <c r="I4139" s="2" t="n">
        <v>-73003</v>
      </c>
      <c r="J4139" t="inlineStr"/>
      <c r="K4139" t="inlineStr"/>
      <c r="L4139" s="2" t="n">
        <v>-36049</v>
      </c>
      <c r="M4139" t="inlineStr"/>
      <c r="N4139" t="inlineStr">
        <is>
          <t>20241104800271</t>
        </is>
      </c>
      <c r="O4139">
        <f>HYPERLINK("https://dart.fss.or.kr/dsaf001/main.do?rcpNo=20241104800271", "공시열람")</f>
        <v/>
      </c>
    </row>
    <row r="4140">
      <c r="A4140" t="inlineStr">
        <is>
          <t>2024-11-04</t>
        </is>
      </c>
      <c r="B4140" t="inlineStr">
        <is>
          <t>SM C&amp;C</t>
        </is>
      </c>
      <c r="C4140" t="inlineStr">
        <is>
          <t>048550</t>
        </is>
      </c>
      <c r="D4140" t="inlineStr">
        <is>
          <t>연결</t>
        </is>
      </c>
      <c r="E4140" t="inlineStr">
        <is>
          <t>2024Q3</t>
        </is>
      </c>
      <c r="F4140" s="2" t="n">
        <v>24762</v>
      </c>
      <c r="G4140" t="inlineStr"/>
      <c r="H4140" t="inlineStr"/>
      <c r="I4140" s="2" t="n">
        <v>-1241</v>
      </c>
      <c r="J4140" t="inlineStr"/>
      <c r="K4140" t="inlineStr"/>
      <c r="L4140" s="2" t="n">
        <v>-1361</v>
      </c>
      <c r="M4140" t="inlineStr"/>
      <c r="N4140" t="inlineStr">
        <is>
          <t>20241104900376</t>
        </is>
      </c>
      <c r="O4140">
        <f>HYPERLINK("https://dart.fss.or.kr/dsaf001/main.do?rcpNo=20241104900376", "공시열람")</f>
        <v/>
      </c>
    </row>
    <row r="4141">
      <c r="A4141" t="inlineStr">
        <is>
          <t>2024-11-04</t>
        </is>
      </c>
      <c r="B4141" t="inlineStr">
        <is>
          <t>NC</t>
        </is>
      </c>
      <c r="C4141" t="inlineStr">
        <is>
          <t>036570</t>
        </is>
      </c>
      <c r="D4141" t="inlineStr">
        <is>
          <t>연결</t>
        </is>
      </c>
      <c r="E4141" t="inlineStr">
        <is>
          <t>2024Q3</t>
        </is>
      </c>
      <c r="F4141" s="2" t="n">
        <v>401937</v>
      </c>
      <c r="G4141" t="inlineStr"/>
      <c r="H4141" t="inlineStr"/>
      <c r="I4141" s="2" t="n">
        <v>-14291</v>
      </c>
      <c r="J4141" t="inlineStr"/>
      <c r="K4141" t="inlineStr"/>
      <c r="L4141" s="2" t="n">
        <v>-26524</v>
      </c>
      <c r="M4141" t="inlineStr"/>
      <c r="N4141" t="inlineStr">
        <is>
          <t>20241104800270</t>
        </is>
      </c>
      <c r="O4141">
        <f>HYPERLINK("https://dart.fss.or.kr/dsaf001/main.do?rcpNo=20241104800270", "공시열람")</f>
        <v/>
      </c>
    </row>
    <row r="4142">
      <c r="A4142" t="inlineStr">
        <is>
          <t>2024-11-04</t>
        </is>
      </c>
      <c r="B4142" t="inlineStr">
        <is>
          <t>키이스트</t>
        </is>
      </c>
      <c r="C4142" t="inlineStr">
        <is>
          <t>054780</t>
        </is>
      </c>
      <c r="D4142" t="inlineStr">
        <is>
          <t>별도</t>
        </is>
      </c>
      <c r="E4142" t="inlineStr">
        <is>
          <t>2024Q3</t>
        </is>
      </c>
      <c r="F4142" s="2" t="n">
        <v>13348</v>
      </c>
      <c r="G4142" t="inlineStr"/>
      <c r="H4142" t="inlineStr"/>
      <c r="I4142" s="2" t="n">
        <v>149</v>
      </c>
      <c r="J4142" t="inlineStr"/>
      <c r="K4142" t="inlineStr"/>
      <c r="L4142" s="2" t="n">
        <v>645</v>
      </c>
      <c r="M4142" t="inlineStr"/>
      <c r="N4142" t="inlineStr">
        <is>
          <t>20241104900401</t>
        </is>
      </c>
      <c r="O4142">
        <f>HYPERLINK("https://dart.fss.or.kr/dsaf001/main.do?rcpNo=20241104900401", "공시열람")</f>
        <v/>
      </c>
    </row>
    <row r="4143">
      <c r="A4143" t="inlineStr">
        <is>
          <t>2024-11-04</t>
        </is>
      </c>
      <c r="B4143" t="inlineStr">
        <is>
          <t>동원산업</t>
        </is>
      </c>
      <c r="C4143" t="inlineStr">
        <is>
          <t>006040</t>
        </is>
      </c>
      <c r="D4143" t="inlineStr">
        <is>
          <t>연결</t>
        </is>
      </c>
      <c r="E4143" t="inlineStr">
        <is>
          <t>2024Q3</t>
        </is>
      </c>
      <c r="F4143" s="2" t="n">
        <v>2339103</v>
      </c>
      <c r="G4143" t="inlineStr"/>
      <c r="H4143" t="inlineStr"/>
      <c r="I4143" s="2" t="n">
        <v>174405</v>
      </c>
      <c r="J4143" t="inlineStr"/>
      <c r="K4143" t="inlineStr"/>
      <c r="L4143" s="2" t="n">
        <v>-75130</v>
      </c>
      <c r="M4143" t="inlineStr"/>
      <c r="N4143" t="inlineStr">
        <is>
          <t>20241104800402</t>
        </is>
      </c>
      <c r="O4143">
        <f>HYPERLINK("https://dart.fss.or.kr/dsaf001/main.do?rcpNo=20241104800402", "공시열람")</f>
        <v/>
      </c>
    </row>
    <row r="4144">
      <c r="A4144" t="inlineStr">
        <is>
          <t>2024-11-04</t>
        </is>
      </c>
      <c r="B4144" t="inlineStr">
        <is>
          <t>파라다이스</t>
        </is>
      </c>
      <c r="C4144" t="inlineStr">
        <is>
          <t>034230</t>
        </is>
      </c>
      <c r="D4144" t="inlineStr">
        <is>
          <t>연결</t>
        </is>
      </c>
      <c r="E4144" t="inlineStr">
        <is>
          <t>2024Q3</t>
        </is>
      </c>
      <c r="F4144" s="2" t="inlineStr"/>
      <c r="G4144" t="inlineStr"/>
      <c r="H4144" t="inlineStr"/>
      <c r="I4144" s="2" t="inlineStr"/>
      <c r="J4144" t="inlineStr"/>
      <c r="K4144" t="inlineStr"/>
      <c r="L4144" s="2" t="inlineStr"/>
      <c r="M4144" t="inlineStr"/>
      <c r="N4144" t="inlineStr">
        <is>
          <t>20241104800275</t>
        </is>
      </c>
      <c r="O4144">
        <f>HYPERLINK("https://dart.fss.or.kr/dsaf001/main.do?rcpNo=20241104800275", "공시열람")</f>
        <v/>
      </c>
    </row>
    <row r="4145">
      <c r="A4145" t="inlineStr">
        <is>
          <t>2024-11-01</t>
        </is>
      </c>
      <c r="B4145" t="inlineStr">
        <is>
          <t>팬오션</t>
        </is>
      </c>
      <c r="C4145" t="inlineStr">
        <is>
          <t>028670</t>
        </is>
      </c>
      <c r="D4145" t="inlineStr">
        <is>
          <t>연결</t>
        </is>
      </c>
      <c r="E4145" t="inlineStr">
        <is>
          <t>2024Q3</t>
        </is>
      </c>
      <c r="F4145" s="2" t="n">
        <v>1276800</v>
      </c>
      <c r="G4145" t="n">
        <v>3.5</v>
      </c>
      <c r="H4145" t="n">
        <v>14.9</v>
      </c>
      <c r="I4145" s="2" t="n">
        <v>128100</v>
      </c>
      <c r="J4145" t="n">
        <v>-5.2</v>
      </c>
      <c r="K4145" t="n">
        <v>61.2</v>
      </c>
      <c r="L4145" s="2" t="n">
        <v>130900</v>
      </c>
      <c r="M4145" t="n">
        <v>434.5</v>
      </c>
      <c r="N4145" t="inlineStr">
        <is>
          <t>20241101800192</t>
        </is>
      </c>
      <c r="O4145">
        <f>HYPERLINK("https://dart.fss.or.kr/dsaf001/main.do?rcpNo=20241101800192", "공시열람")</f>
        <v/>
      </c>
    </row>
    <row r="4146">
      <c r="A4146" t="inlineStr">
        <is>
          <t>2024-11-01</t>
        </is>
      </c>
      <c r="B4146" t="inlineStr">
        <is>
          <t>KZ정밀</t>
        </is>
      </c>
      <c r="C4146" t="inlineStr">
        <is>
          <t>036560</t>
        </is>
      </c>
      <c r="D4146" t="inlineStr">
        <is>
          <t>별도</t>
        </is>
      </c>
      <c r="E4146" t="inlineStr">
        <is>
          <t>2024Q3</t>
        </is>
      </c>
      <c r="F4146" s="2" t="n">
        <v>18897</v>
      </c>
      <c r="G4146" t="inlineStr"/>
      <c r="H4146" t="inlineStr"/>
      <c r="I4146" s="2" t="n">
        <v>1161</v>
      </c>
      <c r="J4146" t="inlineStr"/>
      <c r="K4146" t="inlineStr"/>
      <c r="L4146" s="2" t="n">
        <v>4410</v>
      </c>
      <c r="M4146" t="inlineStr"/>
      <c r="N4146" t="inlineStr">
        <is>
          <t>20241101900217</t>
        </is>
      </c>
      <c r="O4146">
        <f>HYPERLINK("https://dart.fss.or.kr/dsaf001/main.do?rcpNo=20241101900217", "공시열람")</f>
        <v/>
      </c>
    </row>
    <row r="4147">
      <c r="A4147" t="inlineStr">
        <is>
          <t>2024-11-01</t>
        </is>
      </c>
      <c r="B4147" t="inlineStr">
        <is>
          <t>인지소프트</t>
        </is>
      </c>
      <c r="C4147" t="inlineStr">
        <is>
          <t>100030</t>
        </is>
      </c>
      <c r="D4147" t="inlineStr">
        <is>
          <t>연결</t>
        </is>
      </c>
      <c r="E4147" t="inlineStr">
        <is>
          <t>2024Q3</t>
        </is>
      </c>
      <c r="F4147" s="2" t="n">
        <v>4717</v>
      </c>
      <c r="G4147" t="inlineStr"/>
      <c r="H4147" t="inlineStr"/>
      <c r="I4147" s="2" t="n">
        <v>950</v>
      </c>
      <c r="J4147" t="inlineStr"/>
      <c r="K4147" t="inlineStr"/>
      <c r="L4147" s="2" t="n">
        <v>1041</v>
      </c>
      <c r="M4147" t="inlineStr"/>
      <c r="N4147" t="inlineStr">
        <is>
          <t>20241101900201</t>
        </is>
      </c>
      <c r="O4147">
        <f>HYPERLINK("https://dart.fss.or.kr/dsaf001/main.do?rcpNo=20241101900201", "공시열람")</f>
        <v/>
      </c>
    </row>
    <row r="4148">
      <c r="A4148" t="inlineStr">
        <is>
          <t>2024-11-01</t>
        </is>
      </c>
      <c r="B4148" t="inlineStr">
        <is>
          <t>환인제약</t>
        </is>
      </c>
      <c r="C4148" t="inlineStr">
        <is>
          <t>016580</t>
        </is>
      </c>
      <c r="D4148" t="inlineStr">
        <is>
          <t>연결</t>
        </is>
      </c>
      <c r="E4148" t="inlineStr">
        <is>
          <t>2024Q3</t>
        </is>
      </c>
      <c r="F4148" s="2" t="n">
        <v>68113</v>
      </c>
      <c r="G4148" t="n">
        <v>7.1</v>
      </c>
      <c r="H4148" t="n">
        <v>15.8</v>
      </c>
      <c r="I4148" s="2" t="n">
        <v>5289</v>
      </c>
      <c r="J4148" t="n">
        <v>-24.2</v>
      </c>
      <c r="K4148" t="n">
        <v>-32.1</v>
      </c>
      <c r="L4148" s="2" t="n">
        <v>4516</v>
      </c>
      <c r="M4148" t="n">
        <v>-28.8</v>
      </c>
      <c r="N4148" t="inlineStr">
        <is>
          <t>20241101800182</t>
        </is>
      </c>
      <c r="O4148">
        <f>HYPERLINK("https://dart.fss.or.kr/dsaf001/main.do?rcpNo=20241101800182", "공시열람")</f>
        <v/>
      </c>
    </row>
    <row r="4149">
      <c r="A4149" t="inlineStr">
        <is>
          <t>2024-11-01</t>
        </is>
      </c>
      <c r="B4149" t="inlineStr">
        <is>
          <t>이녹스첨단소재</t>
        </is>
      </c>
      <c r="C4149" t="inlineStr">
        <is>
          <t>272290</t>
        </is>
      </c>
      <c r="D4149" t="inlineStr">
        <is>
          <t>연결</t>
        </is>
      </c>
      <c r="E4149" t="inlineStr">
        <is>
          <t>2024Q3</t>
        </is>
      </c>
      <c r="F4149" s="2" t="n">
        <v>100721</v>
      </c>
      <c r="G4149" t="inlineStr"/>
      <c r="H4149" t="inlineStr"/>
      <c r="I4149" s="2" t="n">
        <v>18433</v>
      </c>
      <c r="J4149" t="inlineStr"/>
      <c r="K4149" t="inlineStr"/>
      <c r="L4149" s="2" t="n">
        <v>8189</v>
      </c>
      <c r="M4149" t="inlineStr"/>
      <c r="N4149" t="inlineStr">
        <is>
          <t>20241101900190</t>
        </is>
      </c>
      <c r="O4149">
        <f>HYPERLINK("https://dart.fss.or.kr/dsaf001/main.do?rcpNo=20241101900190", "공시열람")</f>
        <v/>
      </c>
    </row>
    <row r="4150">
      <c r="A4150" t="inlineStr">
        <is>
          <t>2024-11-01</t>
        </is>
      </c>
      <c r="B4150" t="inlineStr">
        <is>
          <t>HD현대</t>
        </is>
      </c>
      <c r="C4150" t="inlineStr">
        <is>
          <t>267250</t>
        </is>
      </c>
      <c r="D4150" t="inlineStr">
        <is>
          <t>연결</t>
        </is>
      </c>
      <c r="E4150" t="inlineStr">
        <is>
          <t>2024Q3</t>
        </is>
      </c>
      <c r="F4150" s="2" t="n">
        <v>16599100</v>
      </c>
      <c r="G4150" t="n">
        <v>-5.4</v>
      </c>
      <c r="H4150" t="n">
        <v>21</v>
      </c>
      <c r="I4150" s="2" t="n">
        <v>431500</v>
      </c>
      <c r="J4150" t="n">
        <v>-51</v>
      </c>
      <c r="K4150" t="n">
        <v>-35.4</v>
      </c>
      <c r="L4150" s="2" t="n">
        <v>101700</v>
      </c>
      <c r="M4150" t="n">
        <v>-82.90000000000001</v>
      </c>
      <c r="N4150" t="inlineStr">
        <is>
          <t>20241101800178</t>
        </is>
      </c>
      <c r="O4150">
        <f>HYPERLINK("https://dart.fss.or.kr/dsaf001/main.do?rcpNo=20241101800178", "공시열람")</f>
        <v/>
      </c>
    </row>
    <row r="4151">
      <c r="A4151" t="inlineStr">
        <is>
          <t>2024-11-01</t>
        </is>
      </c>
      <c r="B4151" t="inlineStr">
        <is>
          <t>롯데웰푸드</t>
        </is>
      </c>
      <c r="C4151" t="inlineStr">
        <is>
          <t>280360</t>
        </is>
      </c>
      <c r="D4151" t="inlineStr">
        <is>
          <t>연결</t>
        </is>
      </c>
      <c r="E4151" t="inlineStr">
        <is>
          <t>2024Q3</t>
        </is>
      </c>
      <c r="F4151" s="2" t="n">
        <v>1078471</v>
      </c>
      <c r="G4151" t="n">
        <v>3.3</v>
      </c>
      <c r="H4151" t="n">
        <v>-0.7</v>
      </c>
      <c r="I4151" s="2" t="n">
        <v>76044</v>
      </c>
      <c r="J4151" t="n">
        <v>20.2</v>
      </c>
      <c r="K4151" t="n">
        <v>-5.7</v>
      </c>
      <c r="L4151" s="2" t="n">
        <v>46170</v>
      </c>
      <c r="M4151" t="n">
        <v>-35.3</v>
      </c>
      <c r="N4151" t="inlineStr">
        <is>
          <t>20241101800266</t>
        </is>
      </c>
      <c r="O4151">
        <f>HYPERLINK("https://dart.fss.or.kr/dsaf001/main.do?rcpNo=20241101800266", "공시열람")</f>
        <v/>
      </c>
    </row>
    <row r="4152">
      <c r="A4152" t="inlineStr">
        <is>
          <t>2024-11-01</t>
        </is>
      </c>
      <c r="B4152" t="inlineStr">
        <is>
          <t>HD현대</t>
        </is>
      </c>
      <c r="C4152" t="inlineStr">
        <is>
          <t>267250</t>
        </is>
      </c>
      <c r="D4152" t="inlineStr">
        <is>
          <t>별도</t>
        </is>
      </c>
      <c r="E4152" t="inlineStr">
        <is>
          <t>2024Q3</t>
        </is>
      </c>
      <c r="F4152" s="2" t="n">
        <v>7117600</v>
      </c>
      <c r="G4152" t="inlineStr"/>
      <c r="H4152" t="inlineStr"/>
      <c r="I4152" s="2" t="n">
        <v>-263400</v>
      </c>
      <c r="J4152" t="inlineStr"/>
      <c r="K4152" t="inlineStr"/>
      <c r="L4152" s="2" t="n">
        <v>-111900</v>
      </c>
      <c r="M4152" t="inlineStr"/>
      <c r="N4152" t="inlineStr">
        <is>
          <t>20241101800177</t>
        </is>
      </c>
      <c r="O4152">
        <f>HYPERLINK("https://dart.fss.or.kr/dsaf001/main.do?rcpNo=20241101800177", "공시열람")</f>
        <v/>
      </c>
    </row>
    <row r="4153">
      <c r="A4153" t="inlineStr">
        <is>
          <t>2024-11-01</t>
        </is>
      </c>
      <c r="B4153" t="inlineStr">
        <is>
          <t>KG모빌리티</t>
        </is>
      </c>
      <c r="C4153" t="inlineStr">
        <is>
          <t>003620</t>
        </is>
      </c>
      <c r="D4153" t="inlineStr">
        <is>
          <t>별도</t>
        </is>
      </c>
      <c r="E4153" t="inlineStr">
        <is>
          <t>2024Q3</t>
        </is>
      </c>
      <c r="F4153" s="2" t="inlineStr"/>
      <c r="G4153" t="inlineStr"/>
      <c r="H4153" t="inlineStr"/>
      <c r="I4153" s="2" t="inlineStr"/>
      <c r="J4153" t="inlineStr"/>
      <c r="K4153" t="inlineStr"/>
      <c r="L4153" s="2" t="inlineStr"/>
      <c r="M4153" t="inlineStr"/>
      <c r="N4153" t="inlineStr">
        <is>
          <t>20241101800276</t>
        </is>
      </c>
      <c r="O4153">
        <f>HYPERLINK("https://dart.fss.or.kr/dsaf001/main.do?rcpNo=20241101800276", "공시열람")</f>
        <v/>
      </c>
    </row>
    <row r="4154">
      <c r="A4154" t="inlineStr">
        <is>
          <t>2024-11-01</t>
        </is>
      </c>
      <c r="B4154" t="inlineStr">
        <is>
          <t>PI첨단소재</t>
        </is>
      </c>
      <c r="C4154" t="inlineStr">
        <is>
          <t>178920</t>
        </is>
      </c>
      <c r="D4154" t="inlineStr">
        <is>
          <t>별도</t>
        </is>
      </c>
      <c r="E4154" t="inlineStr">
        <is>
          <t>2024Q3</t>
        </is>
      </c>
      <c r="F4154" s="2" t="n">
        <v>70652</v>
      </c>
      <c r="G4154" t="inlineStr"/>
      <c r="H4154" t="inlineStr"/>
      <c r="I4154" s="2" t="n">
        <v>12071</v>
      </c>
      <c r="J4154" t="inlineStr"/>
      <c r="K4154" t="inlineStr"/>
      <c r="L4154" s="2" t="n">
        <v>6446</v>
      </c>
      <c r="M4154" t="inlineStr"/>
      <c r="N4154" t="inlineStr">
        <is>
          <t>20241101800054</t>
        </is>
      </c>
      <c r="O4154">
        <f>HYPERLINK("https://dart.fss.or.kr/dsaf001/main.do?rcpNo=20241101800054", "공시열람")</f>
        <v/>
      </c>
    </row>
    <row r="4155">
      <c r="A4155" t="inlineStr">
        <is>
          <t>2024-11-01</t>
        </is>
      </c>
      <c r="B4155" t="inlineStr">
        <is>
          <t>중앙백신</t>
        </is>
      </c>
      <c r="C4155" t="inlineStr">
        <is>
          <t>072020</t>
        </is>
      </c>
      <c r="D4155" t="inlineStr">
        <is>
          <t>별도</t>
        </is>
      </c>
      <c r="E4155" t="inlineStr">
        <is>
          <t>2024Q3</t>
        </is>
      </c>
      <c r="F4155" s="2" t="n">
        <v>10721</v>
      </c>
      <c r="G4155" t="inlineStr"/>
      <c r="H4155" t="inlineStr"/>
      <c r="I4155" s="2" t="n">
        <v>1711</v>
      </c>
      <c r="J4155" t="inlineStr"/>
      <c r="K4155" t="inlineStr"/>
      <c r="L4155" s="2" t="n">
        <v>933</v>
      </c>
      <c r="M4155" t="inlineStr"/>
      <c r="N4155" t="inlineStr">
        <is>
          <t>20241101900312</t>
        </is>
      </c>
      <c r="O4155">
        <f>HYPERLINK("https://dart.fss.or.kr/dsaf001/main.do?rcpNo=20241101900312", "공시열람")</f>
        <v/>
      </c>
    </row>
    <row r="4156">
      <c r="A4156" t="inlineStr">
        <is>
          <t>2024-11-01</t>
        </is>
      </c>
      <c r="B4156" t="inlineStr">
        <is>
          <t>비에이치</t>
        </is>
      </c>
      <c r="C4156" t="inlineStr">
        <is>
          <t>090460</t>
        </is>
      </c>
      <c r="D4156" t="inlineStr">
        <is>
          <t>연결</t>
        </is>
      </c>
      <c r="E4156" t="inlineStr">
        <is>
          <t>2024Q3</t>
        </is>
      </c>
      <c r="F4156" s="2" t="n">
        <v>499232</v>
      </c>
      <c r="G4156" t="inlineStr"/>
      <c r="H4156" t="inlineStr"/>
      <c r="I4156" s="2" t="n">
        <v>52585</v>
      </c>
      <c r="J4156" t="inlineStr"/>
      <c r="K4156" t="inlineStr"/>
      <c r="L4156" s="2" t="inlineStr"/>
      <c r="M4156" t="inlineStr"/>
      <c r="N4156" t="inlineStr">
        <is>
          <t>20241101800057</t>
        </is>
      </c>
      <c r="O4156">
        <f>HYPERLINK("https://dart.fss.or.kr/dsaf001/main.do?rcpNo=20241101800057", "공시열람")</f>
        <v/>
      </c>
    </row>
    <row r="4157">
      <c r="A4157" t="inlineStr">
        <is>
          <t>2024-11-01</t>
        </is>
      </c>
      <c r="B4157" t="inlineStr">
        <is>
          <t>HD현대</t>
        </is>
      </c>
      <c r="C4157" t="inlineStr">
        <is>
          <t>267250</t>
        </is>
      </c>
      <c r="D4157" t="inlineStr">
        <is>
          <t>연결</t>
        </is>
      </c>
      <c r="E4157" t="inlineStr">
        <is>
          <t>2024Q3</t>
        </is>
      </c>
      <c r="F4157" s="2" t="n">
        <v>7589800</v>
      </c>
      <c r="G4157" t="inlineStr"/>
      <c r="H4157" t="inlineStr"/>
      <c r="I4157" s="2" t="n">
        <v>-268100</v>
      </c>
      <c r="J4157" t="inlineStr"/>
      <c r="K4157" t="inlineStr"/>
      <c r="L4157" s="2" t="n">
        <v>-195700</v>
      </c>
      <c r="M4157" t="inlineStr"/>
      <c r="N4157" t="inlineStr">
        <is>
          <t>20241101800176</t>
        </is>
      </c>
      <c r="O4157">
        <f>HYPERLINK("https://dart.fss.or.kr/dsaf001/main.do?rcpNo=20241101800176", "공시열람")</f>
        <v/>
      </c>
    </row>
    <row r="4158">
      <c r="A4158" t="inlineStr">
        <is>
          <t>2024-11-01</t>
        </is>
      </c>
      <c r="B4158" t="inlineStr">
        <is>
          <t>롯데에너지머티리얼즈</t>
        </is>
      </c>
      <c r="C4158" t="inlineStr">
        <is>
          <t>020150</t>
        </is>
      </c>
      <c r="D4158" t="inlineStr">
        <is>
          <t>연결</t>
        </is>
      </c>
      <c r="E4158" t="inlineStr">
        <is>
          <t>2024Q3</t>
        </is>
      </c>
      <c r="F4158" s="2" t="n">
        <v>211400</v>
      </c>
      <c r="G4158" t="n">
        <v>-19.5</v>
      </c>
      <c r="H4158" t="n">
        <v>-2.9</v>
      </c>
      <c r="I4158" s="2" t="n">
        <v>-31700</v>
      </c>
      <c r="J4158" t="inlineStr"/>
      <c r="K4158" t="inlineStr"/>
      <c r="L4158" s="2" t="n">
        <v>6500</v>
      </c>
      <c r="M4158" t="n">
        <v>-6.3</v>
      </c>
      <c r="N4158" t="inlineStr">
        <is>
          <t>20241101800165</t>
        </is>
      </c>
      <c r="O4158">
        <f>HYPERLINK("https://dart.fss.or.kr/dsaf001/main.do?rcpNo=20241101800165", "공시열람")</f>
        <v/>
      </c>
    </row>
    <row r="4159">
      <c r="A4159" t="inlineStr">
        <is>
          <t>2024-11-01</t>
        </is>
      </c>
      <c r="B4159" t="inlineStr">
        <is>
          <t>동원시스템즈</t>
        </is>
      </c>
      <c r="C4159" t="inlineStr">
        <is>
          <t>014820</t>
        </is>
      </c>
      <c r="D4159" t="inlineStr">
        <is>
          <t>별도</t>
        </is>
      </c>
      <c r="E4159" t="inlineStr">
        <is>
          <t>2024Q3</t>
        </is>
      </c>
      <c r="F4159" s="2" t="n">
        <v>321458</v>
      </c>
      <c r="G4159" t="n">
        <v>1.08</v>
      </c>
      <c r="H4159" t="n">
        <v>13.72</v>
      </c>
      <c r="I4159" s="2" t="n">
        <v>24501</v>
      </c>
      <c r="J4159" t="n">
        <v>-9.710000000000001</v>
      </c>
      <c r="K4159" t="n">
        <v>27.45</v>
      </c>
      <c r="L4159" s="2" t="n">
        <v>13271</v>
      </c>
      <c r="M4159" t="n">
        <v>-18.11</v>
      </c>
      <c r="N4159" t="inlineStr">
        <is>
          <t>20241101800147</t>
        </is>
      </c>
      <c r="O4159">
        <f>HYPERLINK("https://dart.fss.or.kr/dsaf001/main.do?rcpNo=20241101800147", "공시열람")</f>
        <v/>
      </c>
    </row>
    <row r="4160">
      <c r="A4160" t="inlineStr">
        <is>
          <t>2024-11-01</t>
        </is>
      </c>
      <c r="B4160" t="inlineStr">
        <is>
          <t>동원시스템즈</t>
        </is>
      </c>
      <c r="C4160" t="inlineStr">
        <is>
          <t>014820</t>
        </is>
      </c>
      <c r="D4160" t="inlineStr">
        <is>
          <t>연결</t>
        </is>
      </c>
      <c r="E4160" t="inlineStr">
        <is>
          <t>2024Q3</t>
        </is>
      </c>
      <c r="F4160" s="2" t="n">
        <v>348528</v>
      </c>
      <c r="G4160" t="n">
        <v>1.21</v>
      </c>
      <c r="H4160" t="n">
        <v>10.59</v>
      </c>
      <c r="I4160" s="2" t="n">
        <v>28178</v>
      </c>
      <c r="J4160" t="n">
        <v>-7.04</v>
      </c>
      <c r="K4160" t="n">
        <v>20.67</v>
      </c>
      <c r="L4160" s="2" t="n">
        <v>17798</v>
      </c>
      <c r="M4160" t="n">
        <v>-15.43</v>
      </c>
      <c r="N4160" t="inlineStr">
        <is>
          <t>20241101800139</t>
        </is>
      </c>
      <c r="O4160">
        <f>HYPERLINK("https://dart.fss.or.kr/dsaf001/main.do?rcpNo=20241101800139", "공시열람")</f>
        <v/>
      </c>
    </row>
    <row r="4161">
      <c r="A4161" t="inlineStr">
        <is>
          <t>2024-11-01</t>
        </is>
      </c>
      <c r="B4161" t="inlineStr">
        <is>
          <t>산일전기</t>
        </is>
      </c>
      <c r="C4161" t="inlineStr">
        <is>
          <t>062040</t>
        </is>
      </c>
      <c r="D4161" t="inlineStr">
        <is>
          <t>별도</t>
        </is>
      </c>
      <c r="E4161" t="inlineStr">
        <is>
          <t>2024Q3</t>
        </is>
      </c>
      <c r="F4161" s="2" t="n">
        <v>79736</v>
      </c>
      <c r="G4161" t="inlineStr"/>
      <c r="H4161" t="inlineStr"/>
      <c r="I4161" s="2" t="n">
        <v>27791</v>
      </c>
      <c r="J4161" t="inlineStr"/>
      <c r="K4161" t="inlineStr"/>
      <c r="L4161" s="2" t="n">
        <v>22875</v>
      </c>
      <c r="M4161" t="inlineStr"/>
      <c r="N4161" t="inlineStr">
        <is>
          <t>20241101800134</t>
        </is>
      </c>
      <c r="O4161">
        <f>HYPERLINK("https://dart.fss.or.kr/dsaf001/main.do?rcpNo=20241101800134", "공시열람")</f>
        <v/>
      </c>
    </row>
    <row r="4162">
      <c r="A4162" t="inlineStr">
        <is>
          <t>2024-11-01</t>
        </is>
      </c>
      <c r="B4162" t="inlineStr">
        <is>
          <t>동아에스티</t>
        </is>
      </c>
      <c r="C4162" t="inlineStr">
        <is>
          <t>170900</t>
        </is>
      </c>
      <c r="D4162" t="inlineStr">
        <is>
          <t>별도</t>
        </is>
      </c>
      <c r="E4162" t="inlineStr">
        <is>
          <t>2024Q3</t>
        </is>
      </c>
      <c r="F4162" s="2" t="n">
        <v>179517</v>
      </c>
      <c r="G4162" t="inlineStr"/>
      <c r="H4162" t="inlineStr"/>
      <c r="I4162" s="2" t="n">
        <v>19795</v>
      </c>
      <c r="J4162" t="inlineStr"/>
      <c r="K4162" t="inlineStr"/>
      <c r="L4162" s="2" t="n">
        <v>1221</v>
      </c>
      <c r="M4162" t="inlineStr"/>
      <c r="N4162" t="inlineStr">
        <is>
          <t>20241101800125</t>
        </is>
      </c>
      <c r="O4162">
        <f>HYPERLINK("https://dart.fss.or.kr/dsaf001/main.do?rcpNo=20241101800125", "공시열람")</f>
        <v/>
      </c>
    </row>
    <row r="4163">
      <c r="A4163" t="inlineStr">
        <is>
          <t>2024-11-01</t>
        </is>
      </c>
      <c r="B4163" t="inlineStr">
        <is>
          <t>동아쏘시오홀딩스</t>
        </is>
      </c>
      <c r="C4163" t="inlineStr">
        <is>
          <t>000640</t>
        </is>
      </c>
      <c r="D4163" t="inlineStr">
        <is>
          <t>연결</t>
        </is>
      </c>
      <c r="E4163" t="inlineStr">
        <is>
          <t>2024Q3</t>
        </is>
      </c>
      <c r="F4163" s="2" t="n">
        <v>356892</v>
      </c>
      <c r="G4163" t="n">
        <v>9.99</v>
      </c>
      <c r="H4163" t="n">
        <v>23.4</v>
      </c>
      <c r="I4163" s="2" t="n">
        <v>22544</v>
      </c>
      <c r="J4163" t="n">
        <v>1.05</v>
      </c>
      <c r="K4163" t="n">
        <v>-8.99</v>
      </c>
      <c r="L4163" s="2" t="inlineStr"/>
      <c r="M4163" t="inlineStr"/>
      <c r="N4163" t="inlineStr">
        <is>
          <t>20241101800123</t>
        </is>
      </c>
      <c r="O4163">
        <f>HYPERLINK("https://dart.fss.or.kr/dsaf001/main.do?rcpNo=20241101800123", "공시열람")</f>
        <v/>
      </c>
    </row>
    <row r="4164">
      <c r="A4164" t="inlineStr">
        <is>
          <t>2024-11-01</t>
        </is>
      </c>
      <c r="B4164" t="inlineStr">
        <is>
          <t>디케이티</t>
        </is>
      </c>
      <c r="C4164" t="inlineStr">
        <is>
          <t>290550</t>
        </is>
      </c>
      <c r="D4164" t="inlineStr">
        <is>
          <t>연결</t>
        </is>
      </c>
      <c r="E4164" t="inlineStr">
        <is>
          <t>2024Q3</t>
        </is>
      </c>
      <c r="F4164" s="2" t="n">
        <v>81697</v>
      </c>
      <c r="G4164" t="inlineStr"/>
      <c r="H4164" t="inlineStr"/>
      <c r="I4164" s="2" t="n">
        <v>5020</v>
      </c>
      <c r="J4164" t="inlineStr"/>
      <c r="K4164" t="inlineStr"/>
      <c r="L4164" s="2" t="inlineStr"/>
      <c r="M4164" t="inlineStr"/>
      <c r="N4164" t="inlineStr">
        <is>
          <t>20241101900058</t>
        </is>
      </c>
      <c r="O4164">
        <f>HYPERLINK("https://dart.fss.or.kr/dsaf001/main.do?rcpNo=20241101900058", "공시열람")</f>
        <v/>
      </c>
    </row>
    <row r="4165">
      <c r="A4165" t="inlineStr">
        <is>
          <t>2024-11-01</t>
        </is>
      </c>
      <c r="B4165" t="inlineStr">
        <is>
          <t>에스티팜</t>
        </is>
      </c>
      <c r="C4165" t="inlineStr">
        <is>
          <t>237690</t>
        </is>
      </c>
      <c r="D4165" t="inlineStr">
        <is>
          <t>연결</t>
        </is>
      </c>
      <c r="E4165" t="inlineStr">
        <is>
          <t>2024Q3</t>
        </is>
      </c>
      <c r="F4165" s="2" t="n">
        <v>61203</v>
      </c>
      <c r="G4165" t="inlineStr"/>
      <c r="H4165" t="inlineStr"/>
      <c r="I4165" s="2" t="n">
        <v>4099</v>
      </c>
      <c r="J4165" t="inlineStr"/>
      <c r="K4165" t="inlineStr"/>
      <c r="L4165" s="2" t="n">
        <v>9573</v>
      </c>
      <c r="M4165" t="inlineStr"/>
      <c r="N4165" t="inlineStr">
        <is>
          <t>20241101900138</t>
        </is>
      </c>
      <c r="O4165">
        <f>HYPERLINK("https://dart.fss.or.kr/dsaf001/main.do?rcpNo=20241101900138", "공시열람")</f>
        <v/>
      </c>
    </row>
    <row r="4166">
      <c r="A4166" t="inlineStr">
        <is>
          <t>2024-11-01</t>
        </is>
      </c>
      <c r="B4166" t="inlineStr">
        <is>
          <t>고영</t>
        </is>
      </c>
      <c r="C4166" t="inlineStr">
        <is>
          <t>098460</t>
        </is>
      </c>
      <c r="D4166" t="inlineStr">
        <is>
          <t>연결</t>
        </is>
      </c>
      <c r="E4166" t="inlineStr">
        <is>
          <t>2024Q3</t>
        </is>
      </c>
      <c r="F4166" s="2" t="n">
        <v>46298</v>
      </c>
      <c r="G4166" t="inlineStr"/>
      <c r="H4166" t="inlineStr"/>
      <c r="I4166" s="2" t="n">
        <v>695</v>
      </c>
      <c r="J4166" t="inlineStr"/>
      <c r="K4166" t="inlineStr"/>
      <c r="L4166" s="2" t="n">
        <v>-4424</v>
      </c>
      <c r="M4166" t="inlineStr"/>
      <c r="N4166" t="inlineStr">
        <is>
          <t>20241101900370</t>
        </is>
      </c>
      <c r="O4166">
        <f>HYPERLINK("https://dart.fss.or.kr/dsaf001/main.do?rcpNo=20241101900370", "공시열람")</f>
        <v/>
      </c>
    </row>
    <row r="4167">
      <c r="A4167" t="inlineStr">
        <is>
          <t>2024-11-01</t>
        </is>
      </c>
      <c r="B4167" t="inlineStr">
        <is>
          <t>녹십자웰빙</t>
        </is>
      </c>
      <c r="C4167" t="inlineStr">
        <is>
          <t>234690</t>
        </is>
      </c>
      <c r="D4167" t="inlineStr">
        <is>
          <t>연결</t>
        </is>
      </c>
      <c r="E4167" t="inlineStr">
        <is>
          <t>2024Q3</t>
        </is>
      </c>
      <c r="F4167" s="2" t="n">
        <v>33037</v>
      </c>
      <c r="G4167" t="inlineStr"/>
      <c r="H4167" t="inlineStr"/>
      <c r="I4167" s="2" t="n">
        <v>3924</v>
      </c>
      <c r="J4167" t="inlineStr"/>
      <c r="K4167" t="inlineStr"/>
      <c r="L4167" s="2" t="n">
        <v>2330</v>
      </c>
      <c r="M4167" t="inlineStr"/>
      <c r="N4167" t="inlineStr">
        <is>
          <t>20241101900307</t>
        </is>
      </c>
      <c r="O4167">
        <f>HYPERLINK("https://dart.fss.or.kr/dsaf001/main.do?rcpNo=20241101900307", "공시열람")</f>
        <v/>
      </c>
    </row>
    <row r="4168">
      <c r="A4168" t="inlineStr">
        <is>
          <t>2024-11-01</t>
        </is>
      </c>
      <c r="B4168" t="inlineStr">
        <is>
          <t>호텔신라</t>
        </is>
      </c>
      <c r="C4168" t="inlineStr">
        <is>
          <t>008770</t>
        </is>
      </c>
      <c r="D4168" t="inlineStr">
        <is>
          <t>연결</t>
        </is>
      </c>
      <c r="E4168" t="inlineStr">
        <is>
          <t>2024Q3</t>
        </is>
      </c>
      <c r="F4168" s="2" t="n">
        <v>1016230</v>
      </c>
      <c r="G4168" t="n">
        <v>1.4</v>
      </c>
      <c r="H4168" t="n">
        <v>0.4</v>
      </c>
      <c r="I4168" s="2" t="n">
        <v>-16986</v>
      </c>
      <c r="J4168" t="inlineStr"/>
      <c r="K4168" t="inlineStr"/>
      <c r="L4168" s="2" t="n">
        <v>-23336</v>
      </c>
      <c r="M4168" t="n">
        <v>-609.1</v>
      </c>
      <c r="N4168" t="inlineStr">
        <is>
          <t>20241101800371</t>
        </is>
      </c>
      <c r="O4168">
        <f>HYPERLINK("https://dart.fss.or.kr/dsaf001/main.do?rcpNo=20241101800371", "공시열람")</f>
        <v/>
      </c>
    </row>
    <row r="4169">
      <c r="A4169" t="inlineStr">
        <is>
          <t>2024-11-01</t>
        </is>
      </c>
      <c r="B4169" t="inlineStr">
        <is>
          <t>골프존</t>
        </is>
      </c>
      <c r="C4169" t="inlineStr">
        <is>
          <t>215000</t>
        </is>
      </c>
      <c r="D4169" t="inlineStr">
        <is>
          <t>연결</t>
        </is>
      </c>
      <c r="E4169" t="inlineStr">
        <is>
          <t>2024Q3</t>
        </is>
      </c>
      <c r="F4169" s="2" t="n">
        <v>146166</v>
      </c>
      <c r="G4169" t="inlineStr"/>
      <c r="H4169" t="inlineStr"/>
      <c r="I4169" s="2" t="n">
        <v>27489</v>
      </c>
      <c r="J4169" t="inlineStr"/>
      <c r="K4169" t="inlineStr"/>
      <c r="L4169" s="2" t="inlineStr"/>
      <c r="M4169" t="inlineStr"/>
      <c r="N4169" t="inlineStr">
        <is>
          <t>20241101900601</t>
        </is>
      </c>
      <c r="O4169">
        <f>HYPERLINK("https://dart.fss.or.kr/dsaf001/main.do?rcpNo=20241101900601", "공시열람")</f>
        <v/>
      </c>
    </row>
    <row r="4170">
      <c r="A4170" t="inlineStr">
        <is>
          <t>2024-11-01</t>
        </is>
      </c>
      <c r="B4170" t="inlineStr">
        <is>
          <t>현대자동차</t>
        </is>
      </c>
      <c r="C4170" t="inlineStr">
        <is>
          <t>005380</t>
        </is>
      </c>
      <c r="D4170" t="inlineStr">
        <is>
          <t>별도</t>
        </is>
      </c>
      <c r="E4170" t="inlineStr">
        <is>
          <t>2024Q3</t>
        </is>
      </c>
      <c r="F4170" s="2" t="inlineStr"/>
      <c r="G4170" t="inlineStr"/>
      <c r="H4170" t="inlineStr"/>
      <c r="I4170" s="2" t="inlineStr"/>
      <c r="J4170" t="inlineStr"/>
      <c r="K4170" t="inlineStr"/>
      <c r="L4170" s="2" t="inlineStr"/>
      <c r="M4170" t="inlineStr"/>
      <c r="N4170" t="inlineStr">
        <is>
          <t>20241101800566</t>
        </is>
      </c>
      <c r="O4170">
        <f>HYPERLINK("https://dart.fss.or.kr/dsaf001/main.do?rcpNo=20241101800566", "공시열람")</f>
        <v/>
      </c>
    </row>
    <row r="4171">
      <c r="A4171" t="inlineStr">
        <is>
          <t>2024-11-01</t>
        </is>
      </c>
      <c r="B4171" t="inlineStr">
        <is>
          <t>HS효성</t>
        </is>
      </c>
      <c r="C4171" t="inlineStr">
        <is>
          <t>487570</t>
        </is>
      </c>
      <c r="D4171" t="inlineStr">
        <is>
          <t>연결</t>
        </is>
      </c>
      <c r="E4171" t="inlineStr">
        <is>
          <t>2024Q3</t>
        </is>
      </c>
      <c r="F4171" s="2" t="n">
        <v>454089</v>
      </c>
      <c r="G4171" t="inlineStr"/>
      <c r="H4171" t="inlineStr"/>
      <c r="I4171" s="2" t="n">
        <v>9451</v>
      </c>
      <c r="J4171" t="inlineStr"/>
      <c r="K4171" t="inlineStr"/>
      <c r="L4171" s="2" t="n">
        <v>541</v>
      </c>
      <c r="M4171" t="inlineStr"/>
      <c r="N4171" t="inlineStr">
        <is>
          <t>20241101800558</t>
        </is>
      </c>
      <c r="O4171">
        <f>HYPERLINK("https://dart.fss.or.kr/dsaf001/main.do?rcpNo=20241101800558", "공시열람")</f>
        <v/>
      </c>
    </row>
    <row r="4172">
      <c r="A4172" t="inlineStr">
        <is>
          <t>2024-11-01</t>
        </is>
      </c>
      <c r="B4172" t="inlineStr">
        <is>
          <t>기아</t>
        </is>
      </c>
      <c r="C4172" t="inlineStr">
        <is>
          <t>000270</t>
        </is>
      </c>
      <c r="D4172" t="inlineStr">
        <is>
          <t>별도</t>
        </is>
      </c>
      <c r="E4172" t="inlineStr">
        <is>
          <t>2024Q3</t>
        </is>
      </c>
      <c r="F4172" s="2" t="inlineStr"/>
      <c r="G4172" t="inlineStr"/>
      <c r="H4172" t="inlineStr"/>
      <c r="I4172" s="2" t="inlineStr"/>
      <c r="J4172" t="inlineStr"/>
      <c r="K4172" t="inlineStr"/>
      <c r="L4172" s="2" t="inlineStr"/>
      <c r="M4172" t="inlineStr"/>
      <c r="N4172" t="inlineStr">
        <is>
          <t>20241101800429</t>
        </is>
      </c>
      <c r="O4172">
        <f>HYPERLINK("https://dart.fss.or.kr/dsaf001/main.do?rcpNo=20241101800429", "공시열람")</f>
        <v/>
      </c>
    </row>
    <row r="4173">
      <c r="A4173" t="inlineStr">
        <is>
          <t>2024-11-01</t>
        </is>
      </c>
      <c r="B4173" t="inlineStr">
        <is>
          <t>GC메디아이</t>
        </is>
      </c>
      <c r="C4173" t="inlineStr">
        <is>
          <t>032620</t>
        </is>
      </c>
      <c r="D4173" t="inlineStr">
        <is>
          <t>연결</t>
        </is>
      </c>
      <c r="E4173" t="inlineStr">
        <is>
          <t>2024Q3</t>
        </is>
      </c>
      <c r="F4173" s="2" t="n">
        <v>46871</v>
      </c>
      <c r="G4173" t="inlineStr"/>
      <c r="H4173" t="inlineStr"/>
      <c r="I4173" s="2" t="n">
        <v>609</v>
      </c>
      <c r="J4173" t="inlineStr"/>
      <c r="K4173" t="inlineStr"/>
      <c r="L4173" s="2" t="n">
        <v>-1018</v>
      </c>
      <c r="M4173" t="inlineStr"/>
      <c r="N4173" t="inlineStr">
        <is>
          <t>20241101900393</t>
        </is>
      </c>
      <c r="O4173">
        <f>HYPERLINK("https://dart.fss.or.kr/dsaf001/main.do?rcpNo=20241101900393", "공시열람")</f>
        <v/>
      </c>
    </row>
    <row r="4174">
      <c r="A4174" t="inlineStr">
        <is>
          <t>2024-11-01</t>
        </is>
      </c>
      <c r="B4174" t="inlineStr">
        <is>
          <t>기업은행</t>
        </is>
      </c>
      <c r="C4174" t="inlineStr">
        <is>
          <t>024110</t>
        </is>
      </c>
      <c r="D4174" t="inlineStr">
        <is>
          <t>연결</t>
        </is>
      </c>
      <c r="E4174" t="inlineStr">
        <is>
          <t>2024Q3</t>
        </is>
      </c>
      <c r="F4174" s="2" t="n">
        <v>6466489</v>
      </c>
      <c r="G4174" t="n">
        <v>-23</v>
      </c>
      <c r="H4174" t="n">
        <v>-16.1</v>
      </c>
      <c r="I4174" s="2" t="n">
        <v>1126080</v>
      </c>
      <c r="J4174" t="n">
        <v>36.1</v>
      </c>
      <c r="K4174" t="n">
        <v>16.3</v>
      </c>
      <c r="L4174" s="2" t="n">
        <v>803559</v>
      </c>
      <c r="M4174" t="n">
        <v>9.800000000000001</v>
      </c>
      <c r="N4174" t="inlineStr">
        <is>
          <t>20241101800321</t>
        </is>
      </c>
      <c r="O4174">
        <f>HYPERLINK("https://dart.fss.or.kr/dsaf001/main.do?rcpNo=20241101800321", "공시열람")</f>
        <v/>
      </c>
    </row>
    <row r="4175">
      <c r="A4175" t="inlineStr">
        <is>
          <t>2024-11-01</t>
        </is>
      </c>
      <c r="B4175" t="inlineStr">
        <is>
          <t>엠씨넥스</t>
        </is>
      </c>
      <c r="C4175" t="inlineStr">
        <is>
          <t>097520</t>
        </is>
      </c>
      <c r="D4175" t="inlineStr">
        <is>
          <t>연결</t>
        </is>
      </c>
      <c r="E4175" t="inlineStr">
        <is>
          <t>2024Q3</t>
        </is>
      </c>
      <c r="F4175" s="2" t="n">
        <v>245071</v>
      </c>
      <c r="G4175" t="inlineStr"/>
      <c r="H4175" t="inlineStr"/>
      <c r="I4175" s="2" t="n">
        <v>3078</v>
      </c>
      <c r="J4175" t="inlineStr"/>
      <c r="K4175" t="inlineStr"/>
      <c r="L4175" s="2" t="n">
        <v>2506</v>
      </c>
      <c r="M4175" t="inlineStr"/>
      <c r="N4175" t="inlineStr">
        <is>
          <t>20241101800432</t>
        </is>
      </c>
      <c r="O4175">
        <f>HYPERLINK("https://dart.fss.or.kr/dsaf001/main.do?rcpNo=20241101800432", "공시열람")</f>
        <v/>
      </c>
    </row>
    <row r="4176">
      <c r="A4176" t="inlineStr">
        <is>
          <t>2024-11-01</t>
        </is>
      </c>
      <c r="B4176" t="inlineStr">
        <is>
          <t>바이오니아</t>
        </is>
      </c>
      <c r="C4176" t="inlineStr">
        <is>
          <t>064550</t>
        </is>
      </c>
      <c r="D4176" t="inlineStr">
        <is>
          <t>연결</t>
        </is>
      </c>
      <c r="E4176" t="inlineStr">
        <is>
          <t>2024Q3</t>
        </is>
      </c>
      <c r="F4176" s="2" t="n">
        <v>65874</v>
      </c>
      <c r="G4176" t="inlineStr"/>
      <c r="H4176" t="inlineStr"/>
      <c r="I4176" s="2" t="n">
        <v>-7657</v>
      </c>
      <c r="J4176" t="inlineStr"/>
      <c r="K4176" t="inlineStr"/>
      <c r="L4176" s="2" t="n">
        <v>-9119</v>
      </c>
      <c r="M4176" t="inlineStr"/>
      <c r="N4176" t="inlineStr">
        <is>
          <t>20241101900384</t>
        </is>
      </c>
      <c r="O4176">
        <f>HYPERLINK("https://dart.fss.or.kr/dsaf001/main.do?rcpNo=20241101900384", "공시열람")</f>
        <v/>
      </c>
    </row>
    <row r="4177">
      <c r="A4177" t="inlineStr">
        <is>
          <t>2024-11-01</t>
        </is>
      </c>
      <c r="B4177" t="inlineStr">
        <is>
          <t>DB</t>
        </is>
      </c>
      <c r="C4177" t="inlineStr">
        <is>
          <t>012030</t>
        </is>
      </c>
      <c r="D4177" t="inlineStr">
        <is>
          <t>연결</t>
        </is>
      </c>
      <c r="E4177" t="inlineStr">
        <is>
          <t>2024Q3</t>
        </is>
      </c>
      <c r="F4177" s="2" t="n">
        <v>137978</v>
      </c>
      <c r="G4177" t="n">
        <v>-10.2</v>
      </c>
      <c r="H4177" t="n">
        <v>21.7</v>
      </c>
      <c r="I4177" s="2" t="n">
        <v>7377</v>
      </c>
      <c r="J4177" t="n">
        <v>-21.5</v>
      </c>
      <c r="K4177" t="n">
        <v>-46.7</v>
      </c>
      <c r="L4177" s="2" t="n">
        <v>61349</v>
      </c>
      <c r="M4177" t="n">
        <v>421.5</v>
      </c>
      <c r="N4177" t="inlineStr">
        <is>
          <t>20241101800388</t>
        </is>
      </c>
      <c r="O4177">
        <f>HYPERLINK("https://dart.fss.or.kr/dsaf001/main.do?rcpNo=20241101800388", "공시열람")</f>
        <v/>
      </c>
    </row>
    <row r="4178">
      <c r="A4178" t="inlineStr">
        <is>
          <t>2024-11-01</t>
        </is>
      </c>
      <c r="B4178" t="inlineStr">
        <is>
          <t>아이센스</t>
        </is>
      </c>
      <c r="C4178" t="inlineStr">
        <is>
          <t>099190</t>
        </is>
      </c>
      <c r="D4178" t="inlineStr">
        <is>
          <t>연결</t>
        </is>
      </c>
      <c r="E4178" t="inlineStr">
        <is>
          <t>2024Q3</t>
        </is>
      </c>
      <c r="F4178" s="2" t="n">
        <v>70340</v>
      </c>
      <c r="G4178" t="inlineStr"/>
      <c r="H4178" t="inlineStr"/>
      <c r="I4178" s="2" t="n">
        <v>3823</v>
      </c>
      <c r="J4178" t="inlineStr"/>
      <c r="K4178" t="inlineStr"/>
      <c r="L4178" s="2" t="n">
        <v>680</v>
      </c>
      <c r="M4178" t="inlineStr"/>
      <c r="N4178" t="inlineStr">
        <is>
          <t>20241101900369</t>
        </is>
      </c>
      <c r="O4178">
        <f>HYPERLINK("https://dart.fss.or.kr/dsaf001/main.do?rcpNo=20241101900369", "공시열람")</f>
        <v/>
      </c>
    </row>
    <row r="4179">
      <c r="A4179" t="inlineStr">
        <is>
          <t>2024-11-01</t>
        </is>
      </c>
      <c r="B4179" t="inlineStr">
        <is>
          <t>SK가스</t>
        </is>
      </c>
      <c r="C4179" t="inlineStr">
        <is>
          <t>018670</t>
        </is>
      </c>
      <c r="D4179" t="inlineStr">
        <is>
          <t>연결</t>
        </is>
      </c>
      <c r="E4179" t="inlineStr">
        <is>
          <t>2024Q3</t>
        </is>
      </c>
      <c r="F4179" s="2" t="n">
        <v>1733819</v>
      </c>
      <c r="G4179" t="n">
        <v>5</v>
      </c>
      <c r="H4179" t="n">
        <v>0.8</v>
      </c>
      <c r="I4179" s="2" t="n">
        <v>43012</v>
      </c>
      <c r="J4179" t="n">
        <v>-8.4</v>
      </c>
      <c r="K4179" t="n">
        <v>-25.4</v>
      </c>
      <c r="L4179" s="2" t="n">
        <v>73294</v>
      </c>
      <c r="M4179" t="n">
        <v>-41.6</v>
      </c>
      <c r="N4179" t="inlineStr">
        <is>
          <t>20241101800293</t>
        </is>
      </c>
      <c r="O4179">
        <f>HYPERLINK("https://dart.fss.or.kr/dsaf001/main.do?rcpNo=20241101800293", "공시열람")</f>
        <v/>
      </c>
    </row>
    <row r="4180">
      <c r="A4180" t="inlineStr">
        <is>
          <t>2024-11-01</t>
        </is>
      </c>
      <c r="B4180" t="inlineStr">
        <is>
          <t>녹십자</t>
        </is>
      </c>
      <c r="C4180" t="inlineStr">
        <is>
          <t>006280</t>
        </is>
      </c>
      <c r="D4180" t="inlineStr">
        <is>
          <t>연결</t>
        </is>
      </c>
      <c r="E4180" t="inlineStr">
        <is>
          <t>2024Q3</t>
        </is>
      </c>
      <c r="F4180" s="2" t="n">
        <v>464900</v>
      </c>
      <c r="G4180" t="n">
        <v>11.4</v>
      </c>
      <c r="H4180" t="n">
        <v>5.8</v>
      </c>
      <c r="I4180" s="2" t="n">
        <v>39600</v>
      </c>
      <c r="J4180" t="n">
        <v>124.2</v>
      </c>
      <c r="K4180" t="n">
        <v>20.8</v>
      </c>
      <c r="L4180" s="2" t="n">
        <v>35800</v>
      </c>
      <c r="M4180" t="n">
        <v>96.2</v>
      </c>
      <c r="N4180" t="inlineStr">
        <is>
          <t>20241101800346</t>
        </is>
      </c>
      <c r="O4180">
        <f>HYPERLINK("https://dart.fss.or.kr/dsaf001/main.do?rcpNo=20241101800346", "공시열람")</f>
        <v/>
      </c>
    </row>
    <row r="4181">
      <c r="A4181" t="inlineStr">
        <is>
          <t>2024-11-01</t>
        </is>
      </c>
      <c r="B4181" t="inlineStr">
        <is>
          <t>롯데하이마트</t>
        </is>
      </c>
      <c r="C4181" t="inlineStr">
        <is>
          <t>071840</t>
        </is>
      </c>
      <c r="D4181" t="inlineStr">
        <is>
          <t>별도</t>
        </is>
      </c>
      <c r="E4181" t="inlineStr">
        <is>
          <t>2024Q3</t>
        </is>
      </c>
      <c r="F4181" s="2" t="n">
        <v>685882</v>
      </c>
      <c r="G4181" t="n">
        <v>16.4</v>
      </c>
      <c r="H4181" t="n">
        <v>-5.5</v>
      </c>
      <c r="I4181" s="2" t="n">
        <v>31230</v>
      </c>
      <c r="J4181" t="n">
        <v>1022.9</v>
      </c>
      <c r="K4181" t="n">
        <v>-13.8</v>
      </c>
      <c r="L4181" s="2" t="n">
        <v>26752</v>
      </c>
      <c r="M4181" t="n">
        <v>-1.1</v>
      </c>
      <c r="N4181" t="inlineStr">
        <is>
          <t>20241101800330</t>
        </is>
      </c>
      <c r="O4181">
        <f>HYPERLINK("https://dart.fss.or.kr/dsaf001/main.do?rcpNo=20241101800330", "공시열람")</f>
        <v/>
      </c>
    </row>
    <row r="4182">
      <c r="A4182" t="inlineStr">
        <is>
          <t>2024-11-01</t>
        </is>
      </c>
      <c r="B4182" t="inlineStr">
        <is>
          <t>롯데관광개발</t>
        </is>
      </c>
      <c r="C4182" t="inlineStr">
        <is>
          <t>032350</t>
        </is>
      </c>
      <c r="D4182" t="inlineStr">
        <is>
          <t>연결</t>
        </is>
      </c>
      <c r="E4182" t="inlineStr">
        <is>
          <t>2024Q3</t>
        </is>
      </c>
      <c r="F4182" s="2" t="inlineStr"/>
      <c r="G4182" t="inlineStr"/>
      <c r="H4182" t="inlineStr"/>
      <c r="I4182" s="2" t="inlineStr"/>
      <c r="J4182" t="inlineStr"/>
      <c r="K4182" t="inlineStr"/>
      <c r="L4182" s="2" t="inlineStr"/>
      <c r="M4182" t="inlineStr"/>
      <c r="N4182" t="inlineStr">
        <is>
          <t>20241101800323</t>
        </is>
      </c>
      <c r="O4182">
        <f>HYPERLINK("https://dart.fss.or.kr/dsaf001/main.do?rcpNo=20241101800323", "공시열람")</f>
        <v/>
      </c>
    </row>
    <row r="4183">
      <c r="A4183" t="inlineStr">
        <is>
          <t>2024-11-01</t>
        </is>
      </c>
      <c r="B4183" t="inlineStr">
        <is>
          <t>DL</t>
        </is>
      </c>
      <c r="C4183" t="inlineStr">
        <is>
          <t>000210</t>
        </is>
      </c>
      <c r="D4183" t="inlineStr">
        <is>
          <t>연결</t>
        </is>
      </c>
      <c r="E4183" t="inlineStr">
        <is>
          <t>2024Q3</t>
        </is>
      </c>
      <c r="F4183" s="2" t="n">
        <v>1422354</v>
      </c>
      <c r="G4183" t="n">
        <v>-4.67</v>
      </c>
      <c r="H4183" t="n">
        <v>12.49</v>
      </c>
      <c r="I4183" s="2" t="n">
        <v>121398</v>
      </c>
      <c r="J4183" t="n">
        <v>-14.99</v>
      </c>
      <c r="K4183" t="n">
        <v>910.89</v>
      </c>
      <c r="L4183" s="2" t="n">
        <v>22092</v>
      </c>
      <c r="M4183" t="inlineStr"/>
      <c r="N4183" t="inlineStr">
        <is>
          <t>20241101800327</t>
        </is>
      </c>
      <c r="O4183">
        <f>HYPERLINK("https://dart.fss.or.kr/dsaf001/main.do?rcpNo=20241101800327", "공시열람")</f>
        <v/>
      </c>
    </row>
    <row r="4184">
      <c r="A4184" t="inlineStr">
        <is>
          <t>2024-11-01</t>
        </is>
      </c>
      <c r="B4184" t="inlineStr">
        <is>
          <t>네오팜</t>
        </is>
      </c>
      <c r="C4184" t="inlineStr">
        <is>
          <t>092730</t>
        </is>
      </c>
      <c r="D4184" t="inlineStr">
        <is>
          <t>연결</t>
        </is>
      </c>
      <c r="E4184" t="inlineStr">
        <is>
          <t>2024Q3</t>
        </is>
      </c>
      <c r="F4184" s="2" t="n">
        <v>26150</v>
      </c>
      <c r="G4184" t="inlineStr"/>
      <c r="H4184" t="inlineStr"/>
      <c r="I4184" s="2" t="n">
        <v>5083</v>
      </c>
      <c r="J4184" t="inlineStr"/>
      <c r="K4184" t="inlineStr"/>
      <c r="L4184" s="2" t="n">
        <v>4335</v>
      </c>
      <c r="M4184" t="inlineStr"/>
      <c r="N4184" t="inlineStr">
        <is>
          <t>20241101900353</t>
        </is>
      </c>
      <c r="O4184">
        <f>HYPERLINK("https://dart.fss.or.kr/dsaf001/main.do?rcpNo=20241101900353", "공시열람")</f>
        <v/>
      </c>
    </row>
    <row r="4185">
      <c r="A4185" t="inlineStr">
        <is>
          <t>2024-11-01</t>
        </is>
      </c>
      <c r="B4185" t="inlineStr">
        <is>
          <t>대한유화</t>
        </is>
      </c>
      <c r="C4185" t="inlineStr">
        <is>
          <t>006650</t>
        </is>
      </c>
      <c r="D4185" t="inlineStr">
        <is>
          <t>연결</t>
        </is>
      </c>
      <c r="E4185" t="inlineStr">
        <is>
          <t>2024Q3</t>
        </is>
      </c>
      <c r="F4185" s="2" t="n">
        <v>682775</v>
      </c>
      <c r="G4185" t="n">
        <v>-7.93</v>
      </c>
      <c r="H4185" t="n">
        <v>2.48</v>
      </c>
      <c r="I4185" s="2" t="n">
        <v>-28599</v>
      </c>
      <c r="J4185" t="n">
        <v>-352.9</v>
      </c>
      <c r="K4185" t="inlineStr"/>
      <c r="L4185" s="2" t="n">
        <v>-20286</v>
      </c>
      <c r="M4185" t="inlineStr"/>
      <c r="N4185" t="inlineStr">
        <is>
          <t>20241101800365</t>
        </is>
      </c>
      <c r="O4185">
        <f>HYPERLINK("https://dart.fss.or.kr/dsaf001/main.do?rcpNo=20241101800365", "공시열람")</f>
        <v/>
      </c>
    </row>
    <row r="4186">
      <c r="A4186" t="inlineStr">
        <is>
          <t>2024-11-01</t>
        </is>
      </c>
      <c r="B4186" t="inlineStr">
        <is>
          <t>녹십자엠에스</t>
        </is>
      </c>
      <c r="C4186" t="inlineStr">
        <is>
          <t>142280</t>
        </is>
      </c>
      <c r="D4186" t="inlineStr">
        <is>
          <t>연결</t>
        </is>
      </c>
      <c r="E4186" t="inlineStr">
        <is>
          <t>2024Q3</t>
        </is>
      </c>
      <c r="F4186" s="2" t="n">
        <v>26923</v>
      </c>
      <c r="G4186" t="inlineStr"/>
      <c r="H4186" t="inlineStr"/>
      <c r="I4186" s="2" t="n">
        <v>931</v>
      </c>
      <c r="J4186" t="inlineStr"/>
      <c r="K4186" t="inlineStr"/>
      <c r="L4186" s="2" t="n">
        <v>179</v>
      </c>
      <c r="M4186" t="inlineStr"/>
      <c r="N4186" t="inlineStr">
        <is>
          <t>20241101900342</t>
        </is>
      </c>
      <c r="O4186">
        <f>HYPERLINK("https://dart.fss.or.kr/dsaf001/main.do?rcpNo=20241101900342", "공시열람")</f>
        <v/>
      </c>
    </row>
    <row r="4187">
      <c r="A4187" t="inlineStr">
        <is>
          <t>2024-11-01</t>
        </is>
      </c>
      <c r="B4187" t="inlineStr">
        <is>
          <t>엘앤에프</t>
        </is>
      </c>
      <c r="C4187" t="inlineStr">
        <is>
          <t>066970</t>
        </is>
      </c>
      <c r="D4187" t="inlineStr">
        <is>
          <t>연결</t>
        </is>
      </c>
      <c r="E4187" t="inlineStr">
        <is>
          <t>2024Q3</t>
        </is>
      </c>
      <c r="F4187" s="2" t="n">
        <v>351628</v>
      </c>
      <c r="G4187" t="n">
        <v>-36.6</v>
      </c>
      <c r="H4187" t="n">
        <v>-72</v>
      </c>
      <c r="I4187" s="2" t="n">
        <v>-72417</v>
      </c>
      <c r="J4187" t="n">
        <v>14</v>
      </c>
      <c r="K4187" t="inlineStr"/>
      <c r="L4187" s="2" t="n">
        <v>-76951</v>
      </c>
      <c r="M4187" t="inlineStr"/>
      <c r="N4187" t="inlineStr">
        <is>
          <t>20241101800322</t>
        </is>
      </c>
      <c r="O4187">
        <f>HYPERLINK("https://dart.fss.or.kr/dsaf001/main.do?rcpNo=20241101800322", "공시열람")</f>
        <v/>
      </c>
    </row>
    <row r="4188">
      <c r="A4188" t="inlineStr">
        <is>
          <t>2024-10-31</t>
        </is>
      </c>
      <c r="B4188" t="inlineStr">
        <is>
          <t>아모레퍼시픽홀딩스</t>
        </is>
      </c>
      <c r="C4188" t="inlineStr">
        <is>
          <t>002790</t>
        </is>
      </c>
      <c r="D4188" t="inlineStr">
        <is>
          <t>연결</t>
        </is>
      </c>
      <c r="E4188" t="inlineStr">
        <is>
          <t>2024Q3</t>
        </is>
      </c>
      <c r="F4188" s="2" t="n">
        <v>1068057</v>
      </c>
      <c r="G4188" t="n">
        <v>6.2</v>
      </c>
      <c r="H4188" t="n">
        <v>10.9</v>
      </c>
      <c r="I4188" s="2" t="n">
        <v>74990</v>
      </c>
      <c r="J4188" t="n">
        <v>513.6</v>
      </c>
      <c r="K4188" t="n">
        <v>160.5</v>
      </c>
      <c r="L4188" s="2" t="n">
        <v>51646</v>
      </c>
      <c r="M4188" t="n">
        <v>23.8</v>
      </c>
      <c r="N4188" t="inlineStr">
        <is>
          <t>20241031800499</t>
        </is>
      </c>
      <c r="O4188">
        <f>HYPERLINK("https://dart.fss.or.kr/dsaf001/main.do?rcpNo=20241031800499", "공시열람")</f>
        <v/>
      </c>
    </row>
    <row r="4189">
      <c r="A4189" t="inlineStr">
        <is>
          <t>2024-10-31</t>
        </is>
      </c>
      <c r="B4189" t="inlineStr">
        <is>
          <t>HD현대마린엔진</t>
        </is>
      </c>
      <c r="C4189" t="inlineStr">
        <is>
          <t>071970</t>
        </is>
      </c>
      <c r="D4189" t="inlineStr">
        <is>
          <t>연결</t>
        </is>
      </c>
      <c r="E4189" t="inlineStr">
        <is>
          <t>2024Q3</t>
        </is>
      </c>
      <c r="F4189" s="2" t="n">
        <v>80788</v>
      </c>
      <c r="G4189" t="n">
        <v>-5.1</v>
      </c>
      <c r="H4189" t="n">
        <v>16.5</v>
      </c>
      <c r="I4189" s="2" t="n">
        <v>8807</v>
      </c>
      <c r="J4189" t="n">
        <v>-2.2</v>
      </c>
      <c r="K4189" t="n">
        <v>33.6</v>
      </c>
      <c r="L4189" s="2" t="n">
        <v>9512</v>
      </c>
      <c r="M4189" t="inlineStr"/>
      <c r="N4189" t="inlineStr">
        <is>
          <t>20241031800197</t>
        </is>
      </c>
      <c r="O4189">
        <f>HYPERLINK("https://dart.fss.or.kr/dsaf001/main.do?rcpNo=20241031800197", "공시열람")</f>
        <v/>
      </c>
    </row>
    <row r="4190">
      <c r="A4190" t="inlineStr">
        <is>
          <t>2024-10-31</t>
        </is>
      </c>
      <c r="B4190" t="inlineStr">
        <is>
          <t>풍산홀딩스</t>
        </is>
      </c>
      <c r="C4190" t="inlineStr">
        <is>
          <t>005810</t>
        </is>
      </c>
      <c r="D4190" t="inlineStr">
        <is>
          <t>별도</t>
        </is>
      </c>
      <c r="E4190" t="inlineStr">
        <is>
          <t>2024Q3</t>
        </is>
      </c>
      <c r="F4190" s="2" t="n">
        <v>37751</v>
      </c>
      <c r="G4190" t="n">
        <v>17.3</v>
      </c>
      <c r="H4190" t="n">
        <v>30.2</v>
      </c>
      <c r="I4190" s="2" t="n">
        <v>3801</v>
      </c>
      <c r="J4190" t="n">
        <v>13.8</v>
      </c>
      <c r="K4190" t="n">
        <v>278.2</v>
      </c>
      <c r="L4190" s="2" t="n">
        <v>2935</v>
      </c>
      <c r="M4190" t="n">
        <v>198.5</v>
      </c>
      <c r="N4190" t="inlineStr">
        <is>
          <t>20241031800230</t>
        </is>
      </c>
      <c r="O4190">
        <f>HYPERLINK("https://dart.fss.or.kr/dsaf001/main.do?rcpNo=20241031800230", "공시열람")</f>
        <v/>
      </c>
    </row>
    <row r="4191">
      <c r="A4191" t="inlineStr">
        <is>
          <t>2024-10-31</t>
        </is>
      </c>
      <c r="B4191" t="inlineStr">
        <is>
          <t>풍산</t>
        </is>
      </c>
      <c r="C4191" t="inlineStr">
        <is>
          <t>103140</t>
        </is>
      </c>
      <c r="D4191" t="inlineStr">
        <is>
          <t>별도</t>
        </is>
      </c>
      <c r="E4191" t="inlineStr">
        <is>
          <t>2024Q3</t>
        </is>
      </c>
      <c r="F4191" s="2" t="n">
        <v>829661</v>
      </c>
      <c r="G4191" t="n">
        <v>-15.1</v>
      </c>
      <c r="H4191" t="n">
        <v>23.2</v>
      </c>
      <c r="I4191" s="2" t="n">
        <v>70649</v>
      </c>
      <c r="J4191" t="n">
        <v>-49.9</v>
      </c>
      <c r="K4191" t="n">
        <v>161.3</v>
      </c>
      <c r="L4191" s="2" t="n">
        <v>47599</v>
      </c>
      <c r="M4191" t="n">
        <v>132.1</v>
      </c>
      <c r="N4191" t="inlineStr">
        <is>
          <t>20241031800225</t>
        </is>
      </c>
      <c r="O4191">
        <f>HYPERLINK("https://dart.fss.or.kr/dsaf001/main.do?rcpNo=20241031800225", "공시열람")</f>
        <v/>
      </c>
    </row>
    <row r="4192">
      <c r="A4192" t="inlineStr">
        <is>
          <t>2024-10-31</t>
        </is>
      </c>
      <c r="B4192" t="inlineStr">
        <is>
          <t>롯데정밀화학</t>
        </is>
      </c>
      <c r="C4192" t="inlineStr">
        <is>
          <t>004000</t>
        </is>
      </c>
      <c r="D4192" t="inlineStr">
        <is>
          <t>연결</t>
        </is>
      </c>
      <c r="E4192" t="inlineStr">
        <is>
          <t>2024Q3</t>
        </is>
      </c>
      <c r="F4192" s="2" t="n">
        <v>420400</v>
      </c>
      <c r="G4192" t="n">
        <v>-0.4</v>
      </c>
      <c r="H4192" t="n">
        <v>4.8</v>
      </c>
      <c r="I4192" s="2" t="n">
        <v>10300</v>
      </c>
      <c r="J4192" t="n">
        <v>-39.8</v>
      </c>
      <c r="K4192" t="n">
        <v>-70.7</v>
      </c>
      <c r="L4192" s="2" t="n">
        <v>-71600</v>
      </c>
      <c r="M4192" t="n">
        <v>-455</v>
      </c>
      <c r="N4192" t="inlineStr">
        <is>
          <t>20241031800236</t>
        </is>
      </c>
      <c r="O4192">
        <f>HYPERLINK("https://dart.fss.or.kr/dsaf001/main.do?rcpNo=20241031800236", "공시열람")</f>
        <v/>
      </c>
    </row>
    <row r="4193">
      <c r="A4193" t="inlineStr">
        <is>
          <t>2024-10-31</t>
        </is>
      </c>
      <c r="B4193" t="inlineStr">
        <is>
          <t>현대바이오랜드</t>
        </is>
      </c>
      <c r="C4193" t="inlineStr">
        <is>
          <t>052260</t>
        </is>
      </c>
      <c r="D4193" t="inlineStr">
        <is>
          <t>연결</t>
        </is>
      </c>
      <c r="E4193" t="inlineStr">
        <is>
          <t>2024Q3</t>
        </is>
      </c>
      <c r="F4193" s="2" t="n">
        <v>33494</v>
      </c>
      <c r="G4193" t="inlineStr"/>
      <c r="H4193" t="inlineStr"/>
      <c r="I4193" s="2" t="n">
        <v>3432</v>
      </c>
      <c r="J4193" t="inlineStr"/>
      <c r="K4193" t="inlineStr"/>
      <c r="L4193" s="2" t="n">
        <v>3054</v>
      </c>
      <c r="M4193" t="inlineStr"/>
      <c r="N4193" t="inlineStr">
        <is>
          <t>20241031900212</t>
        </is>
      </c>
      <c r="O4193">
        <f>HYPERLINK("https://dart.fss.or.kr/dsaf001/main.do?rcpNo=20241031900212", "공시열람")</f>
        <v/>
      </c>
    </row>
    <row r="4194">
      <c r="A4194" t="inlineStr">
        <is>
          <t>2024-10-31</t>
        </is>
      </c>
      <c r="B4194" t="inlineStr">
        <is>
          <t>LX인터내셔널</t>
        </is>
      </c>
      <c r="C4194" t="inlineStr">
        <is>
          <t>001120</t>
        </is>
      </c>
      <c r="D4194" t="inlineStr">
        <is>
          <t>연결</t>
        </is>
      </c>
      <c r="E4194" t="inlineStr">
        <is>
          <t>2024Q3</t>
        </is>
      </c>
      <c r="F4194" s="2" t="n">
        <v>4560300</v>
      </c>
      <c r="G4194" t="n">
        <v>11.9</v>
      </c>
      <c r="H4194" t="n">
        <v>24.6</v>
      </c>
      <c r="I4194" s="2" t="n">
        <v>154700</v>
      </c>
      <c r="J4194" t="n">
        <v>19.4</v>
      </c>
      <c r="K4194" t="n">
        <v>143.2</v>
      </c>
      <c r="L4194" s="2" t="n">
        <v>120700</v>
      </c>
      <c r="M4194" t="n">
        <v>146.3</v>
      </c>
      <c r="N4194" t="inlineStr">
        <is>
          <t>20241031800199</t>
        </is>
      </c>
      <c r="O4194">
        <f>HYPERLINK("https://dart.fss.or.kr/dsaf001/main.do?rcpNo=20241031800199", "공시열람")</f>
        <v/>
      </c>
    </row>
    <row r="4195">
      <c r="A4195" t="inlineStr">
        <is>
          <t>2024-10-31</t>
        </is>
      </c>
      <c r="B4195" t="inlineStr">
        <is>
          <t>HD현대에너지솔루션</t>
        </is>
      </c>
      <c r="C4195" t="inlineStr">
        <is>
          <t>322000</t>
        </is>
      </c>
      <c r="D4195" t="inlineStr">
        <is>
          <t>연결</t>
        </is>
      </c>
      <c r="E4195" t="inlineStr">
        <is>
          <t>2024Q3</t>
        </is>
      </c>
      <c r="F4195" s="2" t="n">
        <v>100643</v>
      </c>
      <c r="G4195" t="n">
        <v>-10.7</v>
      </c>
      <c r="H4195" t="n">
        <v>-28.6</v>
      </c>
      <c r="I4195" s="2" t="n">
        <v>3423</v>
      </c>
      <c r="J4195" t="n">
        <v>-56.7</v>
      </c>
      <c r="K4195" t="n">
        <v>-47.1</v>
      </c>
      <c r="L4195" s="2" t="n">
        <v>737</v>
      </c>
      <c r="M4195" t="n">
        <v>-85.8</v>
      </c>
      <c r="N4195" t="inlineStr">
        <is>
          <t>20241031800193</t>
        </is>
      </c>
      <c r="O4195">
        <f>HYPERLINK("https://dart.fss.or.kr/dsaf001/main.do?rcpNo=20241031800193", "공시열람")</f>
        <v/>
      </c>
    </row>
    <row r="4196">
      <c r="A4196" t="inlineStr">
        <is>
          <t>2024-10-31</t>
        </is>
      </c>
      <c r="B4196" t="inlineStr">
        <is>
          <t>효성중공업</t>
        </is>
      </c>
      <c r="C4196" t="inlineStr">
        <is>
          <t>298040</t>
        </is>
      </c>
      <c r="D4196" t="inlineStr">
        <is>
          <t>연결</t>
        </is>
      </c>
      <c r="E4196" t="inlineStr">
        <is>
          <t>2024Q3</t>
        </is>
      </c>
      <c r="F4196" s="2" t="n">
        <v>1145185</v>
      </c>
      <c r="G4196" t="n">
        <v>-4.07</v>
      </c>
      <c r="H4196" t="n">
        <v>10.17</v>
      </c>
      <c r="I4196" s="2" t="n">
        <v>111424</v>
      </c>
      <c r="J4196" t="n">
        <v>77.81999999999999</v>
      </c>
      <c r="K4196" t="n">
        <v>17.85</v>
      </c>
      <c r="L4196" s="2" t="n">
        <v>72417</v>
      </c>
      <c r="M4196" t="n">
        <v>28.36</v>
      </c>
      <c r="N4196" t="inlineStr">
        <is>
          <t>20241031800571</t>
        </is>
      </c>
      <c r="O4196">
        <f>HYPERLINK("https://dart.fss.or.kr/dsaf001/main.do?rcpNo=20241031800571", "공시열람")</f>
        <v/>
      </c>
    </row>
    <row r="4197">
      <c r="A4197" t="inlineStr">
        <is>
          <t>2024-10-31</t>
        </is>
      </c>
      <c r="B4197" t="inlineStr">
        <is>
          <t>HD현대중공업</t>
        </is>
      </c>
      <c r="C4197" t="inlineStr">
        <is>
          <t>329180</t>
        </is>
      </c>
      <c r="D4197" t="inlineStr">
        <is>
          <t>별도</t>
        </is>
      </c>
      <c r="E4197" t="inlineStr">
        <is>
          <t>2024Q3</t>
        </is>
      </c>
      <c r="F4197" s="2" t="n">
        <v>3604200</v>
      </c>
      <c r="G4197" t="n">
        <v>-7.2</v>
      </c>
      <c r="H4197" t="n">
        <v>26.4</v>
      </c>
      <c r="I4197" s="2" t="n">
        <v>203500</v>
      </c>
      <c r="J4197" t="n">
        <v>5</v>
      </c>
      <c r="K4197" t="n">
        <v>1489.8</v>
      </c>
      <c r="L4197" s="2" t="n">
        <v>70100</v>
      </c>
      <c r="M4197" t="inlineStr"/>
      <c r="N4197" t="inlineStr">
        <is>
          <t>20241031800185</t>
        </is>
      </c>
      <c r="O4197">
        <f>HYPERLINK("https://dart.fss.or.kr/dsaf001/main.do?rcpNo=20241031800185", "공시열람")</f>
        <v/>
      </c>
    </row>
    <row r="4198">
      <c r="A4198" t="inlineStr">
        <is>
          <t>2024-10-31</t>
        </is>
      </c>
      <c r="B4198" t="inlineStr">
        <is>
          <t>HD한국조선해양</t>
        </is>
      </c>
      <c r="C4198" t="inlineStr">
        <is>
          <t>009540</t>
        </is>
      </c>
      <c r="D4198" t="inlineStr">
        <is>
          <t>별도</t>
        </is>
      </c>
      <c r="E4198" t="inlineStr">
        <is>
          <t>2024Q3</t>
        </is>
      </c>
      <c r="F4198" s="2" t="n">
        <v>1643500</v>
      </c>
      <c r="G4198" t="n">
        <v>-9.199999999999999</v>
      </c>
      <c r="H4198" t="n">
        <v>24.2</v>
      </c>
      <c r="I4198" s="2" t="n">
        <v>177600</v>
      </c>
      <c r="J4198" t="n">
        <v>1.2</v>
      </c>
      <c r="K4198" t="n">
        <v>138.1</v>
      </c>
      <c r="L4198" s="2" t="n">
        <v>97600</v>
      </c>
      <c r="M4198" t="n">
        <v>10</v>
      </c>
      <c r="N4198" t="inlineStr">
        <is>
          <t>20241031800191</t>
        </is>
      </c>
      <c r="O4198">
        <f>HYPERLINK("https://dart.fss.or.kr/dsaf001/main.do?rcpNo=20241031800191", "공시열람")</f>
        <v/>
      </c>
    </row>
    <row r="4199">
      <c r="A4199" t="inlineStr">
        <is>
          <t>2024-10-31</t>
        </is>
      </c>
      <c r="B4199" t="inlineStr">
        <is>
          <t>HD한국조선해양</t>
        </is>
      </c>
      <c r="C4199" t="inlineStr">
        <is>
          <t>009540</t>
        </is>
      </c>
      <c r="D4199" t="inlineStr">
        <is>
          <t>연결</t>
        </is>
      </c>
      <c r="E4199" t="inlineStr">
        <is>
          <t>2024Q3</t>
        </is>
      </c>
      <c r="F4199" s="2" t="n">
        <v>6245800</v>
      </c>
      <c r="G4199" t="n">
        <v>-5.6</v>
      </c>
      <c r="H4199" t="n">
        <v>24.6</v>
      </c>
      <c r="I4199" s="2" t="n">
        <v>398400</v>
      </c>
      <c r="J4199" t="n">
        <v>5.8</v>
      </c>
      <c r="K4199" t="n">
        <v>477.4</v>
      </c>
      <c r="L4199" s="2" t="n">
        <v>176400</v>
      </c>
      <c r="M4199" t="n">
        <v>-49</v>
      </c>
      <c r="N4199" t="inlineStr">
        <is>
          <t>20241031800187</t>
        </is>
      </c>
      <c r="O4199">
        <f>HYPERLINK("https://dart.fss.or.kr/dsaf001/main.do?rcpNo=20241031800187", "공시열람")</f>
        <v/>
      </c>
    </row>
    <row r="4200">
      <c r="A4200" t="inlineStr">
        <is>
          <t>2024-10-31</t>
        </is>
      </c>
      <c r="B4200" t="inlineStr">
        <is>
          <t>HD현대중공업</t>
        </is>
      </c>
      <c r="C4200" t="inlineStr">
        <is>
          <t>329180</t>
        </is>
      </c>
      <c r="D4200" t="inlineStr">
        <is>
          <t>연결</t>
        </is>
      </c>
      <c r="E4200" t="inlineStr">
        <is>
          <t>2024Q3</t>
        </is>
      </c>
      <c r="F4200" s="2" t="n">
        <v>3609200</v>
      </c>
      <c r="G4200" t="n">
        <v>-7.1</v>
      </c>
      <c r="H4200" t="n">
        <v>26.5</v>
      </c>
      <c r="I4200" s="2" t="n">
        <v>206100</v>
      </c>
      <c r="J4200" t="n">
        <v>5.4</v>
      </c>
      <c r="K4200" t="n">
        <v>1497.7</v>
      </c>
      <c r="L4200" s="2" t="n">
        <v>72200</v>
      </c>
      <c r="M4200" t="inlineStr"/>
      <c r="N4200" t="inlineStr">
        <is>
          <t>20241031800182</t>
        </is>
      </c>
      <c r="O4200">
        <f>HYPERLINK("https://dart.fss.or.kr/dsaf001/main.do?rcpNo=20241031800182", "공시열람")</f>
        <v/>
      </c>
    </row>
    <row r="4201">
      <c r="A4201" t="inlineStr">
        <is>
          <t>2024-10-31</t>
        </is>
      </c>
      <c r="B4201" t="inlineStr">
        <is>
          <t>제일기획</t>
        </is>
      </c>
      <c r="C4201" t="inlineStr">
        <is>
          <t>030000</t>
        </is>
      </c>
      <c r="D4201" t="inlineStr">
        <is>
          <t>연결</t>
        </is>
      </c>
      <c r="E4201" t="inlineStr">
        <is>
          <t>2024Q3</t>
        </is>
      </c>
      <c r="F4201" s="2" t="n">
        <v>1072538</v>
      </c>
      <c r="G4201" t="n">
        <v>-1.55</v>
      </c>
      <c r="H4201" t="n">
        <v>-0.54</v>
      </c>
      <c r="I4201" s="2" t="n">
        <v>95571</v>
      </c>
      <c r="J4201" t="n">
        <v>8.35</v>
      </c>
      <c r="K4201" t="n">
        <v>2.28</v>
      </c>
      <c r="L4201" s="2" t="n">
        <v>60782</v>
      </c>
      <c r="M4201" t="n">
        <v>-8.220000000000001</v>
      </c>
      <c r="N4201" t="inlineStr">
        <is>
          <t>20241031800166</t>
        </is>
      </c>
      <c r="O4201">
        <f>HYPERLINK("https://dart.fss.or.kr/dsaf001/main.do?rcpNo=20241031800166", "공시열람")</f>
        <v/>
      </c>
    </row>
    <row r="4202">
      <c r="A4202" t="inlineStr">
        <is>
          <t>2024-10-31</t>
        </is>
      </c>
      <c r="B4202" t="inlineStr">
        <is>
          <t>영진약품</t>
        </is>
      </c>
      <c r="C4202" t="inlineStr">
        <is>
          <t>003520</t>
        </is>
      </c>
      <c r="D4202" t="inlineStr">
        <is>
          <t>별도</t>
        </is>
      </c>
      <c r="E4202" t="inlineStr">
        <is>
          <t>2024Q3</t>
        </is>
      </c>
      <c r="F4202" s="2" t="n">
        <v>62040</v>
      </c>
      <c r="G4202" t="n">
        <v>-0.3</v>
      </c>
      <c r="H4202" t="n">
        <v>4.5</v>
      </c>
      <c r="I4202" s="2" t="n">
        <v>1320</v>
      </c>
      <c r="J4202" t="n">
        <v>9.199999999999999</v>
      </c>
      <c r="K4202" t="n">
        <v>312.4</v>
      </c>
      <c r="L4202" s="2" t="n">
        <v>-437</v>
      </c>
      <c r="M4202" t="n">
        <v>50.1</v>
      </c>
      <c r="N4202" t="inlineStr">
        <is>
          <t>20241031800156</t>
        </is>
      </c>
      <c r="O4202">
        <f>HYPERLINK("https://dart.fss.or.kr/dsaf001/main.do?rcpNo=20241031800156", "공시열람")</f>
        <v/>
      </c>
    </row>
    <row r="4203">
      <c r="A4203" t="inlineStr">
        <is>
          <t>2024-10-31</t>
        </is>
      </c>
      <c r="B4203" t="inlineStr">
        <is>
          <t>라온로보틱스</t>
        </is>
      </c>
      <c r="C4203" t="inlineStr">
        <is>
          <t>232680</t>
        </is>
      </c>
      <c r="D4203" t="inlineStr">
        <is>
          <t>별도</t>
        </is>
      </c>
      <c r="E4203" t="inlineStr">
        <is>
          <t>2024Q3</t>
        </is>
      </c>
      <c r="F4203" s="2" t="n">
        <v>15046</v>
      </c>
      <c r="G4203" t="inlineStr"/>
      <c r="H4203" t="inlineStr"/>
      <c r="I4203" s="2" t="n">
        <v>1149</v>
      </c>
      <c r="J4203" t="inlineStr"/>
      <c r="K4203" t="inlineStr"/>
      <c r="L4203" s="2" t="n">
        <v>1066</v>
      </c>
      <c r="M4203" t="inlineStr"/>
      <c r="N4203" t="inlineStr">
        <is>
          <t>20241031900109</t>
        </is>
      </c>
      <c r="O4203">
        <f>HYPERLINK("https://dart.fss.or.kr/dsaf001/main.do?rcpNo=20241031900109", "공시열람")</f>
        <v/>
      </c>
    </row>
    <row r="4204">
      <c r="A4204" t="inlineStr">
        <is>
          <t>2024-10-31</t>
        </is>
      </c>
      <c r="B4204" t="inlineStr">
        <is>
          <t>세아베스틸지주</t>
        </is>
      </c>
      <c r="C4204" t="inlineStr">
        <is>
          <t>001430</t>
        </is>
      </c>
      <c r="D4204" t="inlineStr">
        <is>
          <t>연결</t>
        </is>
      </c>
      <c r="E4204" t="inlineStr">
        <is>
          <t>2024Q3</t>
        </is>
      </c>
      <c r="F4204" s="2" t="n">
        <v>883476</v>
      </c>
      <c r="G4204" t="n">
        <v>-8.9</v>
      </c>
      <c r="H4204" t="n">
        <v>-8</v>
      </c>
      <c r="I4204" s="2" t="n">
        <v>24885</v>
      </c>
      <c r="J4204" t="n">
        <v>-60.9</v>
      </c>
      <c r="K4204" t="n">
        <v>-40.3</v>
      </c>
      <c r="L4204" s="2" t="n">
        <v>13720</v>
      </c>
      <c r="M4204" t="n">
        <v>-56.8</v>
      </c>
      <c r="N4204" t="inlineStr">
        <is>
          <t>20241031800076</t>
        </is>
      </c>
      <c r="O4204">
        <f>HYPERLINK("https://dart.fss.or.kr/dsaf001/main.do?rcpNo=20241031800076", "공시열람")</f>
        <v/>
      </c>
    </row>
    <row r="4205">
      <c r="A4205" t="inlineStr">
        <is>
          <t>2024-10-31</t>
        </is>
      </c>
      <c r="B4205" t="inlineStr">
        <is>
          <t>현대글로비스</t>
        </is>
      </c>
      <c r="C4205" t="inlineStr">
        <is>
          <t>086280</t>
        </is>
      </c>
      <c r="D4205" t="inlineStr">
        <is>
          <t>연결</t>
        </is>
      </c>
      <c r="E4205" t="inlineStr">
        <is>
          <t>2024Q3</t>
        </is>
      </c>
      <c r="F4205" s="2" t="n">
        <v>7468714</v>
      </c>
      <c r="G4205" t="n">
        <v>5.7</v>
      </c>
      <c r="H4205" t="n">
        <v>18</v>
      </c>
      <c r="I4205" s="2" t="n">
        <v>469066</v>
      </c>
      <c r="J4205" t="n">
        <v>6.8</v>
      </c>
      <c r="K4205" t="n">
        <v>22.1</v>
      </c>
      <c r="L4205" s="2" t="n">
        <v>383628</v>
      </c>
      <c r="M4205" t="n">
        <v>55.9</v>
      </c>
      <c r="N4205" t="inlineStr">
        <is>
          <t>20241031800075</t>
        </is>
      </c>
      <c r="O4205">
        <f>HYPERLINK("https://dart.fss.or.kr/dsaf001/main.do?rcpNo=20241031800075", "공시열람")</f>
        <v/>
      </c>
    </row>
    <row r="4206">
      <c r="A4206" t="inlineStr">
        <is>
          <t>2024-10-31</t>
        </is>
      </c>
      <c r="B4206" t="inlineStr">
        <is>
          <t>GS건설</t>
        </is>
      </c>
      <c r="C4206" t="inlineStr">
        <is>
          <t>006360</t>
        </is>
      </c>
      <c r="D4206" t="inlineStr">
        <is>
          <t>연결</t>
        </is>
      </c>
      <c r="E4206" t="inlineStr">
        <is>
          <t>2024Q3</t>
        </is>
      </c>
      <c r="F4206" s="2" t="n">
        <v>3109249</v>
      </c>
      <c r="G4206" t="n">
        <v>-5.7</v>
      </c>
      <c r="H4206" t="n">
        <v>0.06</v>
      </c>
      <c r="I4206" s="2" t="n">
        <v>81774</v>
      </c>
      <c r="J4206" t="n">
        <v>-12.48</v>
      </c>
      <c r="K4206" t="n">
        <v>35.95</v>
      </c>
      <c r="L4206" s="2" t="n">
        <v>120814</v>
      </c>
      <c r="M4206" t="n">
        <v>939.53</v>
      </c>
      <c r="N4206" t="inlineStr">
        <is>
          <t>20241031800050</t>
        </is>
      </c>
      <c r="O4206">
        <f>HYPERLINK("https://dart.fss.or.kr/dsaf001/main.do?rcpNo=20241031800050", "공시열람")</f>
        <v/>
      </c>
    </row>
    <row r="4207">
      <c r="A4207" t="inlineStr">
        <is>
          <t>2024-10-31</t>
        </is>
      </c>
      <c r="B4207" t="inlineStr">
        <is>
          <t>삼성전자</t>
        </is>
      </c>
      <c r="C4207" t="inlineStr">
        <is>
          <t>005930</t>
        </is>
      </c>
      <c r="D4207" t="inlineStr">
        <is>
          <t>연결</t>
        </is>
      </c>
      <c r="E4207" t="inlineStr">
        <is>
          <t>2024Q3</t>
        </is>
      </c>
      <c r="F4207" s="2" t="n">
        <v>79</v>
      </c>
      <c r="G4207" t="n">
        <v>6.79</v>
      </c>
      <c r="H4207" t="n">
        <v>17.35</v>
      </c>
      <c r="I4207" s="2" t="n">
        <v>9</v>
      </c>
      <c r="J4207" t="n">
        <v>-12.07</v>
      </c>
      <c r="K4207" t="n">
        <v>277.37</v>
      </c>
      <c r="L4207" s="2" t="inlineStr"/>
      <c r="M4207" t="inlineStr"/>
      <c r="N4207" t="inlineStr">
        <is>
          <t>20241031800030</t>
        </is>
      </c>
      <c r="O4207">
        <f>HYPERLINK("https://dart.fss.or.kr/dsaf001/main.do?rcpNo=20241031800030", "공시열람")</f>
        <v/>
      </c>
    </row>
    <row r="4208">
      <c r="A4208" t="inlineStr">
        <is>
          <t>2024-10-31</t>
        </is>
      </c>
      <c r="B4208" t="inlineStr">
        <is>
          <t>삼성전자</t>
        </is>
      </c>
      <c r="C4208" t="inlineStr">
        <is>
          <t>005930</t>
        </is>
      </c>
      <c r="D4208" t="inlineStr">
        <is>
          <t>연결</t>
        </is>
      </c>
      <c r="E4208" t="inlineStr">
        <is>
          <t>2024Q3</t>
        </is>
      </c>
      <c r="F4208" s="2" t="n">
        <v>79098700</v>
      </c>
      <c r="G4208" t="n">
        <v>6.79</v>
      </c>
      <c r="H4208" t="n">
        <v>17.35</v>
      </c>
      <c r="I4208" s="2" t="n">
        <v>9183400</v>
      </c>
      <c r="J4208" t="n">
        <v>-12.07</v>
      </c>
      <c r="K4208" t="n">
        <v>277.37</v>
      </c>
      <c r="L4208" s="2" t="n">
        <v>10100900</v>
      </c>
      <c r="M4208" t="n">
        <v>72.84</v>
      </c>
      <c r="N4208" t="inlineStr">
        <is>
          <t>20241031800024</t>
        </is>
      </c>
      <c r="O4208">
        <f>HYPERLINK("https://dart.fss.or.kr/dsaf001/main.do?rcpNo=20241031800024", "공시열람")</f>
        <v/>
      </c>
    </row>
    <row r="4209">
      <c r="A4209" t="inlineStr">
        <is>
          <t>2024-10-31</t>
        </is>
      </c>
      <c r="B4209" t="inlineStr">
        <is>
          <t>SOOP</t>
        </is>
      </c>
      <c r="C4209" t="inlineStr">
        <is>
          <t>067160</t>
        </is>
      </c>
      <c r="D4209" t="inlineStr">
        <is>
          <t>연결</t>
        </is>
      </c>
      <c r="E4209" t="inlineStr">
        <is>
          <t>2024Q3</t>
        </is>
      </c>
      <c r="F4209" s="2" t="n">
        <v>109997</v>
      </c>
      <c r="G4209" t="inlineStr"/>
      <c r="H4209" t="inlineStr"/>
      <c r="I4209" s="2" t="n">
        <v>23868</v>
      </c>
      <c r="J4209" t="inlineStr"/>
      <c r="K4209" t="inlineStr"/>
      <c r="L4209" s="2" t="n">
        <v>24038</v>
      </c>
      <c r="M4209" t="inlineStr"/>
      <c r="N4209" t="inlineStr">
        <is>
          <t>20241031900020</t>
        </is>
      </c>
      <c r="O4209">
        <f>HYPERLINK("https://dart.fss.or.kr/dsaf001/main.do?rcpNo=20241031900020", "공시열람")</f>
        <v/>
      </c>
    </row>
    <row r="4210">
      <c r="A4210" t="inlineStr">
        <is>
          <t>2024-10-31</t>
        </is>
      </c>
      <c r="B4210" t="inlineStr">
        <is>
          <t>풍산</t>
        </is>
      </c>
      <c r="C4210" t="inlineStr">
        <is>
          <t>103140</t>
        </is>
      </c>
      <c r="D4210" t="inlineStr">
        <is>
          <t>연결</t>
        </is>
      </c>
      <c r="E4210" t="inlineStr">
        <is>
          <t>2024Q3</t>
        </is>
      </c>
      <c r="F4210" s="2" t="n">
        <v>1129237</v>
      </c>
      <c r="G4210" t="n">
        <v>-8.5</v>
      </c>
      <c r="H4210" t="n">
        <v>21.3</v>
      </c>
      <c r="I4210" s="2" t="n">
        <v>74355</v>
      </c>
      <c r="J4210" t="n">
        <v>-53.9</v>
      </c>
      <c r="K4210" t="n">
        <v>133.1</v>
      </c>
      <c r="L4210" s="2" t="n">
        <v>47599</v>
      </c>
      <c r="M4210" t="n">
        <v>132.1</v>
      </c>
      <c r="N4210" t="inlineStr">
        <is>
          <t>20241031800232</t>
        </is>
      </c>
      <c r="O4210">
        <f>HYPERLINK("https://dart.fss.or.kr/dsaf001/main.do?rcpNo=20241031800232", "공시열람")</f>
        <v/>
      </c>
    </row>
    <row r="4211">
      <c r="A4211" t="inlineStr">
        <is>
          <t>2024-10-31</t>
        </is>
      </c>
      <c r="B4211" t="inlineStr">
        <is>
          <t>풍산홀딩스</t>
        </is>
      </c>
      <c r="C4211" t="inlineStr">
        <is>
          <t>005810</t>
        </is>
      </c>
      <c r="D4211" t="inlineStr">
        <is>
          <t>연결</t>
        </is>
      </c>
      <c r="E4211" t="inlineStr">
        <is>
          <t>2024Q3</t>
        </is>
      </c>
      <c r="F4211" s="2" t="n">
        <v>109494</v>
      </c>
      <c r="G4211" t="n">
        <v>-13.2</v>
      </c>
      <c r="H4211" t="n">
        <v>13.7</v>
      </c>
      <c r="I4211" s="2" t="n">
        <v>23884</v>
      </c>
      <c r="J4211" t="n">
        <v>-51.3</v>
      </c>
      <c r="K4211" t="n">
        <v>125.9</v>
      </c>
      <c r="L4211" s="2" t="n">
        <v>21780</v>
      </c>
      <c r="M4211" t="n">
        <v>119.7</v>
      </c>
      <c r="N4211" t="inlineStr">
        <is>
          <t>20241031800233</t>
        </is>
      </c>
      <c r="O4211">
        <f>HYPERLINK("https://dart.fss.or.kr/dsaf001/main.do?rcpNo=20241031800233", "공시열람")</f>
        <v/>
      </c>
    </row>
    <row r="4212">
      <c r="A4212" t="inlineStr">
        <is>
          <t>2024-10-31</t>
        </is>
      </c>
      <c r="B4212" t="inlineStr">
        <is>
          <t>자이에스앤디</t>
        </is>
      </c>
      <c r="C4212" t="inlineStr">
        <is>
          <t>317400</t>
        </is>
      </c>
      <c r="D4212" t="inlineStr">
        <is>
          <t>연결</t>
        </is>
      </c>
      <c r="E4212" t="inlineStr">
        <is>
          <t>2024Q3</t>
        </is>
      </c>
      <c r="F4212" s="2" t="n">
        <v>375839</v>
      </c>
      <c r="G4212" t="n">
        <v>-12.06</v>
      </c>
      <c r="H4212" t="n">
        <v>-26.69</v>
      </c>
      <c r="I4212" s="2" t="n">
        <v>2489</v>
      </c>
      <c r="J4212" t="n">
        <v>129.82</v>
      </c>
      <c r="K4212" t="n">
        <v>-88.36</v>
      </c>
      <c r="L4212" s="2" t="n">
        <v>3693</v>
      </c>
      <c r="M4212" t="n">
        <v>-77.76000000000001</v>
      </c>
      <c r="N4212" t="inlineStr">
        <is>
          <t>20241031800237</t>
        </is>
      </c>
      <c r="O4212">
        <f>HYPERLINK("https://dart.fss.or.kr/dsaf001/main.do?rcpNo=20241031800237", "공시열람")</f>
        <v/>
      </c>
    </row>
    <row r="4213">
      <c r="A4213" t="inlineStr">
        <is>
          <t>2024-10-31</t>
        </is>
      </c>
      <c r="B4213" t="inlineStr">
        <is>
          <t>한미사이언스</t>
        </is>
      </c>
      <c r="C4213" t="inlineStr">
        <is>
          <t>008930</t>
        </is>
      </c>
      <c r="D4213" t="inlineStr">
        <is>
          <t>연결</t>
        </is>
      </c>
      <c r="E4213" t="inlineStr">
        <is>
          <t>2024Q3</t>
        </is>
      </c>
      <c r="F4213" s="2" t="n">
        <v>322474</v>
      </c>
      <c r="G4213" t="inlineStr"/>
      <c r="H4213" t="inlineStr"/>
      <c r="I4213" s="2" t="n">
        <v>22435</v>
      </c>
      <c r="J4213" t="inlineStr"/>
      <c r="K4213" t="inlineStr"/>
      <c r="L4213" s="2" t="n">
        <v>17253</v>
      </c>
      <c r="M4213" t="inlineStr"/>
      <c r="N4213" t="inlineStr">
        <is>
          <t>20241031800444</t>
        </is>
      </c>
      <c r="O4213">
        <f>HYPERLINK("https://dart.fss.or.kr/dsaf001/main.do?rcpNo=20241031800444", "공시열람")</f>
        <v/>
      </c>
    </row>
    <row r="4214">
      <c r="A4214" t="inlineStr">
        <is>
          <t>2024-10-31</t>
        </is>
      </c>
      <c r="B4214" t="inlineStr">
        <is>
          <t>하츠</t>
        </is>
      </c>
      <c r="C4214" t="inlineStr">
        <is>
          <t>066130</t>
        </is>
      </c>
      <c r="D4214" t="inlineStr">
        <is>
          <t>별도</t>
        </is>
      </c>
      <c r="E4214" t="inlineStr">
        <is>
          <t>2024Q3</t>
        </is>
      </c>
      <c r="F4214" s="2" t="n">
        <v>43582</v>
      </c>
      <c r="G4214" t="inlineStr"/>
      <c r="H4214" t="inlineStr"/>
      <c r="I4214" s="2" t="n">
        <v>3030</v>
      </c>
      <c r="J4214" t="inlineStr"/>
      <c r="K4214" t="inlineStr"/>
      <c r="L4214" s="2" t="n">
        <v>2948</v>
      </c>
      <c r="M4214" t="inlineStr"/>
      <c r="N4214" t="inlineStr">
        <is>
          <t>20241031900535</t>
        </is>
      </c>
      <c r="O4214">
        <f>HYPERLINK("https://dart.fss.or.kr/dsaf001/main.do?rcpNo=20241031900535", "공시열람")</f>
        <v/>
      </c>
    </row>
    <row r="4215">
      <c r="A4215" t="inlineStr">
        <is>
          <t>2024-10-31</t>
        </is>
      </c>
      <c r="B4215" t="inlineStr">
        <is>
          <t>유나이티드</t>
        </is>
      </c>
      <c r="C4215" t="inlineStr">
        <is>
          <t>033270</t>
        </is>
      </c>
      <c r="D4215" t="inlineStr">
        <is>
          <t>별도</t>
        </is>
      </c>
      <c r="E4215" t="inlineStr">
        <is>
          <t>2024Q3</t>
        </is>
      </c>
      <c r="F4215" s="2" t="n">
        <v>71356</v>
      </c>
      <c r="G4215" t="n">
        <v>0.5</v>
      </c>
      <c r="H4215" t="n">
        <v>1.1</v>
      </c>
      <c r="I4215" s="2" t="n">
        <v>15055</v>
      </c>
      <c r="J4215" t="n">
        <v>20.1</v>
      </c>
      <c r="K4215" t="n">
        <v>-6</v>
      </c>
      <c r="L4215" s="2" t="n">
        <v>5252</v>
      </c>
      <c r="M4215" t="n">
        <v>-68.8</v>
      </c>
      <c r="N4215" t="inlineStr">
        <is>
          <t>20241031800635</t>
        </is>
      </c>
      <c r="O4215">
        <f>HYPERLINK("https://dart.fss.or.kr/dsaf001/main.do?rcpNo=20241031800635", "공시열람")</f>
        <v/>
      </c>
    </row>
    <row r="4216">
      <c r="A4216" t="inlineStr">
        <is>
          <t>2024-10-31</t>
        </is>
      </c>
      <c r="B4216" t="inlineStr">
        <is>
          <t>에코프로에이치엔</t>
        </is>
      </c>
      <c r="C4216" t="inlineStr">
        <is>
          <t>383310</t>
        </is>
      </c>
      <c r="D4216" t="inlineStr">
        <is>
          <t>연결</t>
        </is>
      </c>
      <c r="E4216" t="inlineStr">
        <is>
          <t>2024Q3</t>
        </is>
      </c>
      <c r="F4216" s="2" t="n">
        <v>56117</v>
      </c>
      <c r="G4216" t="inlineStr"/>
      <c r="H4216" t="inlineStr"/>
      <c r="I4216" s="2" t="n">
        <v>5691</v>
      </c>
      <c r="J4216" t="inlineStr"/>
      <c r="K4216" t="inlineStr"/>
      <c r="L4216" s="2" t="n">
        <v>4832</v>
      </c>
      <c r="M4216" t="inlineStr"/>
      <c r="N4216" t="inlineStr">
        <is>
          <t>20241031900689</t>
        </is>
      </c>
      <c r="O4216">
        <f>HYPERLINK("https://dart.fss.or.kr/dsaf001/main.do?rcpNo=20241031900689", "공시열람")</f>
        <v/>
      </c>
    </row>
    <row r="4217">
      <c r="A4217" t="inlineStr">
        <is>
          <t>2024-10-31</t>
        </is>
      </c>
      <c r="B4217" t="inlineStr">
        <is>
          <t>에코프로비엠</t>
        </is>
      </c>
      <c r="C4217" t="inlineStr">
        <is>
          <t>247540</t>
        </is>
      </c>
      <c r="D4217" t="inlineStr">
        <is>
          <t>연결</t>
        </is>
      </c>
      <c r="E4217" t="inlineStr">
        <is>
          <t>2024Q3</t>
        </is>
      </c>
      <c r="F4217" s="2" t="n">
        <v>521936</v>
      </c>
      <c r="G4217" t="inlineStr"/>
      <c r="H4217" t="inlineStr"/>
      <c r="I4217" s="2" t="n">
        <v>-41229</v>
      </c>
      <c r="J4217" t="inlineStr"/>
      <c r="K4217" t="inlineStr"/>
      <c r="L4217" s="2" t="n">
        <v>-49543</v>
      </c>
      <c r="M4217" t="inlineStr"/>
      <c r="N4217" t="inlineStr">
        <is>
          <t>20241031900707</t>
        </is>
      </c>
      <c r="O4217">
        <f>HYPERLINK("https://dart.fss.or.kr/dsaf001/main.do?rcpNo=20241031900707", "공시열람")</f>
        <v/>
      </c>
    </row>
    <row r="4218">
      <c r="A4218" t="inlineStr">
        <is>
          <t>2024-10-31</t>
        </is>
      </c>
      <c r="B4218" t="inlineStr">
        <is>
          <t>에코프로</t>
        </is>
      </c>
      <c r="C4218" t="inlineStr">
        <is>
          <t>086520</t>
        </is>
      </c>
      <c r="D4218" t="inlineStr">
        <is>
          <t>연결</t>
        </is>
      </c>
      <c r="E4218" t="inlineStr">
        <is>
          <t>2024Q3</t>
        </is>
      </c>
      <c r="F4218" s="2" t="n">
        <v>594279</v>
      </c>
      <c r="G4218" t="inlineStr"/>
      <c r="H4218" t="inlineStr"/>
      <c r="I4218" s="2" t="n">
        <v>-108757</v>
      </c>
      <c r="J4218" t="inlineStr"/>
      <c r="K4218" t="inlineStr"/>
      <c r="L4218" s="2" t="n">
        <v>-119422</v>
      </c>
      <c r="M4218" t="inlineStr"/>
      <c r="N4218" t="inlineStr">
        <is>
          <t>20241031900708</t>
        </is>
      </c>
      <c r="O4218">
        <f>HYPERLINK("https://dart.fss.or.kr/dsaf001/main.do?rcpNo=20241031900708", "공시열람")</f>
        <v/>
      </c>
    </row>
    <row r="4219">
      <c r="A4219" t="inlineStr">
        <is>
          <t>2024-10-31</t>
        </is>
      </c>
      <c r="B4219" t="inlineStr">
        <is>
          <t>효성화학</t>
        </is>
      </c>
      <c r="C4219" t="inlineStr">
        <is>
          <t>298000</t>
        </is>
      </c>
      <c r="D4219" t="inlineStr">
        <is>
          <t>연결</t>
        </is>
      </c>
      <c r="E4219" t="inlineStr">
        <is>
          <t>2024Q3</t>
        </is>
      </c>
      <c r="F4219" s="2" t="n">
        <v>768310</v>
      </c>
      <c r="G4219" t="n">
        <v>1.83</v>
      </c>
      <c r="H4219" t="n">
        <v>7.95</v>
      </c>
      <c r="I4219" s="2" t="n">
        <v>-26172</v>
      </c>
      <c r="J4219" t="n">
        <v>48.4</v>
      </c>
      <c r="K4219" t="n">
        <v>-823.17</v>
      </c>
      <c r="L4219" s="2" t="n">
        <v>-61201</v>
      </c>
      <c r="M4219" t="n">
        <v>-27.41</v>
      </c>
      <c r="N4219" t="inlineStr">
        <is>
          <t>20241031800651</t>
        </is>
      </c>
      <c r="O4219">
        <f>HYPERLINK("https://dart.fss.or.kr/dsaf001/main.do?rcpNo=20241031800651", "공시열람")</f>
        <v/>
      </c>
    </row>
    <row r="4220">
      <c r="A4220" t="inlineStr">
        <is>
          <t>2024-10-31</t>
        </is>
      </c>
      <c r="B4220" t="inlineStr">
        <is>
          <t>효성 ITX</t>
        </is>
      </c>
      <c r="C4220" t="inlineStr">
        <is>
          <t>094280</t>
        </is>
      </c>
      <c r="D4220" t="inlineStr">
        <is>
          <t>연결</t>
        </is>
      </c>
      <c r="E4220" t="inlineStr">
        <is>
          <t>2024Q3</t>
        </is>
      </c>
      <c r="F4220" s="2" t="n">
        <v>121706</v>
      </c>
      <c r="G4220" t="n">
        <v>1.19</v>
      </c>
      <c r="H4220" t="n">
        <v>-0.45</v>
      </c>
      <c r="I4220" s="2" t="n">
        <v>3954</v>
      </c>
      <c r="J4220" t="n">
        <v>-10.71</v>
      </c>
      <c r="K4220" t="n">
        <v>-9.18</v>
      </c>
      <c r="L4220" s="2" t="n">
        <v>2321</v>
      </c>
      <c r="M4220" t="n">
        <v>-26.66</v>
      </c>
      <c r="N4220" t="inlineStr">
        <is>
          <t>20241031800669</t>
        </is>
      </c>
      <c r="O4220">
        <f>HYPERLINK("https://dart.fss.or.kr/dsaf001/main.do?rcpNo=20241031800669", "공시열람")</f>
        <v/>
      </c>
    </row>
    <row r="4221">
      <c r="A4221" t="inlineStr">
        <is>
          <t>2024-10-31</t>
        </is>
      </c>
      <c r="B4221" t="inlineStr">
        <is>
          <t>HS효성첨단소재</t>
        </is>
      </c>
      <c r="C4221" t="inlineStr">
        <is>
          <t>298050</t>
        </is>
      </c>
      <c r="D4221" t="inlineStr">
        <is>
          <t>연결</t>
        </is>
      </c>
      <c r="E4221" t="inlineStr">
        <is>
          <t>2024Q3</t>
        </is>
      </c>
      <c r="F4221" s="2" t="n">
        <v>829450</v>
      </c>
      <c r="G4221" t="n">
        <v>-1.31</v>
      </c>
      <c r="H4221" t="n">
        <v>5.89</v>
      </c>
      <c r="I4221" s="2" t="n">
        <v>44232</v>
      </c>
      <c r="J4221" t="n">
        <v>-32.8</v>
      </c>
      <c r="K4221" t="n">
        <v>24.06</v>
      </c>
      <c r="L4221" s="2" t="n">
        <v>2285</v>
      </c>
      <c r="M4221" t="n">
        <v>-17.57</v>
      </c>
      <c r="N4221" t="inlineStr">
        <is>
          <t>20241031800688</t>
        </is>
      </c>
      <c r="O4221">
        <f>HYPERLINK("https://dart.fss.or.kr/dsaf001/main.do?rcpNo=20241031800688", "공시열람")</f>
        <v/>
      </c>
    </row>
    <row r="4222">
      <c r="A4222" t="inlineStr">
        <is>
          <t>2024-10-31</t>
        </is>
      </c>
      <c r="B4222" t="inlineStr">
        <is>
          <t>효성티앤씨</t>
        </is>
      </c>
      <c r="C4222" t="inlineStr">
        <is>
          <t>298020</t>
        </is>
      </c>
      <c r="D4222" t="inlineStr">
        <is>
          <t>연결</t>
        </is>
      </c>
      <c r="E4222" t="inlineStr">
        <is>
          <t>2024Q3</t>
        </is>
      </c>
      <c r="F4222" s="2" t="n">
        <v>1936282</v>
      </c>
      <c r="G4222" t="inlineStr"/>
      <c r="H4222" t="inlineStr"/>
      <c r="I4222" s="2" t="n">
        <v>67607</v>
      </c>
      <c r="J4222" t="inlineStr"/>
      <c r="K4222" t="inlineStr"/>
      <c r="L4222" s="2" t="n">
        <v>27623</v>
      </c>
      <c r="M4222" t="inlineStr"/>
      <c r="N4222" t="inlineStr">
        <is>
          <t>20241031800698</t>
        </is>
      </c>
      <c r="O4222">
        <f>HYPERLINK("https://dart.fss.or.kr/dsaf001/main.do?rcpNo=20241031800698", "공시열람")</f>
        <v/>
      </c>
    </row>
    <row r="4223">
      <c r="A4223" t="inlineStr">
        <is>
          <t>2024-10-31</t>
        </is>
      </c>
      <c r="B4223" t="inlineStr">
        <is>
          <t>에코프로머티</t>
        </is>
      </c>
      <c r="C4223" t="inlineStr">
        <is>
          <t>450080</t>
        </is>
      </c>
      <c r="D4223" t="inlineStr">
        <is>
          <t>별도</t>
        </is>
      </c>
      <c r="E4223" t="inlineStr">
        <is>
          <t>2024Q3</t>
        </is>
      </c>
      <c r="F4223" s="2" t="n">
        <v>65875</v>
      </c>
      <c r="G4223" t="n">
        <v>-1.2</v>
      </c>
      <c r="H4223" t="n">
        <v>-72.59999999999999</v>
      </c>
      <c r="I4223" s="2" t="n">
        <v>-38537</v>
      </c>
      <c r="J4223" t="n">
        <v>-951</v>
      </c>
      <c r="K4223" t="n">
        <v>-460.3</v>
      </c>
      <c r="L4223" s="2" t="n">
        <v>-27739</v>
      </c>
      <c r="M4223" t="n">
        <v>-228</v>
      </c>
      <c r="N4223" t="inlineStr">
        <is>
          <t>20241031800691</t>
        </is>
      </c>
      <c r="O4223">
        <f>HYPERLINK("https://dart.fss.or.kr/dsaf001/main.do?rcpNo=20241031800691", "공시열람")</f>
        <v/>
      </c>
    </row>
    <row r="4224">
      <c r="A4224" t="inlineStr">
        <is>
          <t>2024-10-31</t>
        </is>
      </c>
      <c r="B4224" t="inlineStr">
        <is>
          <t>한화에어로스페이스</t>
        </is>
      </c>
      <c r="C4224" t="inlineStr">
        <is>
          <t>012450</t>
        </is>
      </c>
      <c r="D4224" t="inlineStr">
        <is>
          <t>연결</t>
        </is>
      </c>
      <c r="E4224" t="inlineStr">
        <is>
          <t>2024Q3</t>
        </is>
      </c>
      <c r="F4224" s="2" t="n">
        <v>2631200</v>
      </c>
      <c r="G4224" t="n">
        <v>12.7</v>
      </c>
      <c r="H4224" t="n">
        <v>61.9</v>
      </c>
      <c r="I4224" s="2" t="n">
        <v>477200</v>
      </c>
      <c r="J4224" t="n">
        <v>41.5</v>
      </c>
      <c r="K4224" t="n">
        <v>457.5</v>
      </c>
      <c r="L4224" s="2" t="n">
        <v>330400</v>
      </c>
      <c r="M4224" t="n">
        <v>4831.3</v>
      </c>
      <c r="N4224" t="inlineStr">
        <is>
          <t>20241031800292</t>
        </is>
      </c>
      <c r="O4224">
        <f>HYPERLINK("https://dart.fss.or.kr/dsaf001/main.do?rcpNo=20241031800292", "공시열람")</f>
        <v/>
      </c>
    </row>
    <row r="4225">
      <c r="A4225" t="inlineStr">
        <is>
          <t>2024-10-31</t>
        </is>
      </c>
      <c r="B4225" t="inlineStr">
        <is>
          <t>현대코퍼레이션</t>
        </is>
      </c>
      <c r="C4225" t="inlineStr">
        <is>
          <t>011760</t>
        </is>
      </c>
      <c r="D4225" t="inlineStr">
        <is>
          <t>연결</t>
        </is>
      </c>
      <c r="E4225" t="inlineStr">
        <is>
          <t>2024Q3</t>
        </is>
      </c>
      <c r="F4225" s="2" t="n">
        <v>1807009</v>
      </c>
      <c r="G4225" t="n">
        <v>4.52</v>
      </c>
      <c r="H4225" t="n">
        <v>7.05</v>
      </c>
      <c r="I4225" s="2" t="n">
        <v>37184</v>
      </c>
      <c r="J4225" t="n">
        <v>1.81</v>
      </c>
      <c r="K4225" t="n">
        <v>38.63</v>
      </c>
      <c r="L4225" s="2" t="n">
        <v>39739</v>
      </c>
      <c r="M4225" t="n">
        <v>79.44</v>
      </c>
      <c r="N4225" t="inlineStr">
        <is>
          <t>20241031800729</t>
        </is>
      </c>
      <c r="O4225">
        <f>HYPERLINK("https://dart.fss.or.kr/dsaf001/main.do?rcpNo=20241031800729", "공시열람")</f>
        <v/>
      </c>
    </row>
    <row r="4226">
      <c r="A4226" t="inlineStr">
        <is>
          <t>2024-10-31</t>
        </is>
      </c>
      <c r="B4226" t="inlineStr">
        <is>
          <t>효성</t>
        </is>
      </c>
      <c r="C4226" t="inlineStr">
        <is>
          <t>004800</t>
        </is>
      </c>
      <c r="D4226" t="inlineStr">
        <is>
          <t>연결</t>
        </is>
      </c>
      <c r="E4226" t="inlineStr">
        <is>
          <t>2024Q3</t>
        </is>
      </c>
      <c r="F4226" s="2" t="n">
        <v>577697</v>
      </c>
      <c r="G4226" t="n">
        <v>2.4</v>
      </c>
      <c r="H4226" t="n">
        <v>40.2</v>
      </c>
      <c r="I4226" s="2" t="n">
        <v>47436</v>
      </c>
      <c r="J4226" t="n">
        <v>24.2</v>
      </c>
      <c r="K4226" t="n">
        <v>121.5</v>
      </c>
      <c r="L4226" s="2" t="n">
        <v>339586</v>
      </c>
      <c r="M4226" t="n">
        <v>2093.7</v>
      </c>
      <c r="N4226" t="inlineStr">
        <is>
          <t>20241031800676</t>
        </is>
      </c>
      <c r="O4226">
        <f>HYPERLINK("https://dart.fss.or.kr/dsaf001/main.do?rcpNo=20241031800676", "공시열람")</f>
        <v/>
      </c>
    </row>
    <row r="4227">
      <c r="A4227" t="inlineStr">
        <is>
          <t>2024-10-31</t>
        </is>
      </c>
      <c r="B4227" t="inlineStr">
        <is>
          <t>애경산업</t>
        </is>
      </c>
      <c r="C4227" t="inlineStr">
        <is>
          <t>018250</t>
        </is>
      </c>
      <c r="D4227" t="inlineStr">
        <is>
          <t>연결</t>
        </is>
      </c>
      <c r="E4227" t="inlineStr">
        <is>
          <t>2024Q3</t>
        </is>
      </c>
      <c r="F4227" s="2" t="n">
        <v>165280</v>
      </c>
      <c r="G4227" t="inlineStr"/>
      <c r="H4227" t="inlineStr"/>
      <c r="I4227" s="2" t="n">
        <v>9551</v>
      </c>
      <c r="J4227" t="inlineStr"/>
      <c r="K4227" t="inlineStr"/>
      <c r="L4227" s="2" t="n">
        <v>5694</v>
      </c>
      <c r="M4227" t="inlineStr"/>
      <c r="N4227" t="inlineStr">
        <is>
          <t>20241031800469</t>
        </is>
      </c>
      <c r="O4227">
        <f>HYPERLINK("https://dart.fss.or.kr/dsaf001/main.do?rcpNo=20241031800469", "공시열람")</f>
        <v/>
      </c>
    </row>
    <row r="4228">
      <c r="A4228" t="inlineStr">
        <is>
          <t>2024-10-31</t>
        </is>
      </c>
      <c r="B4228" t="inlineStr">
        <is>
          <t>제이브이엠</t>
        </is>
      </c>
      <c r="C4228" t="inlineStr">
        <is>
          <t>054950</t>
        </is>
      </c>
      <c r="D4228" t="inlineStr">
        <is>
          <t>연결</t>
        </is>
      </c>
      <c r="E4228" t="inlineStr">
        <is>
          <t>2024Q3</t>
        </is>
      </c>
      <c r="F4228" s="2" t="n">
        <v>37371</v>
      </c>
      <c r="G4228" t="inlineStr"/>
      <c r="H4228" t="inlineStr"/>
      <c r="I4228" s="2" t="n">
        <v>7360</v>
      </c>
      <c r="J4228" t="inlineStr"/>
      <c r="K4228" t="inlineStr"/>
      <c r="L4228" s="2" t="n">
        <v>6896</v>
      </c>
      <c r="M4228" t="inlineStr"/>
      <c r="N4228" t="inlineStr">
        <is>
          <t>20241031900376</t>
        </is>
      </c>
      <c r="O4228">
        <f>HYPERLINK("https://dart.fss.or.kr/dsaf001/main.do?rcpNo=20241031900376", "공시열람")</f>
        <v/>
      </c>
    </row>
    <row r="4229">
      <c r="A4229" t="inlineStr">
        <is>
          <t>2024-10-31</t>
        </is>
      </c>
      <c r="B4229" t="inlineStr">
        <is>
          <t>OCI홀딩스</t>
        </is>
      </c>
      <c r="C4229" t="inlineStr">
        <is>
          <t>010060</t>
        </is>
      </c>
      <c r="D4229" t="inlineStr">
        <is>
          <t>연결</t>
        </is>
      </c>
      <c r="E4229" t="inlineStr">
        <is>
          <t>2024Q3</t>
        </is>
      </c>
      <c r="F4229" s="2" t="n">
        <v>908847</v>
      </c>
      <c r="G4229" t="n">
        <v>-4.3</v>
      </c>
      <c r="H4229" t="n">
        <v>31.7</v>
      </c>
      <c r="I4229" s="2" t="n">
        <v>20512</v>
      </c>
      <c r="J4229" t="n">
        <v>-77.09999999999999</v>
      </c>
      <c r="K4229" t="n">
        <v>-84.3</v>
      </c>
      <c r="L4229" s="2" t="n">
        <v>-18725</v>
      </c>
      <c r="M4229" t="inlineStr"/>
      <c r="N4229" t="inlineStr">
        <is>
          <t>20241031800300</t>
        </is>
      </c>
      <c r="O4229">
        <f>HYPERLINK("https://dart.fss.or.kr/dsaf001/main.do?rcpNo=20241031800300", "공시열람")</f>
        <v/>
      </c>
    </row>
    <row r="4230">
      <c r="A4230" t="inlineStr">
        <is>
          <t>2024-10-31</t>
        </is>
      </c>
      <c r="B4230" t="inlineStr">
        <is>
          <t>HDC랩스</t>
        </is>
      </c>
      <c r="C4230" t="inlineStr">
        <is>
          <t>039570</t>
        </is>
      </c>
      <c r="D4230" t="inlineStr">
        <is>
          <t>연결</t>
        </is>
      </c>
      <c r="E4230" t="inlineStr">
        <is>
          <t>2024Q3</t>
        </is>
      </c>
      <c r="F4230" s="2" t="n">
        <v>157173</v>
      </c>
      <c r="G4230" t="n">
        <v>1.7</v>
      </c>
      <c r="H4230" t="n">
        <v>1.5</v>
      </c>
      <c r="I4230" s="2" t="n">
        <v>329</v>
      </c>
      <c r="J4230" t="n">
        <v>-83.8</v>
      </c>
      <c r="K4230" t="n">
        <v>-82.5</v>
      </c>
      <c r="L4230" s="2" t="n">
        <v>2528</v>
      </c>
      <c r="M4230" t="n">
        <v>-7.4</v>
      </c>
      <c r="N4230" t="inlineStr">
        <is>
          <t>20241031800317</t>
        </is>
      </c>
      <c r="O4230">
        <f>HYPERLINK("https://dart.fss.or.kr/dsaf001/main.do?rcpNo=20241031800317", "공시열람")</f>
        <v/>
      </c>
    </row>
    <row r="4231">
      <c r="A4231" t="inlineStr">
        <is>
          <t>2024-10-31</t>
        </is>
      </c>
      <c r="B4231" t="inlineStr">
        <is>
          <t>두산</t>
        </is>
      </c>
      <c r="C4231" t="inlineStr">
        <is>
          <t>000150</t>
        </is>
      </c>
      <c r="D4231" t="inlineStr">
        <is>
          <t>연결</t>
        </is>
      </c>
      <c r="E4231" t="inlineStr">
        <is>
          <t>2024Q3</t>
        </is>
      </c>
      <c r="F4231" s="2" t="n">
        <v>3878500</v>
      </c>
      <c r="G4231" t="n">
        <v>-15.5</v>
      </c>
      <c r="H4231" t="n">
        <v>-14.5</v>
      </c>
      <c r="I4231" s="2" t="n">
        <v>110200</v>
      </c>
      <c r="J4231" t="n">
        <v>-67.3</v>
      </c>
      <c r="K4231" t="n">
        <v>-65.5</v>
      </c>
      <c r="L4231" s="2" t="n">
        <v>-94900</v>
      </c>
      <c r="M4231" t="inlineStr"/>
      <c r="N4231" t="inlineStr">
        <is>
          <t>20241031800465</t>
        </is>
      </c>
      <c r="O4231">
        <f>HYPERLINK("https://dart.fss.or.kr/dsaf001/main.do?rcpNo=20241031800465", "공시열람")</f>
        <v/>
      </c>
    </row>
    <row r="4232">
      <c r="A4232" t="inlineStr">
        <is>
          <t>2024-10-31</t>
        </is>
      </c>
      <c r="B4232" t="inlineStr">
        <is>
          <t>DL이앤씨</t>
        </is>
      </c>
      <c r="C4232" t="inlineStr">
        <is>
          <t>375500</t>
        </is>
      </c>
      <c r="D4232" t="inlineStr">
        <is>
          <t>연결</t>
        </is>
      </c>
      <c r="E4232" t="inlineStr">
        <is>
          <t>2024Q3</t>
        </is>
      </c>
      <c r="F4232" s="2" t="n">
        <v>1918869</v>
      </c>
      <c r="G4232" t="n">
        <v>-7.31</v>
      </c>
      <c r="H4232" t="n">
        <v>4.43</v>
      </c>
      <c r="I4232" s="2" t="n">
        <v>83343</v>
      </c>
      <c r="J4232" t="n">
        <v>155.89</v>
      </c>
      <c r="K4232" t="n">
        <v>3.66</v>
      </c>
      <c r="L4232" s="2" t="n">
        <v>45278</v>
      </c>
      <c r="M4232" t="n">
        <v>-32.48</v>
      </c>
      <c r="N4232" t="inlineStr">
        <is>
          <t>20241031800370</t>
        </is>
      </c>
      <c r="O4232">
        <f>HYPERLINK("https://dart.fss.or.kr/dsaf001/main.do?rcpNo=20241031800370", "공시열람")</f>
        <v/>
      </c>
    </row>
    <row r="4233">
      <c r="A4233" t="inlineStr">
        <is>
          <t>2024-10-31</t>
        </is>
      </c>
      <c r="B4233" t="inlineStr">
        <is>
          <t>지씨셀</t>
        </is>
      </c>
      <c r="C4233" t="inlineStr">
        <is>
          <t>144510</t>
        </is>
      </c>
      <c r="D4233" t="inlineStr">
        <is>
          <t>연결</t>
        </is>
      </c>
      <c r="E4233" t="inlineStr">
        <is>
          <t>2024Q3</t>
        </is>
      </c>
      <c r="F4233" s="2" t="n">
        <v>45350</v>
      </c>
      <c r="G4233" t="inlineStr"/>
      <c r="H4233" t="inlineStr"/>
      <c r="I4233" s="2" t="n">
        <v>-2720</v>
      </c>
      <c r="J4233" t="inlineStr"/>
      <c r="K4233" t="inlineStr"/>
      <c r="L4233" s="2" t="n">
        <v>9943</v>
      </c>
      <c r="M4233" t="inlineStr"/>
      <c r="N4233" t="inlineStr">
        <is>
          <t>20241031900345</t>
        </is>
      </c>
      <c r="O4233">
        <f>HYPERLINK("https://dart.fss.or.kr/dsaf001/main.do?rcpNo=20241031900345", "공시열람")</f>
        <v/>
      </c>
    </row>
    <row r="4234">
      <c r="A4234" t="inlineStr">
        <is>
          <t>2024-10-31</t>
        </is>
      </c>
      <c r="B4234" t="inlineStr">
        <is>
          <t>한솔제지</t>
        </is>
      </c>
      <c r="C4234" t="inlineStr">
        <is>
          <t>213500</t>
        </is>
      </c>
      <c r="D4234" t="inlineStr">
        <is>
          <t>연결</t>
        </is>
      </c>
      <c r="E4234" t="inlineStr">
        <is>
          <t>2024Q3</t>
        </is>
      </c>
      <c r="F4234" s="2" t="n">
        <v>556192</v>
      </c>
      <c r="G4234" t="n">
        <v>-1.2</v>
      </c>
      <c r="H4234" t="n">
        <v>6.2</v>
      </c>
      <c r="I4234" s="2" t="n">
        <v>-4339</v>
      </c>
      <c r="J4234" t="inlineStr"/>
      <c r="K4234" t="inlineStr"/>
      <c r="L4234" s="2" t="n">
        <v>-12133</v>
      </c>
      <c r="M4234" t="inlineStr"/>
      <c r="N4234" t="inlineStr">
        <is>
          <t>20241031800378</t>
        </is>
      </c>
      <c r="O4234">
        <f>HYPERLINK("https://dart.fss.or.kr/dsaf001/main.do?rcpNo=20241031800378", "공시열람")</f>
        <v/>
      </c>
    </row>
    <row r="4235">
      <c r="A4235" t="inlineStr">
        <is>
          <t>2024-10-31</t>
        </is>
      </c>
      <c r="B4235" t="inlineStr">
        <is>
          <t>한솔제지</t>
        </is>
      </c>
      <c r="C4235" t="inlineStr">
        <is>
          <t>213500</t>
        </is>
      </c>
      <c r="D4235" t="inlineStr">
        <is>
          <t>별도</t>
        </is>
      </c>
      <c r="E4235" t="inlineStr">
        <is>
          <t>2024Q3</t>
        </is>
      </c>
      <c r="F4235" s="2" t="n">
        <v>508141</v>
      </c>
      <c r="G4235" t="n">
        <v>-5.8</v>
      </c>
      <c r="H4235" t="n">
        <v>2</v>
      </c>
      <c r="I4235" s="2" t="n">
        <v>-17911</v>
      </c>
      <c r="J4235" t="inlineStr"/>
      <c r="K4235" t="inlineStr"/>
      <c r="L4235" s="2" t="n">
        <v>-20928</v>
      </c>
      <c r="M4235" t="inlineStr"/>
      <c r="N4235" t="inlineStr">
        <is>
          <t>20241031800380</t>
        </is>
      </c>
      <c r="O4235">
        <f>HYPERLINK("https://dart.fss.or.kr/dsaf001/main.do?rcpNo=20241031800380", "공시열람")</f>
        <v/>
      </c>
    </row>
    <row r="4236">
      <c r="A4236" t="inlineStr">
        <is>
          <t>2024-10-31</t>
        </is>
      </c>
      <c r="B4236" t="inlineStr">
        <is>
          <t>대덕전자</t>
        </is>
      </c>
      <c r="C4236" t="inlineStr">
        <is>
          <t>353200</t>
        </is>
      </c>
      <c r="D4236" t="inlineStr">
        <is>
          <t>연결</t>
        </is>
      </c>
      <c r="E4236" t="inlineStr">
        <is>
          <t>2024Q3</t>
        </is>
      </c>
      <c r="F4236" s="2" t="n">
        <v>232654</v>
      </c>
      <c r="G4236" t="n">
        <v>-2.3</v>
      </c>
      <c r="H4236" t="n">
        <v>-2.2</v>
      </c>
      <c r="I4236" s="2" t="n">
        <v>9218</v>
      </c>
      <c r="J4236" t="n">
        <v>-15.5</v>
      </c>
      <c r="K4236" t="n">
        <v>550.9</v>
      </c>
      <c r="L4236" s="2" t="n">
        <v>5177</v>
      </c>
      <c r="M4236" t="n">
        <v>37.5</v>
      </c>
      <c r="N4236" t="inlineStr">
        <is>
          <t>20241031800382</t>
        </is>
      </c>
      <c r="O4236">
        <f>HYPERLINK("https://dart.fss.or.kr/dsaf001/main.do?rcpNo=20241031800382", "공시열람")</f>
        <v/>
      </c>
    </row>
    <row r="4237">
      <c r="A4237" t="inlineStr">
        <is>
          <t>2024-10-31</t>
        </is>
      </c>
      <c r="B4237" t="inlineStr">
        <is>
          <t>한미약품</t>
        </is>
      </c>
      <c r="C4237" t="inlineStr">
        <is>
          <t>128940</t>
        </is>
      </c>
      <c r="D4237" t="inlineStr">
        <is>
          <t>연결</t>
        </is>
      </c>
      <c r="E4237" t="inlineStr">
        <is>
          <t>2024Q3</t>
        </is>
      </c>
      <c r="F4237" s="2" t="n">
        <v>362077</v>
      </c>
      <c r="G4237" t="inlineStr"/>
      <c r="H4237" t="inlineStr"/>
      <c r="I4237" s="2" t="n">
        <v>50976</v>
      </c>
      <c r="J4237" t="inlineStr"/>
      <c r="K4237" t="inlineStr"/>
      <c r="L4237" s="2" t="n">
        <v>34955</v>
      </c>
      <c r="M4237" t="inlineStr"/>
      <c r="N4237" t="inlineStr">
        <is>
          <t>20241031800441</t>
        </is>
      </c>
      <c r="O4237">
        <f>HYPERLINK("https://dart.fss.or.kr/dsaf001/main.do?rcpNo=20241031800441", "공시열람")</f>
        <v/>
      </c>
    </row>
    <row r="4238">
      <c r="A4238" t="inlineStr">
        <is>
          <t>2024-10-31</t>
        </is>
      </c>
      <c r="B4238" t="inlineStr">
        <is>
          <t>아모레퍼시픽</t>
        </is>
      </c>
      <c r="C4238" t="inlineStr">
        <is>
          <t>090430</t>
        </is>
      </c>
      <c r="D4238" t="inlineStr">
        <is>
          <t>연결</t>
        </is>
      </c>
      <c r="E4238" t="inlineStr">
        <is>
          <t>2024Q3</t>
        </is>
      </c>
      <c r="F4238" s="2" t="n">
        <v>977208</v>
      </c>
      <c r="G4238" t="n">
        <v>8</v>
      </c>
      <c r="H4238" t="n">
        <v>9.9</v>
      </c>
      <c r="I4238" s="2" t="n">
        <v>65171</v>
      </c>
      <c r="J4238" t="n">
        <v>1469</v>
      </c>
      <c r="K4238" t="n">
        <v>277.7</v>
      </c>
      <c r="L4238" s="2" t="n">
        <v>37160</v>
      </c>
      <c r="M4238" t="n">
        <v>39.5</v>
      </c>
      <c r="N4238" t="inlineStr">
        <is>
          <t>20241031800447</t>
        </is>
      </c>
      <c r="O4238">
        <f>HYPERLINK("https://dart.fss.or.kr/dsaf001/main.do?rcpNo=20241031800447", "공시열람")</f>
        <v/>
      </c>
    </row>
    <row r="4239">
      <c r="A4239" t="inlineStr">
        <is>
          <t>2024-10-31</t>
        </is>
      </c>
      <c r="B4239" t="inlineStr">
        <is>
          <t>한독</t>
        </is>
      </c>
      <c r="C4239" t="inlineStr">
        <is>
          <t>002390</t>
        </is>
      </c>
      <c r="D4239" t="inlineStr">
        <is>
          <t>별도</t>
        </is>
      </c>
      <c r="E4239" t="inlineStr">
        <is>
          <t>2024Q3</t>
        </is>
      </c>
      <c r="F4239" s="2" t="n">
        <v>128362</v>
      </c>
      <c r="G4239" t="n">
        <v>1.23</v>
      </c>
      <c r="H4239" t="n">
        <v>1.79</v>
      </c>
      <c r="I4239" s="2" t="n">
        <v>-2352</v>
      </c>
      <c r="J4239" t="inlineStr"/>
      <c r="K4239" t="inlineStr"/>
      <c r="L4239" s="2" t="n">
        <v>-3313</v>
      </c>
      <c r="M4239" t="inlineStr"/>
      <c r="N4239" t="inlineStr">
        <is>
          <t>20241031800348</t>
        </is>
      </c>
      <c r="O4239">
        <f>HYPERLINK("https://dart.fss.or.kr/dsaf001/main.do?rcpNo=20241031800348", "공시열람")</f>
        <v/>
      </c>
    </row>
    <row r="4240">
      <c r="A4240" t="inlineStr">
        <is>
          <t>2024-10-30</t>
        </is>
      </c>
      <c r="B4240" t="inlineStr">
        <is>
          <t>키움증권</t>
        </is>
      </c>
      <c r="C4240" t="inlineStr">
        <is>
          <t>039490</t>
        </is>
      </c>
      <c r="D4240" t="inlineStr">
        <is>
          <t>연결</t>
        </is>
      </c>
      <c r="E4240" t="inlineStr">
        <is>
          <t>2024Q3</t>
        </is>
      </c>
      <c r="F4240" s="2" t="n">
        <v>2714839</v>
      </c>
      <c r="G4240" t="n">
        <v>19.04</v>
      </c>
      <c r="H4240" t="n">
        <v>29.23</v>
      </c>
      <c r="I4240" s="2" t="n">
        <v>267993</v>
      </c>
      <c r="J4240" t="n">
        <v>-14.2</v>
      </c>
      <c r="K4240" t="n">
        <v>-1.43</v>
      </c>
      <c r="L4240" s="2" t="n">
        <v>211643</v>
      </c>
      <c r="M4240" t="n">
        <v>3.71</v>
      </c>
      <c r="N4240" t="inlineStr">
        <is>
          <t>20241030800005</t>
        </is>
      </c>
      <c r="O4240">
        <f>HYPERLINK("https://dart.fss.or.kr/dsaf001/main.do?rcpNo=20241030800005", "공시열람")</f>
        <v/>
      </c>
    </row>
    <row r="4241">
      <c r="A4241" t="inlineStr">
        <is>
          <t>2024-10-30</t>
        </is>
      </c>
      <c r="B4241" t="inlineStr">
        <is>
          <t>삼성에스디에스</t>
        </is>
      </c>
      <c r="C4241" t="inlineStr">
        <is>
          <t>018260</t>
        </is>
      </c>
      <c r="D4241" t="inlineStr">
        <is>
          <t>연결</t>
        </is>
      </c>
      <c r="E4241" t="inlineStr">
        <is>
          <t>2024Q3</t>
        </is>
      </c>
      <c r="F4241" s="2" t="n">
        <v>3569686</v>
      </c>
      <c r="G4241" t="inlineStr"/>
      <c r="H4241" t="inlineStr"/>
      <c r="I4241" s="2" t="n">
        <v>252800</v>
      </c>
      <c r="J4241" t="inlineStr"/>
      <c r="K4241" t="inlineStr"/>
      <c r="L4241" s="2" t="n">
        <v>185815</v>
      </c>
      <c r="M4241" t="inlineStr"/>
      <c r="N4241" t="inlineStr">
        <is>
          <t>20241030800036</t>
        </is>
      </c>
      <c r="O4241">
        <f>HYPERLINK("https://dart.fss.or.kr/dsaf001/main.do?rcpNo=20241030800036", "공시열람")</f>
        <v/>
      </c>
    </row>
    <row r="4242">
      <c r="A4242" t="inlineStr">
        <is>
          <t>2024-10-30</t>
        </is>
      </c>
      <c r="B4242" t="inlineStr">
        <is>
          <t>폰드그룹</t>
        </is>
      </c>
      <c r="C4242" t="inlineStr">
        <is>
          <t>472850</t>
        </is>
      </c>
      <c r="D4242" t="inlineStr">
        <is>
          <t>연결</t>
        </is>
      </c>
      <c r="E4242" t="inlineStr">
        <is>
          <t>2023Q3</t>
        </is>
      </c>
      <c r="F4242" s="2" t="n">
        <v>72813</v>
      </c>
      <c r="G4242" t="inlineStr"/>
      <c r="H4242" t="inlineStr"/>
      <c r="I4242" s="2" t="n">
        <v>5142</v>
      </c>
      <c r="J4242" t="inlineStr"/>
      <c r="K4242" t="inlineStr"/>
      <c r="L4242" s="2" t="inlineStr"/>
      <c r="M4242" t="inlineStr"/>
      <c r="N4242" t="inlineStr">
        <is>
          <t>20241030900054</t>
        </is>
      </c>
      <c r="O4242">
        <f>HYPERLINK("https://dart.fss.or.kr/dsaf001/main.do?rcpNo=20241030900054", "공시열람")</f>
        <v/>
      </c>
    </row>
    <row r="4243">
      <c r="A4243" t="inlineStr">
        <is>
          <t>2024-10-30</t>
        </is>
      </c>
      <c r="B4243" t="inlineStr">
        <is>
          <t>포스코DX</t>
        </is>
      </c>
      <c r="C4243" t="inlineStr">
        <is>
          <t>022100</t>
        </is>
      </c>
      <c r="D4243" t="inlineStr">
        <is>
          <t>연결</t>
        </is>
      </c>
      <c r="E4243" t="inlineStr">
        <is>
          <t>2024Q3</t>
        </is>
      </c>
      <c r="F4243" s="2" t="n">
        <v>318556</v>
      </c>
      <c r="G4243" t="n">
        <v>-9.800000000000001</v>
      </c>
      <c r="H4243" t="n">
        <v>-10.1</v>
      </c>
      <c r="I4243" s="2" t="n">
        <v>26296</v>
      </c>
      <c r="J4243" t="n">
        <v>8</v>
      </c>
      <c r="K4243" t="n">
        <v>-18.3</v>
      </c>
      <c r="L4243" s="2" t="n">
        <v>21673</v>
      </c>
      <c r="M4243" t="n">
        <v>-17.5</v>
      </c>
      <c r="N4243" t="inlineStr">
        <is>
          <t>20241030800050</t>
        </is>
      </c>
      <c r="O4243">
        <f>HYPERLINK("https://dart.fss.or.kr/dsaf001/main.do?rcpNo=20241030800050", "공시열람")</f>
        <v/>
      </c>
    </row>
    <row r="4244">
      <c r="A4244" t="inlineStr">
        <is>
          <t>2024-10-30</t>
        </is>
      </c>
      <c r="B4244" t="inlineStr">
        <is>
          <t>포스코스틸리온</t>
        </is>
      </c>
      <c r="C4244" t="inlineStr">
        <is>
          <t>058430</t>
        </is>
      </c>
      <c r="D4244" t="inlineStr">
        <is>
          <t>별도</t>
        </is>
      </c>
      <c r="E4244" t="inlineStr">
        <is>
          <t>2024Q3</t>
        </is>
      </c>
      <c r="F4244" s="2" t="n">
        <v>276900</v>
      </c>
      <c r="G4244" t="n">
        <v>-12.5</v>
      </c>
      <c r="H4244" t="n">
        <v>-0.9</v>
      </c>
      <c r="I4244" s="2" t="n">
        <v>7000</v>
      </c>
      <c r="J4244" t="n">
        <v>-42.2</v>
      </c>
      <c r="K4244" t="n">
        <v>-30.2</v>
      </c>
      <c r="L4244" s="2" t="n">
        <v>5400</v>
      </c>
      <c r="M4244" t="n">
        <v>-49.9</v>
      </c>
      <c r="N4244" t="inlineStr">
        <is>
          <t>20241030800053</t>
        </is>
      </c>
      <c r="O4244">
        <f>HYPERLINK("https://dart.fss.or.kr/dsaf001/main.do?rcpNo=20241030800053", "공시열람")</f>
        <v/>
      </c>
    </row>
    <row r="4245">
      <c r="A4245" t="inlineStr">
        <is>
          <t>2024-10-30</t>
        </is>
      </c>
      <c r="B4245" t="inlineStr">
        <is>
          <t>롯데이노베이트</t>
        </is>
      </c>
      <c r="C4245" t="inlineStr">
        <is>
          <t>286940</t>
        </is>
      </c>
      <c r="D4245" t="inlineStr">
        <is>
          <t>연결</t>
        </is>
      </c>
      <c r="E4245" t="inlineStr">
        <is>
          <t>2024Q3</t>
        </is>
      </c>
      <c r="F4245" s="2" t="n">
        <v>288049</v>
      </c>
      <c r="G4245" t="n">
        <v>0.5</v>
      </c>
      <c r="H4245" t="n">
        <v>-2.3</v>
      </c>
      <c r="I4245" s="2" t="n">
        <v>8296</v>
      </c>
      <c r="J4245" t="n">
        <v>42</v>
      </c>
      <c r="K4245" t="n">
        <v>-48.5</v>
      </c>
      <c r="L4245" s="2" t="n">
        <v>3769</v>
      </c>
      <c r="M4245" t="n">
        <v>-67.40000000000001</v>
      </c>
      <c r="N4245" t="inlineStr">
        <is>
          <t>20241030800569</t>
        </is>
      </c>
      <c r="O4245">
        <f>HYPERLINK("https://dart.fss.or.kr/dsaf001/main.do?rcpNo=20241030800569", "공시열람")</f>
        <v/>
      </c>
    </row>
    <row r="4246">
      <c r="A4246" t="inlineStr">
        <is>
          <t>2024-10-30</t>
        </is>
      </c>
      <c r="B4246" t="inlineStr">
        <is>
          <t>한화솔루션</t>
        </is>
      </c>
      <c r="C4246" t="inlineStr">
        <is>
          <t>009830</t>
        </is>
      </c>
      <c r="D4246" t="inlineStr">
        <is>
          <t>연결</t>
        </is>
      </c>
      <c r="E4246" t="inlineStr">
        <is>
          <t>2024Q3</t>
        </is>
      </c>
      <c r="F4246" s="2" t="n">
        <v>2773249</v>
      </c>
      <c r="G4246" t="n">
        <v>3.51</v>
      </c>
      <c r="H4246" t="n">
        <v>-4.52</v>
      </c>
      <c r="I4246" s="2" t="n">
        <v>-80991</v>
      </c>
      <c r="J4246" t="n">
        <v>24.84</v>
      </c>
      <c r="K4246" t="inlineStr"/>
      <c r="L4246" s="2" t="n">
        <v>-387646</v>
      </c>
      <c r="M4246" t="inlineStr"/>
      <c r="N4246" t="inlineStr">
        <is>
          <t>20241030800141</t>
        </is>
      </c>
      <c r="O4246">
        <f>HYPERLINK("https://dart.fss.or.kr/dsaf001/main.do?rcpNo=20241030800141", "공시열람")</f>
        <v/>
      </c>
    </row>
    <row r="4247">
      <c r="A4247" t="inlineStr">
        <is>
          <t>2024-10-30</t>
        </is>
      </c>
      <c r="B4247" t="inlineStr">
        <is>
          <t>현대오토에버</t>
        </is>
      </c>
      <c r="C4247" t="inlineStr">
        <is>
          <t>307950</t>
        </is>
      </c>
      <c r="D4247" t="inlineStr">
        <is>
          <t>연결</t>
        </is>
      </c>
      <c r="E4247" t="inlineStr">
        <is>
          <t>2024Q3</t>
        </is>
      </c>
      <c r="F4247" s="2" t="n">
        <v>904634</v>
      </c>
      <c r="G4247" t="n">
        <v>-1.5</v>
      </c>
      <c r="H4247" t="n">
        <v>21.3</v>
      </c>
      <c r="I4247" s="2" t="n">
        <v>52495</v>
      </c>
      <c r="J4247" t="n">
        <v>-23.4</v>
      </c>
      <c r="K4247" t="n">
        <v>16</v>
      </c>
      <c r="L4247" s="2" t="n">
        <v>44713</v>
      </c>
      <c r="M4247" t="n">
        <v>22.6</v>
      </c>
      <c r="N4247" t="inlineStr">
        <is>
          <t>20241030800218</t>
        </is>
      </c>
      <c r="O4247">
        <f>HYPERLINK("https://dart.fss.or.kr/dsaf001/main.do?rcpNo=20241030800218", "공시열람")</f>
        <v/>
      </c>
    </row>
    <row r="4248">
      <c r="A4248" t="inlineStr">
        <is>
          <t>2024-10-30</t>
        </is>
      </c>
      <c r="B4248" t="inlineStr">
        <is>
          <t>일동제약</t>
        </is>
      </c>
      <c r="C4248" t="inlineStr">
        <is>
          <t>249420</t>
        </is>
      </c>
      <c r="D4248" t="inlineStr">
        <is>
          <t>연결</t>
        </is>
      </c>
      <c r="E4248" t="inlineStr">
        <is>
          <t>2024Q3</t>
        </is>
      </c>
      <c r="F4248" s="2" t="n">
        <v>155949</v>
      </c>
      <c r="G4248" t="inlineStr"/>
      <c r="H4248" t="inlineStr"/>
      <c r="I4248" s="2" t="n">
        <v>3604</v>
      </c>
      <c r="J4248" t="inlineStr"/>
      <c r="K4248" t="inlineStr"/>
      <c r="L4248" s="2" t="n">
        <v>-9392</v>
      </c>
      <c r="M4248" t="inlineStr"/>
      <c r="N4248" t="inlineStr">
        <is>
          <t>20241030800537</t>
        </is>
      </c>
      <c r="O4248">
        <f>HYPERLINK("https://dart.fss.or.kr/dsaf001/main.do?rcpNo=20241030800537", "공시열람")</f>
        <v/>
      </c>
    </row>
    <row r="4249">
      <c r="A4249" t="inlineStr">
        <is>
          <t>2024-10-30</t>
        </is>
      </c>
      <c r="B4249" t="inlineStr">
        <is>
          <t>일동제약</t>
        </is>
      </c>
      <c r="C4249" t="inlineStr">
        <is>
          <t>249420</t>
        </is>
      </c>
      <c r="D4249" t="inlineStr">
        <is>
          <t>별도</t>
        </is>
      </c>
      <c r="E4249" t="inlineStr">
        <is>
          <t>2024Q3</t>
        </is>
      </c>
      <c r="F4249" s="2" t="n">
        <v>154554</v>
      </c>
      <c r="G4249" t="inlineStr"/>
      <c r="H4249" t="inlineStr"/>
      <c r="I4249" s="2" t="n">
        <v>10450</v>
      </c>
      <c r="J4249" t="inlineStr"/>
      <c r="K4249" t="inlineStr"/>
      <c r="L4249" s="2" t="n">
        <v>4368</v>
      </c>
      <c r="M4249" t="inlineStr"/>
      <c r="N4249" t="inlineStr">
        <is>
          <t>20241030800522</t>
        </is>
      </c>
      <c r="O4249">
        <f>HYPERLINK("https://dart.fss.or.kr/dsaf001/main.do?rcpNo=20241030800522", "공시열람")</f>
        <v/>
      </c>
    </row>
    <row r="4250">
      <c r="A4250" t="inlineStr">
        <is>
          <t>2024-10-30</t>
        </is>
      </c>
      <c r="B4250" t="inlineStr">
        <is>
          <t>슈프리마</t>
        </is>
      </c>
      <c r="C4250" t="inlineStr">
        <is>
          <t>236200</t>
        </is>
      </c>
      <c r="D4250" t="inlineStr">
        <is>
          <t>연결</t>
        </is>
      </c>
      <c r="E4250" t="inlineStr">
        <is>
          <t>2024Q3</t>
        </is>
      </c>
      <c r="F4250" s="2" t="n">
        <v>25107</v>
      </c>
      <c r="G4250" t="inlineStr"/>
      <c r="H4250" t="inlineStr"/>
      <c r="I4250" s="2" t="n">
        <v>5731</v>
      </c>
      <c r="J4250" t="inlineStr"/>
      <c r="K4250" t="inlineStr"/>
      <c r="L4250" s="2" t="n">
        <v>4066</v>
      </c>
      <c r="M4250" t="inlineStr"/>
      <c r="N4250" t="inlineStr">
        <is>
          <t>20241030900468</t>
        </is>
      </c>
      <c r="O4250">
        <f>HYPERLINK("https://dart.fss.or.kr/dsaf001/main.do?rcpNo=20241030900468", "공시열람")</f>
        <v/>
      </c>
    </row>
    <row r="4251">
      <c r="A4251" t="inlineStr">
        <is>
          <t>2024-10-30</t>
        </is>
      </c>
      <c r="B4251" t="inlineStr">
        <is>
          <t>파트론</t>
        </is>
      </c>
      <c r="C4251" t="inlineStr">
        <is>
          <t>091700</t>
        </is>
      </c>
      <c r="D4251" t="inlineStr">
        <is>
          <t>연결</t>
        </is>
      </c>
      <c r="E4251" t="inlineStr">
        <is>
          <t>2024Q3</t>
        </is>
      </c>
      <c r="F4251" s="2" t="n">
        <v>420168</v>
      </c>
      <c r="G4251" t="inlineStr"/>
      <c r="H4251" t="inlineStr"/>
      <c r="I4251" s="2" t="n">
        <v>19732</v>
      </c>
      <c r="J4251" t="inlineStr"/>
      <c r="K4251" t="inlineStr"/>
      <c r="L4251" s="2" t="n">
        <v>11495</v>
      </c>
      <c r="M4251" t="inlineStr"/>
      <c r="N4251" t="inlineStr">
        <is>
          <t>20241030900453</t>
        </is>
      </c>
      <c r="O4251">
        <f>HYPERLINK("https://dart.fss.or.kr/dsaf001/main.do?rcpNo=20241030900453", "공시열람")</f>
        <v/>
      </c>
    </row>
    <row r="4252">
      <c r="A4252" t="inlineStr">
        <is>
          <t>2024-10-30</t>
        </is>
      </c>
      <c r="B4252" t="inlineStr">
        <is>
          <t>대우건설</t>
        </is>
      </c>
      <c r="C4252" t="inlineStr">
        <is>
          <t>047040</t>
        </is>
      </c>
      <c r="D4252" t="inlineStr">
        <is>
          <t>연결</t>
        </is>
      </c>
      <c r="E4252" t="inlineStr">
        <is>
          <t>2024Q3</t>
        </is>
      </c>
      <c r="F4252" s="2" t="n">
        <v>2547800</v>
      </c>
      <c r="G4252" t="n">
        <v>-9.699999999999999</v>
      </c>
      <c r="H4252" t="n">
        <v>-14.8</v>
      </c>
      <c r="I4252" s="2" t="n">
        <v>62300</v>
      </c>
      <c r="J4252" t="n">
        <v>-40.6</v>
      </c>
      <c r="K4252" t="n">
        <v>-67.2</v>
      </c>
      <c r="L4252" s="2" t="n">
        <v>40300</v>
      </c>
      <c r="M4252" t="n">
        <v>-63.3</v>
      </c>
      <c r="N4252" t="inlineStr">
        <is>
          <t>20241030800403</t>
        </is>
      </c>
      <c r="O4252">
        <f>HYPERLINK("https://dart.fss.or.kr/dsaf001/main.do?rcpNo=20241030800403", "공시열람")</f>
        <v/>
      </c>
    </row>
    <row r="4253">
      <c r="A4253" t="inlineStr">
        <is>
          <t>2024-10-30</t>
        </is>
      </c>
      <c r="B4253" t="inlineStr">
        <is>
          <t>두산에너빌리티</t>
        </is>
      </c>
      <c r="C4253" t="inlineStr">
        <is>
          <t>034020</t>
        </is>
      </c>
      <c r="D4253" t="inlineStr">
        <is>
          <t>연결</t>
        </is>
      </c>
      <c r="E4253" t="inlineStr">
        <is>
          <t>2024Q3</t>
        </is>
      </c>
      <c r="F4253" s="2" t="n">
        <v>3395569</v>
      </c>
      <c r="G4253" t="n">
        <v>-18.19</v>
      </c>
      <c r="H4253" t="n">
        <v>-18.28</v>
      </c>
      <c r="I4253" s="2" t="n">
        <v>114790</v>
      </c>
      <c r="J4253" t="n">
        <v>-62.95</v>
      </c>
      <c r="K4253" t="n">
        <v>-63.14</v>
      </c>
      <c r="L4253" s="2" t="n">
        <v>-26474</v>
      </c>
      <c r="M4253" t="inlineStr"/>
      <c r="N4253" t="inlineStr">
        <is>
          <t>20241030800426</t>
        </is>
      </c>
      <c r="O4253">
        <f>HYPERLINK("https://dart.fss.or.kr/dsaf001/main.do?rcpNo=20241030800426", "공시열람")</f>
        <v/>
      </c>
    </row>
    <row r="4254">
      <c r="A4254" t="inlineStr">
        <is>
          <t>2024-10-30</t>
        </is>
      </c>
      <c r="B4254" t="inlineStr">
        <is>
          <t>OCI</t>
        </is>
      </c>
      <c r="C4254" t="inlineStr">
        <is>
          <t>456040</t>
        </is>
      </c>
      <c r="D4254" t="inlineStr">
        <is>
          <t>연결</t>
        </is>
      </c>
      <c r="E4254" t="inlineStr">
        <is>
          <t>2024Q3</t>
        </is>
      </c>
      <c r="F4254" s="2" t="n">
        <v>588714</v>
      </c>
      <c r="G4254" t="n">
        <v>3.9</v>
      </c>
      <c r="H4254" t="n">
        <v>30.8</v>
      </c>
      <c r="I4254" s="2" t="n">
        <v>17719</v>
      </c>
      <c r="J4254" t="n">
        <v>-47.2</v>
      </c>
      <c r="K4254" t="n">
        <v>-19.5</v>
      </c>
      <c r="L4254" s="2" t="n">
        <v>13930</v>
      </c>
      <c r="M4254" t="n">
        <v>-33.3</v>
      </c>
      <c r="N4254" t="inlineStr">
        <is>
          <t>20241030800333</t>
        </is>
      </c>
      <c r="O4254">
        <f>HYPERLINK("https://dart.fss.or.kr/dsaf001/main.do?rcpNo=20241030800333", "공시열람")</f>
        <v/>
      </c>
    </row>
    <row r="4255">
      <c r="A4255" t="inlineStr">
        <is>
          <t>2024-10-30</t>
        </is>
      </c>
      <c r="B4255" t="inlineStr">
        <is>
          <t>쎄트렉아이</t>
        </is>
      </c>
      <c r="C4255" t="inlineStr">
        <is>
          <t>099320</t>
        </is>
      </c>
      <c r="D4255" t="inlineStr">
        <is>
          <t>연결</t>
        </is>
      </c>
      <c r="E4255" t="inlineStr">
        <is>
          <t>2024Q3</t>
        </is>
      </c>
      <c r="F4255" s="2" t="n">
        <v>43683</v>
      </c>
      <c r="G4255" t="inlineStr"/>
      <c r="H4255" t="inlineStr"/>
      <c r="I4255" s="2" t="n">
        <v>784</v>
      </c>
      <c r="J4255" t="inlineStr"/>
      <c r="K4255" t="inlineStr"/>
      <c r="L4255" s="2" t="n">
        <v>616</v>
      </c>
      <c r="M4255" t="inlineStr"/>
      <c r="N4255" t="inlineStr">
        <is>
          <t>20241030900309</t>
        </is>
      </c>
      <c r="O4255">
        <f>HYPERLINK("https://dart.fss.or.kr/dsaf001/main.do?rcpNo=20241030900309", "공시열람")</f>
        <v/>
      </c>
    </row>
    <row r="4256">
      <c r="A4256" t="inlineStr">
        <is>
          <t>2024-10-30</t>
        </is>
      </c>
      <c r="B4256" t="inlineStr">
        <is>
          <t>넥센타이어</t>
        </is>
      </c>
      <c r="C4256" t="inlineStr">
        <is>
          <t>002350</t>
        </is>
      </c>
      <c r="D4256" t="inlineStr">
        <is>
          <t>연결</t>
        </is>
      </c>
      <c r="E4256" t="inlineStr">
        <is>
          <t>2024Q3</t>
        </is>
      </c>
      <c r="F4256" s="2" t="n">
        <v>708509</v>
      </c>
      <c r="G4256" t="inlineStr"/>
      <c r="H4256" t="inlineStr"/>
      <c r="I4256" s="2" t="n">
        <v>52264</v>
      </c>
      <c r="J4256" t="inlineStr"/>
      <c r="K4256" t="inlineStr"/>
      <c r="L4256" s="2" t="n">
        <v>-6449</v>
      </c>
      <c r="M4256" t="inlineStr"/>
      <c r="N4256" t="inlineStr">
        <is>
          <t>20241030800299</t>
        </is>
      </c>
      <c r="O4256">
        <f>HYPERLINK("https://dart.fss.or.kr/dsaf001/main.do?rcpNo=20241030800299", "공시열람")</f>
        <v/>
      </c>
    </row>
    <row r="4257">
      <c r="A4257" t="inlineStr">
        <is>
          <t>2024-10-30</t>
        </is>
      </c>
      <c r="B4257" t="inlineStr">
        <is>
          <t>포스코엠텍</t>
        </is>
      </c>
      <c r="C4257" t="inlineStr">
        <is>
          <t>009520</t>
        </is>
      </c>
      <c r="D4257" t="inlineStr">
        <is>
          <t>별도</t>
        </is>
      </c>
      <c r="E4257" t="inlineStr">
        <is>
          <t>2024Q3</t>
        </is>
      </c>
      <c r="F4257" s="2" t="n">
        <v>88180</v>
      </c>
      <c r="G4257" t="inlineStr"/>
      <c r="H4257" t="inlineStr"/>
      <c r="I4257" s="2" t="n">
        <v>-3104</v>
      </c>
      <c r="J4257" t="inlineStr"/>
      <c r="K4257" t="inlineStr"/>
      <c r="L4257" s="2" t="n">
        <v>-2317</v>
      </c>
      <c r="M4257" t="inlineStr"/>
      <c r="N4257" t="inlineStr">
        <is>
          <t>20241030900289</t>
        </is>
      </c>
      <c r="O4257">
        <f>HYPERLINK("https://dart.fss.or.kr/dsaf001/main.do?rcpNo=20241030900289", "공시열람")</f>
        <v/>
      </c>
    </row>
    <row r="4258">
      <c r="A4258" t="inlineStr">
        <is>
          <t>2024-10-30</t>
        </is>
      </c>
      <c r="B4258" t="inlineStr">
        <is>
          <t>POSCO홀딩스</t>
        </is>
      </c>
      <c r="C4258" t="inlineStr">
        <is>
          <t>005490</t>
        </is>
      </c>
      <c r="D4258" t="inlineStr">
        <is>
          <t>연결</t>
        </is>
      </c>
      <c r="E4258" t="inlineStr">
        <is>
          <t>2024Q3</t>
        </is>
      </c>
      <c r="F4258" s="2" t="n">
        <v>18</v>
      </c>
      <c r="G4258" t="inlineStr"/>
      <c r="H4258" t="inlineStr"/>
      <c r="I4258" s="2" t="n">
        <v>1</v>
      </c>
      <c r="J4258" t="inlineStr"/>
      <c r="K4258" t="inlineStr"/>
      <c r="L4258" s="2" t="n">
        <v>0</v>
      </c>
      <c r="M4258" t="inlineStr"/>
      <c r="N4258" t="inlineStr">
        <is>
          <t>20241030800242</t>
        </is>
      </c>
      <c r="O4258">
        <f>HYPERLINK("https://dart.fss.or.kr/dsaf001/main.do?rcpNo=20241030800242", "공시열람")</f>
        <v/>
      </c>
    </row>
    <row r="4259">
      <c r="A4259" t="inlineStr">
        <is>
          <t>2024-10-30</t>
        </is>
      </c>
      <c r="B4259" t="inlineStr">
        <is>
          <t>POSCO홀딩스</t>
        </is>
      </c>
      <c r="C4259" t="inlineStr">
        <is>
          <t>005490</t>
        </is>
      </c>
      <c r="D4259" t="inlineStr">
        <is>
          <t>별도</t>
        </is>
      </c>
      <c r="E4259" t="inlineStr">
        <is>
          <t>2024Q3</t>
        </is>
      </c>
      <c r="F4259" s="2" t="n">
        <v>9</v>
      </c>
      <c r="G4259" t="inlineStr"/>
      <c r="H4259" t="inlineStr"/>
      <c r="I4259" s="2" t="n">
        <v>0</v>
      </c>
      <c r="J4259" t="inlineStr"/>
      <c r="K4259" t="inlineStr"/>
      <c r="L4259" s="2" t="n">
        <v>0</v>
      </c>
      <c r="M4259" t="inlineStr"/>
      <c r="N4259" t="inlineStr">
        <is>
          <t>20241030800232</t>
        </is>
      </c>
      <c r="O4259">
        <f>HYPERLINK("https://dart.fss.or.kr/dsaf001/main.do?rcpNo=20241030800232", "공시열람")</f>
        <v/>
      </c>
    </row>
    <row r="4260">
      <c r="A4260" t="inlineStr">
        <is>
          <t>2024-10-30</t>
        </is>
      </c>
      <c r="B4260" t="inlineStr">
        <is>
          <t>BNK금융지주</t>
        </is>
      </c>
      <c r="C4260" t="inlineStr">
        <is>
          <t>138930</t>
        </is>
      </c>
      <c r="D4260" t="inlineStr">
        <is>
          <t>연결</t>
        </is>
      </c>
      <c r="E4260" t="inlineStr">
        <is>
          <t>2024Q3</t>
        </is>
      </c>
      <c r="F4260" s="2" t="n">
        <v>2284904</v>
      </c>
      <c r="G4260" t="n">
        <v>-8.06</v>
      </c>
      <c r="H4260" t="n">
        <v>-2.69</v>
      </c>
      <c r="I4260" s="2" t="n">
        <v>241535</v>
      </c>
      <c r="J4260" t="n">
        <v>-17.93</v>
      </c>
      <c r="K4260" t="n">
        <v>-10.08</v>
      </c>
      <c r="L4260" s="2" t="n">
        <v>218410</v>
      </c>
      <c r="M4260" t="n">
        <v>2.86</v>
      </c>
      <c r="N4260" t="inlineStr">
        <is>
          <t>20241030800177</t>
        </is>
      </c>
      <c r="O4260">
        <f>HYPERLINK("https://dart.fss.or.kr/dsaf001/main.do?rcpNo=20241030800177", "공시열람")</f>
        <v/>
      </c>
    </row>
    <row r="4261">
      <c r="A4261" t="inlineStr">
        <is>
          <t>2024-10-30</t>
        </is>
      </c>
      <c r="B4261" t="inlineStr">
        <is>
          <t>포스코스틸리온</t>
        </is>
      </c>
      <c r="C4261" t="inlineStr">
        <is>
          <t>058430</t>
        </is>
      </c>
      <c r="D4261" t="inlineStr">
        <is>
          <t>연결</t>
        </is>
      </c>
      <c r="E4261" t="inlineStr">
        <is>
          <t>2024Q3</t>
        </is>
      </c>
      <c r="F4261" s="2" t="n">
        <v>283400</v>
      </c>
      <c r="G4261" t="n">
        <v>-13.7</v>
      </c>
      <c r="H4261" t="n">
        <v>-0.6</v>
      </c>
      <c r="I4261" s="2" t="n">
        <v>10300</v>
      </c>
      <c r="J4261" t="n">
        <v>-33.6</v>
      </c>
      <c r="K4261" t="n">
        <v>-4.8</v>
      </c>
      <c r="L4261" s="2" t="n">
        <v>4400</v>
      </c>
      <c r="M4261" t="n">
        <v>-50.3</v>
      </c>
      <c r="N4261" t="inlineStr">
        <is>
          <t>20241030800055</t>
        </is>
      </c>
      <c r="O4261">
        <f>HYPERLINK("https://dart.fss.or.kr/dsaf001/main.do?rcpNo=20241030800055", "공시열람")</f>
        <v/>
      </c>
    </row>
    <row r="4262">
      <c r="A4262" t="inlineStr">
        <is>
          <t>2024-10-30</t>
        </is>
      </c>
      <c r="B4262" t="inlineStr">
        <is>
          <t>BNK금융지주</t>
        </is>
      </c>
      <c r="C4262" t="inlineStr">
        <is>
          <t>138930</t>
        </is>
      </c>
      <c r="D4262" t="inlineStr">
        <is>
          <t>연결</t>
        </is>
      </c>
      <c r="E4262" t="inlineStr">
        <is>
          <t>2024Q3</t>
        </is>
      </c>
      <c r="F4262" s="2" t="n">
        <v>986594</v>
      </c>
      <c r="G4262" t="n">
        <v>-8.58</v>
      </c>
      <c r="H4262" t="n">
        <v>-14.08</v>
      </c>
      <c r="I4262" s="2" t="n">
        <v>139821</v>
      </c>
      <c r="J4262" t="n">
        <v>-4.01</v>
      </c>
      <c r="K4262" t="n">
        <v>-10.99</v>
      </c>
      <c r="L4262" s="2" t="n">
        <v>133234</v>
      </c>
      <c r="M4262" t="n">
        <v>5.06</v>
      </c>
      <c r="N4262" t="inlineStr">
        <is>
          <t>20241030800171</t>
        </is>
      </c>
      <c r="O4262">
        <f>HYPERLINK("https://dart.fss.or.kr/dsaf001/main.do?rcpNo=20241030800171", "공시열람")</f>
        <v/>
      </c>
    </row>
    <row r="4263">
      <c r="A4263" t="inlineStr">
        <is>
          <t>2024-10-30</t>
        </is>
      </c>
      <c r="B4263" t="inlineStr">
        <is>
          <t>BNK금융지주</t>
        </is>
      </c>
      <c r="C4263" t="inlineStr">
        <is>
          <t>138930</t>
        </is>
      </c>
      <c r="D4263" t="inlineStr">
        <is>
          <t>연결</t>
        </is>
      </c>
      <c r="E4263" t="inlineStr">
        <is>
          <t>2024Q3</t>
        </is>
      </c>
      <c r="F4263" s="2" t="n">
        <v>626856</v>
      </c>
      <c r="G4263" t="n">
        <v>-12.18</v>
      </c>
      <c r="H4263" t="n">
        <v>-4.91</v>
      </c>
      <c r="I4263" s="2" t="n">
        <v>95022</v>
      </c>
      <c r="J4263" t="n">
        <v>-23.38</v>
      </c>
      <c r="K4263" t="n">
        <v>-0.47</v>
      </c>
      <c r="L4263" s="2" t="n">
        <v>86477</v>
      </c>
      <c r="M4263" t="n">
        <v>11.01</v>
      </c>
      <c r="N4263" t="inlineStr">
        <is>
          <t>20241030800170</t>
        </is>
      </c>
      <c r="O4263">
        <f>HYPERLINK("https://dart.fss.or.kr/dsaf001/main.do?rcpNo=20241030800170", "공시열람")</f>
        <v/>
      </c>
    </row>
    <row r="4264">
      <c r="A4264" t="inlineStr">
        <is>
          <t>2024-10-30</t>
        </is>
      </c>
      <c r="B4264" t="inlineStr">
        <is>
          <t>BNK금융지주</t>
        </is>
      </c>
      <c r="C4264" t="inlineStr">
        <is>
          <t>138930</t>
        </is>
      </c>
      <c r="D4264" t="inlineStr">
        <is>
          <t>연결</t>
        </is>
      </c>
      <c r="E4264" t="inlineStr">
        <is>
          <t>2024Q3</t>
        </is>
      </c>
      <c r="F4264" s="2" t="n">
        <v>295835</v>
      </c>
      <c r="G4264" t="n">
        <v>8.34</v>
      </c>
      <c r="H4264" t="n">
        <v>61.11</v>
      </c>
      <c r="I4264" s="2" t="n">
        <v>-4477</v>
      </c>
      <c r="J4264" t="n">
        <v>52.49</v>
      </c>
      <c r="K4264" t="n">
        <v>-22.99</v>
      </c>
      <c r="L4264" s="2" t="n">
        <v>-3706</v>
      </c>
      <c r="M4264" t="n">
        <v>-19.74</v>
      </c>
      <c r="N4264" t="inlineStr">
        <is>
          <t>20241030800167</t>
        </is>
      </c>
      <c r="O4264">
        <f>HYPERLINK("https://dart.fss.or.kr/dsaf001/main.do?rcpNo=20241030800167", "공시열람")</f>
        <v/>
      </c>
    </row>
    <row r="4265">
      <c r="A4265" t="inlineStr">
        <is>
          <t>2024-10-30</t>
        </is>
      </c>
      <c r="B4265" t="inlineStr">
        <is>
          <t>HK이노엔</t>
        </is>
      </c>
      <c r="C4265" t="inlineStr">
        <is>
          <t>195940</t>
        </is>
      </c>
      <c r="D4265" t="inlineStr">
        <is>
          <t>별도</t>
        </is>
      </c>
      <c r="E4265" t="inlineStr">
        <is>
          <t>2024Q3</t>
        </is>
      </c>
      <c r="F4265" s="2" t="n">
        <v>229470</v>
      </c>
      <c r="G4265" t="inlineStr"/>
      <c r="H4265" t="inlineStr"/>
      <c r="I4265" s="2" t="n">
        <v>22235</v>
      </c>
      <c r="J4265" t="inlineStr"/>
      <c r="K4265" t="inlineStr"/>
      <c r="L4265" s="2" t="n">
        <v>14498</v>
      </c>
      <c r="M4265" t="inlineStr"/>
      <c r="N4265" t="inlineStr">
        <is>
          <t>20241030900165</t>
        </is>
      </c>
      <c r="O4265">
        <f>HYPERLINK("https://dart.fss.or.kr/dsaf001/main.do?rcpNo=20241030900165", "공시열람")</f>
        <v/>
      </c>
    </row>
    <row r="4266">
      <c r="A4266" t="inlineStr">
        <is>
          <t>2024-10-30</t>
        </is>
      </c>
      <c r="B4266" t="inlineStr">
        <is>
          <t>포스코퓨처엠</t>
        </is>
      </c>
      <c r="C4266" t="inlineStr">
        <is>
          <t>003670</t>
        </is>
      </c>
      <c r="D4266" t="inlineStr">
        <is>
          <t>연결</t>
        </is>
      </c>
      <c r="E4266" t="inlineStr">
        <is>
          <t>2024Q3</t>
        </is>
      </c>
      <c r="F4266" s="2" t="n">
        <v>922788</v>
      </c>
      <c r="G4266" t="n">
        <v>0.8</v>
      </c>
      <c r="H4266" t="n">
        <v>-28.2</v>
      </c>
      <c r="I4266" s="2" t="n">
        <v>1367</v>
      </c>
      <c r="J4266" t="n">
        <v>-50.1</v>
      </c>
      <c r="K4266" t="n">
        <v>-96.3</v>
      </c>
      <c r="L4266" s="2" t="n">
        <v>-1208</v>
      </c>
      <c r="M4266" t="inlineStr"/>
      <c r="N4266" t="inlineStr">
        <is>
          <t>20241030800164</t>
        </is>
      </c>
      <c r="O4266">
        <f>HYPERLINK("https://dart.fss.or.kr/dsaf001/main.do?rcpNo=20241030800164", "공시열람")</f>
        <v/>
      </c>
    </row>
    <row r="4267">
      <c r="A4267" t="inlineStr">
        <is>
          <t>2024-10-30</t>
        </is>
      </c>
      <c r="B4267" t="inlineStr">
        <is>
          <t>포스코퓨처엠</t>
        </is>
      </c>
      <c r="C4267" t="inlineStr">
        <is>
          <t>003670</t>
        </is>
      </c>
      <c r="D4267" t="inlineStr">
        <is>
          <t>별도</t>
        </is>
      </c>
      <c r="E4267" t="inlineStr">
        <is>
          <t>2024Q3</t>
        </is>
      </c>
      <c r="F4267" s="2" t="n">
        <v>902323</v>
      </c>
      <c r="G4267" t="n">
        <v>1.1</v>
      </c>
      <c r="H4267" t="n">
        <v>-25.3</v>
      </c>
      <c r="I4267" s="2" t="n">
        <v>6804</v>
      </c>
      <c r="J4267" t="n">
        <v>-6.9</v>
      </c>
      <c r="K4267" t="n">
        <v>-81</v>
      </c>
      <c r="L4267" s="2" t="n">
        <v>12306</v>
      </c>
      <c r="M4267" t="n">
        <v>-43.7</v>
      </c>
      <c r="N4267" t="inlineStr">
        <is>
          <t>20241030800163</t>
        </is>
      </c>
      <c r="O4267">
        <f>HYPERLINK("https://dart.fss.or.kr/dsaf001/main.do?rcpNo=20241030800163", "공시열람")</f>
        <v/>
      </c>
    </row>
    <row r="4268">
      <c r="A4268" t="inlineStr">
        <is>
          <t>2024-10-30</t>
        </is>
      </c>
      <c r="B4268" t="inlineStr">
        <is>
          <t>한올바이오파마</t>
        </is>
      </c>
      <c r="C4268" t="inlineStr">
        <is>
          <t>009420</t>
        </is>
      </c>
      <c r="D4268" t="inlineStr">
        <is>
          <t>연결</t>
        </is>
      </c>
      <c r="E4268" t="inlineStr">
        <is>
          <t>2024Q3</t>
        </is>
      </c>
      <c r="F4268" s="2" t="n">
        <v>36840</v>
      </c>
      <c r="G4268" t="n">
        <v>16.6</v>
      </c>
      <c r="H4268" t="n">
        <v>11.7</v>
      </c>
      <c r="I4268" s="2" t="n">
        <v>430</v>
      </c>
      <c r="J4268" t="inlineStr"/>
      <c r="K4268" t="n">
        <v>371.6</v>
      </c>
      <c r="L4268" s="2" t="n">
        <v>222</v>
      </c>
      <c r="M4268" t="n">
        <v>-30.4</v>
      </c>
      <c r="N4268" t="inlineStr">
        <is>
          <t>20241030800159</t>
        </is>
      </c>
      <c r="O4268">
        <f>HYPERLINK("https://dart.fss.or.kr/dsaf001/main.do?rcpNo=20241030800159", "공시열람")</f>
        <v/>
      </c>
    </row>
    <row r="4269">
      <c r="A4269" t="inlineStr">
        <is>
          <t>2024-10-30</t>
        </is>
      </c>
      <c r="B4269" t="inlineStr">
        <is>
          <t>SGC에너지</t>
        </is>
      </c>
      <c r="C4269" t="inlineStr">
        <is>
          <t>005090</t>
        </is>
      </c>
      <c r="D4269" t="inlineStr">
        <is>
          <t>연결</t>
        </is>
      </c>
      <c r="E4269" t="inlineStr">
        <is>
          <t>2024Q3</t>
        </is>
      </c>
      <c r="F4269" s="2" t="n">
        <v>541400</v>
      </c>
      <c r="G4269" t="inlineStr"/>
      <c r="H4269" t="inlineStr"/>
      <c r="I4269" s="2" t="n">
        <v>44200</v>
      </c>
      <c r="J4269" t="inlineStr"/>
      <c r="K4269" t="inlineStr"/>
      <c r="L4269" s="2" t="n">
        <v>11200</v>
      </c>
      <c r="M4269" t="inlineStr"/>
      <c r="N4269" t="inlineStr">
        <is>
          <t>20241030800149</t>
        </is>
      </c>
      <c r="O4269">
        <f>HYPERLINK("https://dart.fss.or.kr/dsaf001/main.do?rcpNo=20241030800149", "공시열람")</f>
        <v/>
      </c>
    </row>
    <row r="4270">
      <c r="A4270" t="inlineStr">
        <is>
          <t>2024-10-30</t>
        </is>
      </c>
      <c r="B4270" t="inlineStr">
        <is>
          <t>포스코인터내셔널</t>
        </is>
      </c>
      <c r="C4270" t="inlineStr">
        <is>
          <t>047050</t>
        </is>
      </c>
      <c r="D4270" t="inlineStr">
        <is>
          <t>연결</t>
        </is>
      </c>
      <c r="E4270" t="inlineStr">
        <is>
          <t>2024Q3</t>
        </is>
      </c>
      <c r="F4270" s="2" t="n">
        <v>8355800</v>
      </c>
      <c r="G4270" t="n">
        <v>0.9</v>
      </c>
      <c r="H4270" t="n">
        <v>3.9</v>
      </c>
      <c r="I4270" s="2" t="n">
        <v>357200</v>
      </c>
      <c r="J4270" t="n">
        <v>2.1</v>
      </c>
      <c r="K4270" t="n">
        <v>14.6</v>
      </c>
      <c r="L4270" s="2" t="n">
        <v>237500</v>
      </c>
      <c r="M4270" t="n">
        <v>21.7</v>
      </c>
      <c r="N4270" t="inlineStr">
        <is>
          <t>20241030800100</t>
        </is>
      </c>
      <c r="O4270">
        <f>HYPERLINK("https://dart.fss.or.kr/dsaf001/main.do?rcpNo=20241030800100", "공시열람")</f>
        <v/>
      </c>
    </row>
    <row r="4271">
      <c r="A4271" t="inlineStr">
        <is>
          <t>2024-10-30</t>
        </is>
      </c>
      <c r="B4271" t="inlineStr">
        <is>
          <t>샘씨엔에스</t>
        </is>
      </c>
      <c r="C4271" t="inlineStr">
        <is>
          <t>252990</t>
        </is>
      </c>
      <c r="D4271" t="inlineStr">
        <is>
          <t>별도</t>
        </is>
      </c>
      <c r="E4271" t="inlineStr">
        <is>
          <t>2024Q3</t>
        </is>
      </c>
      <c r="F4271" s="2" t="n">
        <v>15741</v>
      </c>
      <c r="G4271" t="inlineStr"/>
      <c r="H4271" t="inlineStr"/>
      <c r="I4271" s="2" t="n">
        <v>3090</v>
      </c>
      <c r="J4271" t="inlineStr"/>
      <c r="K4271" t="inlineStr"/>
      <c r="L4271" s="2" t="n">
        <v>2534</v>
      </c>
      <c r="M4271" t="inlineStr"/>
      <c r="N4271" t="inlineStr">
        <is>
          <t>20241030900110</t>
        </is>
      </c>
      <c r="O4271">
        <f>HYPERLINK("https://dart.fss.or.kr/dsaf001/main.do?rcpNo=20241030900110", "공시열람")</f>
        <v/>
      </c>
    </row>
    <row r="4272">
      <c r="A4272" t="inlineStr">
        <is>
          <t>2024-10-30</t>
        </is>
      </c>
      <c r="B4272" t="inlineStr">
        <is>
          <t>SGC E&amp;C</t>
        </is>
      </c>
      <c r="C4272" t="inlineStr">
        <is>
          <t>016250</t>
        </is>
      </c>
      <c r="D4272" t="inlineStr">
        <is>
          <t>연결</t>
        </is>
      </c>
      <c r="E4272" t="inlineStr">
        <is>
          <t>2024Q3</t>
        </is>
      </c>
      <c r="F4272" s="2" t="n">
        <v>251058</v>
      </c>
      <c r="G4272" t="inlineStr"/>
      <c r="H4272" t="inlineStr"/>
      <c r="I4272" s="2" t="n">
        <v>1141</v>
      </c>
      <c r="J4272" t="inlineStr"/>
      <c r="K4272" t="inlineStr"/>
      <c r="L4272" s="2" t="inlineStr"/>
      <c r="M4272" t="inlineStr"/>
      <c r="N4272" t="inlineStr">
        <is>
          <t>20241030900105</t>
        </is>
      </c>
      <c r="O4272">
        <f>HYPERLINK("https://dart.fss.or.kr/dsaf001/main.do?rcpNo=20241030900105", "공시열람")</f>
        <v/>
      </c>
    </row>
    <row r="4273">
      <c r="A4273" t="inlineStr">
        <is>
          <t>2024-10-30</t>
        </is>
      </c>
      <c r="B4273" t="inlineStr">
        <is>
          <t>삼성SDI</t>
        </is>
      </c>
      <c r="C4273" t="inlineStr">
        <is>
          <t>006400</t>
        </is>
      </c>
      <c r="D4273" t="inlineStr">
        <is>
          <t>연결</t>
        </is>
      </c>
      <c r="E4273" t="inlineStr">
        <is>
          <t>2024Q3</t>
        </is>
      </c>
      <c r="F4273" s="2" t="n">
        <v>3935600</v>
      </c>
      <c r="G4273" t="inlineStr"/>
      <c r="H4273" t="inlineStr"/>
      <c r="I4273" s="2" t="n">
        <v>129900</v>
      </c>
      <c r="J4273" t="inlineStr"/>
      <c r="K4273" t="inlineStr"/>
      <c r="L4273" s="2" t="n">
        <v>230400</v>
      </c>
      <c r="M4273" t="inlineStr"/>
      <c r="N4273" t="inlineStr">
        <is>
          <t>20241030800061</t>
        </is>
      </c>
      <c r="O4273">
        <f>HYPERLINK("https://dart.fss.or.kr/dsaf001/main.do?rcpNo=20241030800061", "공시열람")</f>
        <v/>
      </c>
    </row>
    <row r="4274">
      <c r="A4274" t="inlineStr">
        <is>
          <t>2024-10-30</t>
        </is>
      </c>
      <c r="B4274" t="inlineStr">
        <is>
          <t>일동홀딩스</t>
        </is>
      </c>
      <c r="C4274" t="inlineStr">
        <is>
          <t>000230</t>
        </is>
      </c>
      <c r="D4274" t="inlineStr">
        <is>
          <t>연결</t>
        </is>
      </c>
      <c r="E4274" t="inlineStr">
        <is>
          <t>2024Q3</t>
        </is>
      </c>
      <c r="F4274" s="2" t="n">
        <v>166569</v>
      </c>
      <c r="G4274" t="inlineStr"/>
      <c r="H4274" t="inlineStr"/>
      <c r="I4274" s="2" t="n">
        <v>105</v>
      </c>
      <c r="J4274" t="inlineStr"/>
      <c r="K4274" t="inlineStr"/>
      <c r="L4274" s="2" t="n">
        <v>-15960</v>
      </c>
      <c r="M4274" t="inlineStr"/>
      <c r="N4274" t="inlineStr">
        <is>
          <t>20241030800544</t>
        </is>
      </c>
      <c r="O4274">
        <f>HYPERLINK("https://dart.fss.or.kr/dsaf001/main.do?rcpNo=20241030800544", "공시열람")</f>
        <v/>
      </c>
    </row>
    <row r="4275">
      <c r="A4275" t="inlineStr">
        <is>
          <t>2024-10-30</t>
        </is>
      </c>
      <c r="B4275" t="inlineStr">
        <is>
          <t>삼성물산</t>
        </is>
      </c>
      <c r="C4275" t="inlineStr">
        <is>
          <t>028260</t>
        </is>
      </c>
      <c r="D4275" t="inlineStr">
        <is>
          <t>연결</t>
        </is>
      </c>
      <c r="E4275" t="inlineStr">
        <is>
          <t>2024Q3</t>
        </is>
      </c>
      <c r="F4275" s="2" t="n">
        <v>10309867</v>
      </c>
      <c r="G4275" t="inlineStr"/>
      <c r="H4275" t="inlineStr"/>
      <c r="I4275" s="2" t="n">
        <v>736150</v>
      </c>
      <c r="J4275" t="inlineStr"/>
      <c r="K4275" t="inlineStr"/>
      <c r="L4275" s="2" t="n">
        <v>560030</v>
      </c>
      <c r="M4275" t="inlineStr"/>
      <c r="N4275" t="inlineStr">
        <is>
          <t>20241030800388</t>
        </is>
      </c>
      <c r="O4275">
        <f>HYPERLINK("https://dart.fss.or.kr/dsaf001/main.do?rcpNo=20241030800388", "공시열람")</f>
        <v/>
      </c>
    </row>
    <row r="4276">
      <c r="A4276" t="inlineStr">
        <is>
          <t>2024-10-30</t>
        </is>
      </c>
      <c r="B4276" t="inlineStr">
        <is>
          <t>SK리츠</t>
        </is>
      </c>
      <c r="C4276" t="inlineStr">
        <is>
          <t>395400</t>
        </is>
      </c>
      <c r="D4276" t="inlineStr">
        <is>
          <t>별도</t>
        </is>
      </c>
      <c r="E4276" t="inlineStr">
        <is>
          <t>2024Q3</t>
        </is>
      </c>
      <c r="F4276" s="2" t="n">
        <v>30297</v>
      </c>
      <c r="G4276" t="n">
        <v>-3.2</v>
      </c>
      <c r="H4276" t="n">
        <v>31.6</v>
      </c>
      <c r="I4276" s="2" t="n">
        <v>25166</v>
      </c>
      <c r="J4276" t="n">
        <v>-4.5</v>
      </c>
      <c r="K4276" t="n">
        <v>38.4</v>
      </c>
      <c r="L4276" s="2" t="n">
        <v>8211</v>
      </c>
      <c r="M4276" t="n">
        <v>85</v>
      </c>
      <c r="N4276" t="inlineStr">
        <is>
          <t>20241030800784</t>
        </is>
      </c>
      <c r="O4276">
        <f>HYPERLINK("https://dart.fss.or.kr/dsaf001/main.do?rcpNo=20241030800784", "공시열람")</f>
        <v/>
      </c>
    </row>
    <row r="4277">
      <c r="A4277" t="inlineStr">
        <is>
          <t>2024-10-30</t>
        </is>
      </c>
      <c r="B4277" t="inlineStr">
        <is>
          <t>대웅제약</t>
        </is>
      </c>
      <c r="C4277" t="inlineStr">
        <is>
          <t>069620</t>
        </is>
      </c>
      <c r="D4277" t="inlineStr">
        <is>
          <t>별도</t>
        </is>
      </c>
      <c r="E4277" t="inlineStr">
        <is>
          <t>2024Q3</t>
        </is>
      </c>
      <c r="F4277" s="2" t="n">
        <v>315929</v>
      </c>
      <c r="G4277" t="n">
        <v>-2.95</v>
      </c>
      <c r="H4277" t="n">
        <v>4.26</v>
      </c>
      <c r="I4277" s="2" t="n">
        <v>41144</v>
      </c>
      <c r="J4277" t="n">
        <v>-17.05</v>
      </c>
      <c r="K4277" t="n">
        <v>20.32</v>
      </c>
      <c r="L4277" s="2" t="n">
        <v>31945</v>
      </c>
      <c r="M4277" t="n">
        <v>61.63</v>
      </c>
      <c r="N4277" t="inlineStr">
        <is>
          <t>20241030800696</t>
        </is>
      </c>
      <c r="O4277">
        <f>HYPERLINK("https://dart.fss.or.kr/dsaf001/main.do?rcpNo=20241030800696", "공시열람")</f>
        <v/>
      </c>
    </row>
    <row r="4278">
      <c r="A4278" t="inlineStr">
        <is>
          <t>2024-10-30</t>
        </is>
      </c>
      <c r="B4278" t="inlineStr">
        <is>
          <t>현대비앤지스틸</t>
        </is>
      </c>
      <c r="C4278" t="inlineStr">
        <is>
          <t>004560</t>
        </is>
      </c>
      <c r="D4278" t="inlineStr">
        <is>
          <t>연결</t>
        </is>
      </c>
      <c r="E4278" t="inlineStr">
        <is>
          <t>2024Q3</t>
        </is>
      </c>
      <c r="F4278" s="2" t="n">
        <v>188355</v>
      </c>
      <c r="G4278" t="n">
        <v>-18.6</v>
      </c>
      <c r="H4278" t="n">
        <v>-30</v>
      </c>
      <c r="I4278" s="2" t="n">
        <v>6814</v>
      </c>
      <c r="J4278" t="n">
        <v>-64.2</v>
      </c>
      <c r="K4278" t="inlineStr"/>
      <c r="L4278" s="2" t="n">
        <v>3909</v>
      </c>
      <c r="M4278" t="inlineStr"/>
      <c r="N4278" t="inlineStr">
        <is>
          <t>20241030800546</t>
        </is>
      </c>
      <c r="O4278">
        <f>HYPERLINK("https://dart.fss.or.kr/dsaf001/main.do?rcpNo=20241030800546", "공시열람")</f>
        <v/>
      </c>
    </row>
    <row r="4279">
      <c r="A4279" t="inlineStr">
        <is>
          <t>2024-10-29</t>
        </is>
      </c>
      <c r="B4279" t="inlineStr">
        <is>
          <t>하나금융지주</t>
        </is>
      </c>
      <c r="C4279" t="inlineStr">
        <is>
          <t>086790</t>
        </is>
      </c>
      <c r="D4279" t="inlineStr">
        <is>
          <t>연결</t>
        </is>
      </c>
      <c r="E4279" t="inlineStr">
        <is>
          <t>2024Q3</t>
        </is>
      </c>
      <c r="F4279" s="2" t="n">
        <v>1925196</v>
      </c>
      <c r="G4279" t="n">
        <v>-31.68</v>
      </c>
      <c r="H4279" t="n">
        <v>-22.48</v>
      </c>
      <c r="I4279" s="2" t="n">
        <v>35017</v>
      </c>
      <c r="J4279" t="n">
        <v>-32.31</v>
      </c>
      <c r="K4279" t="inlineStr"/>
      <c r="L4279" s="2" t="n">
        <v>51257</v>
      </c>
      <c r="M4279" t="inlineStr"/>
      <c r="N4279" t="inlineStr">
        <is>
          <t>20241029800231</t>
        </is>
      </c>
      <c r="O4279">
        <f>HYPERLINK("https://dart.fss.or.kr/dsaf001/main.do?rcpNo=20241029800231", "공시열람")</f>
        <v/>
      </c>
    </row>
    <row r="4280">
      <c r="A4280" t="inlineStr">
        <is>
          <t>2024-10-29</t>
        </is>
      </c>
      <c r="B4280" t="inlineStr">
        <is>
          <t>NI스틸</t>
        </is>
      </c>
      <c r="C4280" t="inlineStr">
        <is>
          <t>008260</t>
        </is>
      </c>
      <c r="D4280" t="inlineStr">
        <is>
          <t>별도</t>
        </is>
      </c>
      <c r="E4280" t="inlineStr">
        <is>
          <t>2024Q3</t>
        </is>
      </c>
      <c r="F4280" s="2" t="n">
        <v>56346</v>
      </c>
      <c r="G4280" t="n">
        <v>-29.4</v>
      </c>
      <c r="H4280" t="n">
        <v>-34.1</v>
      </c>
      <c r="I4280" s="2" t="n">
        <v>6032</v>
      </c>
      <c r="J4280" t="n">
        <v>-49</v>
      </c>
      <c r="K4280" t="n">
        <v>-65.5</v>
      </c>
      <c r="L4280" s="2" t="n">
        <v>3387</v>
      </c>
      <c r="M4280" t="n">
        <v>-72.90000000000001</v>
      </c>
      <c r="N4280" t="inlineStr">
        <is>
          <t>20241029800197</t>
        </is>
      </c>
      <c r="O4280">
        <f>HYPERLINK("https://dart.fss.or.kr/dsaf001/main.do?rcpNo=20241029800197", "공시열람")</f>
        <v/>
      </c>
    </row>
    <row r="4281">
      <c r="A4281" t="inlineStr">
        <is>
          <t>2024-10-29</t>
        </is>
      </c>
      <c r="B4281" t="inlineStr">
        <is>
          <t>하나금융지주</t>
        </is>
      </c>
      <c r="C4281" t="inlineStr">
        <is>
          <t>086790</t>
        </is>
      </c>
      <c r="D4281" t="inlineStr">
        <is>
          <t>연결</t>
        </is>
      </c>
      <c r="E4281" t="inlineStr">
        <is>
          <t>2024Q3</t>
        </is>
      </c>
      <c r="F4281" s="2" t="n">
        <v>10927788</v>
      </c>
      <c r="G4281" t="n">
        <v>-44.57</v>
      </c>
      <c r="H4281" t="n">
        <v>-38.8</v>
      </c>
      <c r="I4281" s="2" t="n">
        <v>1331397</v>
      </c>
      <c r="J4281" t="n">
        <v>-2.04</v>
      </c>
      <c r="K4281" t="n">
        <v>12.24</v>
      </c>
      <c r="L4281" s="2" t="n">
        <v>1160327</v>
      </c>
      <c r="M4281" t="n">
        <v>20.44</v>
      </c>
      <c r="N4281" t="inlineStr">
        <is>
          <t>20241029800223</t>
        </is>
      </c>
      <c r="O4281">
        <f>HYPERLINK("https://dart.fss.or.kr/dsaf001/main.do?rcpNo=20241029800223", "공시열람")</f>
        <v/>
      </c>
    </row>
    <row r="4282">
      <c r="A4282" t="inlineStr">
        <is>
          <t>2024-10-29</t>
        </is>
      </c>
      <c r="B4282" t="inlineStr">
        <is>
          <t>RF머트리얼즈</t>
        </is>
      </c>
      <c r="C4282" t="inlineStr">
        <is>
          <t>327260</t>
        </is>
      </c>
      <c r="D4282" t="inlineStr">
        <is>
          <t>연결</t>
        </is>
      </c>
      <c r="E4282" t="inlineStr">
        <is>
          <t>2024Q3</t>
        </is>
      </c>
      <c r="F4282" s="2" t="n">
        <v>7710</v>
      </c>
      <c r="G4282" t="inlineStr"/>
      <c r="H4282" t="inlineStr"/>
      <c r="I4282" s="2" t="n">
        <v>-1006</v>
      </c>
      <c r="J4282" t="inlineStr"/>
      <c r="K4282" t="inlineStr"/>
      <c r="L4282" s="2" t="n">
        <v>-869</v>
      </c>
      <c r="M4282" t="inlineStr"/>
      <c r="N4282" t="inlineStr">
        <is>
          <t>20241029900389</t>
        </is>
      </c>
      <c r="O4282">
        <f>HYPERLINK("https://dart.fss.or.kr/dsaf001/main.do?rcpNo=20241029900389", "공시열람")</f>
        <v/>
      </c>
    </row>
    <row r="4283">
      <c r="A4283" t="inlineStr">
        <is>
          <t>2024-10-29</t>
        </is>
      </c>
      <c r="B4283" t="inlineStr">
        <is>
          <t>하나금융지주</t>
        </is>
      </c>
      <c r="C4283" t="inlineStr">
        <is>
          <t>086790</t>
        </is>
      </c>
      <c r="D4283" t="inlineStr">
        <is>
          <t>연결</t>
        </is>
      </c>
      <c r="E4283" t="inlineStr">
        <is>
          <t>2024Q3</t>
        </is>
      </c>
      <c r="F4283" s="2" t="n">
        <v>7442870</v>
      </c>
      <c r="G4283" t="n">
        <v>-51.67</v>
      </c>
      <c r="H4283" t="n">
        <v>-47.48</v>
      </c>
      <c r="I4283" s="2" t="n">
        <v>1252250</v>
      </c>
      <c r="J4283" t="n">
        <v>3.73</v>
      </c>
      <c r="K4283" t="n">
        <v>10.75</v>
      </c>
      <c r="L4283" s="2" t="n">
        <v>1040817</v>
      </c>
      <c r="M4283" t="n">
        <v>11.93</v>
      </c>
      <c r="N4283" t="inlineStr">
        <is>
          <t>20241029800226</t>
        </is>
      </c>
      <c r="O4283">
        <f>HYPERLINK("https://dart.fss.or.kr/dsaf001/main.do?rcpNo=20241029800226", "공시열람")</f>
        <v/>
      </c>
    </row>
    <row r="4284">
      <c r="A4284" t="inlineStr">
        <is>
          <t>2024-10-29</t>
        </is>
      </c>
      <c r="B4284" t="inlineStr">
        <is>
          <t>한화시스템</t>
        </is>
      </c>
      <c r="C4284" t="inlineStr">
        <is>
          <t>272210</t>
        </is>
      </c>
      <c r="D4284" t="inlineStr">
        <is>
          <t>연결</t>
        </is>
      </c>
      <c r="E4284" t="inlineStr">
        <is>
          <t>2024Q3</t>
        </is>
      </c>
      <c r="F4284" s="2" t="n">
        <v>639172</v>
      </c>
      <c r="G4284" t="n">
        <v>-7</v>
      </c>
      <c r="H4284" t="n">
        <v>2.96</v>
      </c>
      <c r="I4284" s="2" t="n">
        <v>56999</v>
      </c>
      <c r="J4284" t="n">
        <v>-28.61</v>
      </c>
      <c r="K4284" t="n">
        <v>43.69</v>
      </c>
      <c r="L4284" s="2" t="n">
        <v>8145</v>
      </c>
      <c r="M4284" t="n">
        <v>-80.20999999999999</v>
      </c>
      <c r="N4284" t="inlineStr">
        <is>
          <t>20241029800579</t>
        </is>
      </c>
      <c r="O4284">
        <f>HYPERLINK("https://dart.fss.or.kr/dsaf001/main.do?rcpNo=20241029800579", "공시열람")</f>
        <v/>
      </c>
    </row>
    <row r="4285">
      <c r="A4285" t="inlineStr">
        <is>
          <t>2024-10-29</t>
        </is>
      </c>
      <c r="B4285" t="inlineStr">
        <is>
          <t>KG스틸</t>
        </is>
      </c>
      <c r="C4285" t="inlineStr">
        <is>
          <t>016380</t>
        </is>
      </c>
      <c r="D4285" t="inlineStr">
        <is>
          <t>연결</t>
        </is>
      </c>
      <c r="E4285" t="inlineStr">
        <is>
          <t>2024Q3</t>
        </is>
      </c>
      <c r="F4285" s="2" t="n">
        <v>834900</v>
      </c>
      <c r="G4285" t="n">
        <v>-2.74</v>
      </c>
      <c r="H4285" t="n">
        <v>-5.65</v>
      </c>
      <c r="I4285" s="2" t="n">
        <v>42700</v>
      </c>
      <c r="J4285" t="n">
        <v>-42.66</v>
      </c>
      <c r="K4285" t="n">
        <v>-46.74</v>
      </c>
      <c r="L4285" s="2" t="n">
        <v>46400</v>
      </c>
      <c r="M4285" t="n">
        <v>-19.21</v>
      </c>
      <c r="N4285" t="inlineStr">
        <is>
          <t>20241029800052</t>
        </is>
      </c>
      <c r="O4285">
        <f>HYPERLINK("https://dart.fss.or.kr/dsaf001/main.do?rcpNo=20241029800052", "공시열람")</f>
        <v/>
      </c>
    </row>
    <row r="4286">
      <c r="A4286" t="inlineStr">
        <is>
          <t>2024-10-29</t>
        </is>
      </c>
      <c r="B4286" t="inlineStr">
        <is>
          <t>코스모신소재</t>
        </is>
      </c>
      <c r="C4286" t="inlineStr">
        <is>
          <t>005070</t>
        </is>
      </c>
      <c r="D4286" t="inlineStr">
        <is>
          <t>별도</t>
        </is>
      </c>
      <c r="E4286" t="inlineStr">
        <is>
          <t>2024Q3</t>
        </is>
      </c>
      <c r="F4286" s="2" t="n">
        <v>119338</v>
      </c>
      <c r="G4286" t="n">
        <v>-35.6</v>
      </c>
      <c r="H4286" t="n">
        <v>-22.6</v>
      </c>
      <c r="I4286" s="2" t="n">
        <v>6533</v>
      </c>
      <c r="J4286" t="n">
        <v>-5.7</v>
      </c>
      <c r="K4286" t="n">
        <v>-19.3</v>
      </c>
      <c r="L4286" s="2" t="n">
        <v>7635</v>
      </c>
      <c r="M4286" t="n">
        <v>-15.4</v>
      </c>
      <c r="N4286" t="inlineStr">
        <is>
          <t>20241029800086</t>
        </is>
      </c>
      <c r="O4286">
        <f>HYPERLINK("https://dart.fss.or.kr/dsaf001/main.do?rcpNo=20241029800086", "공시열람")</f>
        <v/>
      </c>
    </row>
    <row r="4287">
      <c r="A4287" t="inlineStr">
        <is>
          <t>2024-10-29</t>
        </is>
      </c>
      <c r="B4287" t="inlineStr">
        <is>
          <t>삼성전기</t>
        </is>
      </c>
      <c r="C4287" t="inlineStr">
        <is>
          <t>009150</t>
        </is>
      </c>
      <c r="D4287" t="inlineStr">
        <is>
          <t>연결</t>
        </is>
      </c>
      <c r="E4287" t="inlineStr">
        <is>
          <t>2024Q3</t>
        </is>
      </c>
      <c r="F4287" s="2" t="n">
        <v>2615317</v>
      </c>
      <c r="G4287" t="inlineStr"/>
      <c r="H4287" t="inlineStr"/>
      <c r="I4287" s="2" t="n">
        <v>224875</v>
      </c>
      <c r="J4287" t="inlineStr"/>
      <c r="K4287" t="inlineStr"/>
      <c r="L4287" s="2" t="n">
        <v>124206</v>
      </c>
      <c r="M4287" t="inlineStr"/>
      <c r="N4287" t="inlineStr">
        <is>
          <t>20241029800153</t>
        </is>
      </c>
      <c r="O4287">
        <f>HYPERLINK("https://dart.fss.or.kr/dsaf001/main.do?rcpNo=20241029800153", "공시열람")</f>
        <v/>
      </c>
    </row>
    <row r="4288">
      <c r="A4288" t="inlineStr">
        <is>
          <t>2024-10-29</t>
        </is>
      </c>
      <c r="B4288" t="inlineStr">
        <is>
          <t>한화오션</t>
        </is>
      </c>
      <c r="C4288" t="inlineStr">
        <is>
          <t>042660</t>
        </is>
      </c>
      <c r="D4288" t="inlineStr">
        <is>
          <t>연결</t>
        </is>
      </c>
      <c r="E4288" t="inlineStr">
        <is>
          <t>2024Q3</t>
        </is>
      </c>
      <c r="F4288" s="2" t="n">
        <v>2703100</v>
      </c>
      <c r="G4288" t="n">
        <v>6.6</v>
      </c>
      <c r="H4288" t="n">
        <v>41</v>
      </c>
      <c r="I4288" s="2" t="n">
        <v>25600</v>
      </c>
      <c r="J4288" t="inlineStr"/>
      <c r="K4288" t="n">
        <v>-65.5</v>
      </c>
      <c r="L4288" s="2" t="n">
        <v>-74800</v>
      </c>
      <c r="M4288" t="inlineStr"/>
      <c r="N4288" t="inlineStr">
        <is>
          <t>20241029800175</t>
        </is>
      </c>
      <c r="O4288">
        <f>HYPERLINK("https://dart.fss.or.kr/dsaf001/main.do?rcpNo=20241029800175", "공시열람")</f>
        <v/>
      </c>
    </row>
    <row r="4289">
      <c r="A4289" t="inlineStr">
        <is>
          <t>2024-10-29</t>
        </is>
      </c>
      <c r="B4289" t="inlineStr">
        <is>
          <t>RFHIC</t>
        </is>
      </c>
      <c r="C4289" t="inlineStr">
        <is>
          <t>218410</t>
        </is>
      </c>
      <c r="D4289" t="inlineStr">
        <is>
          <t>연결</t>
        </is>
      </c>
      <c r="E4289" t="inlineStr">
        <is>
          <t>2024Q3</t>
        </is>
      </c>
      <c r="F4289" s="2" t="n">
        <v>24585</v>
      </c>
      <c r="G4289" t="inlineStr"/>
      <c r="H4289" t="inlineStr"/>
      <c r="I4289" s="2" t="n">
        <v>-1124</v>
      </c>
      <c r="J4289" t="inlineStr"/>
      <c r="K4289" t="inlineStr"/>
      <c r="L4289" s="2" t="n">
        <v>690</v>
      </c>
      <c r="M4289" t="inlineStr"/>
      <c r="N4289" t="inlineStr">
        <is>
          <t>20241029900400</t>
        </is>
      </c>
      <c r="O4289">
        <f>HYPERLINK("https://dart.fss.or.kr/dsaf001/main.do?rcpNo=20241029900400", "공시열람")</f>
        <v/>
      </c>
    </row>
    <row r="4290">
      <c r="A4290" t="inlineStr">
        <is>
          <t>2024-10-29</t>
        </is>
      </c>
      <c r="B4290" t="inlineStr">
        <is>
          <t>한국항공우주</t>
        </is>
      </c>
      <c r="C4290" t="inlineStr">
        <is>
          <t>047810</t>
        </is>
      </c>
      <c r="D4290" t="inlineStr">
        <is>
          <t>연결</t>
        </is>
      </c>
      <c r="E4290" t="inlineStr">
        <is>
          <t>2024Q3</t>
        </is>
      </c>
      <c r="F4290" s="2" t="n">
        <v>907200</v>
      </c>
      <c r="G4290" t="n">
        <v>1.7</v>
      </c>
      <c r="H4290" t="n">
        <v>-9.9</v>
      </c>
      <c r="I4290" s="2" t="n">
        <v>76300</v>
      </c>
      <c r="J4290" t="n">
        <v>2.7</v>
      </c>
      <c r="K4290" t="n">
        <v>16.7</v>
      </c>
      <c r="L4290" s="2" t="n">
        <v>67900</v>
      </c>
      <c r="M4290" t="n">
        <v>28.3</v>
      </c>
      <c r="N4290" t="inlineStr">
        <is>
          <t>20241029800242</t>
        </is>
      </c>
      <c r="O4290">
        <f>HYPERLINK("https://dart.fss.or.kr/dsaf001/main.do?rcpNo=20241029800242", "공시열람")</f>
        <v/>
      </c>
    </row>
    <row r="4291">
      <c r="A4291" t="inlineStr">
        <is>
          <t>2024-10-29</t>
        </is>
      </c>
      <c r="B4291" t="inlineStr">
        <is>
          <t>주성엔지니어링</t>
        </is>
      </c>
      <c r="C4291" t="inlineStr">
        <is>
          <t>036930</t>
        </is>
      </c>
      <c r="D4291" t="inlineStr">
        <is>
          <t>연결</t>
        </is>
      </c>
      <c r="E4291" t="inlineStr">
        <is>
          <t>2024Q3</t>
        </is>
      </c>
      <c r="F4291" s="2" t="n">
        <v>147205</v>
      </c>
      <c r="G4291" t="inlineStr"/>
      <c r="H4291" t="inlineStr"/>
      <c r="I4291" s="2" t="n">
        <v>52171</v>
      </c>
      <c r="J4291" t="inlineStr"/>
      <c r="K4291" t="inlineStr"/>
      <c r="L4291" s="2" t="n">
        <v>37665</v>
      </c>
      <c r="M4291" t="inlineStr"/>
      <c r="N4291" t="inlineStr">
        <is>
          <t>20241029900232</t>
        </is>
      </c>
      <c r="O4291">
        <f>HYPERLINK("https://dart.fss.or.kr/dsaf001/main.do?rcpNo=20241029900232", "공시열람")</f>
        <v/>
      </c>
    </row>
    <row r="4292">
      <c r="A4292" t="inlineStr">
        <is>
          <t>2024-10-29</t>
        </is>
      </c>
      <c r="B4292" t="inlineStr">
        <is>
          <t>두산퓨얼셀</t>
        </is>
      </c>
      <c r="C4292" t="inlineStr">
        <is>
          <t>336260</t>
        </is>
      </c>
      <c r="D4292" t="inlineStr">
        <is>
          <t>연결</t>
        </is>
      </c>
      <c r="E4292" t="inlineStr">
        <is>
          <t>2024Q1</t>
        </is>
      </c>
      <c r="F4292" s="2" t="n">
        <v>32023</v>
      </c>
      <c r="G4292" t="inlineStr"/>
      <c r="H4292" t="inlineStr"/>
      <c r="I4292" s="2" t="n">
        <v>-2989</v>
      </c>
      <c r="J4292" t="inlineStr"/>
      <c r="K4292" t="inlineStr"/>
      <c r="L4292" s="2" t="n">
        <v>-3672</v>
      </c>
      <c r="M4292" t="inlineStr"/>
      <c r="N4292" t="inlineStr">
        <is>
          <t>20241029800407</t>
        </is>
      </c>
      <c r="O4292">
        <f>HYPERLINK("https://dart.fss.or.kr/dsaf001/main.do?rcpNo=20241029800407", "공시열람")</f>
        <v/>
      </c>
    </row>
    <row r="4293">
      <c r="A4293" t="inlineStr">
        <is>
          <t>2024-10-29</t>
        </is>
      </c>
      <c r="B4293" t="inlineStr">
        <is>
          <t>엘컴텍</t>
        </is>
      </c>
      <c r="C4293" t="inlineStr">
        <is>
          <t>037950</t>
        </is>
      </c>
      <c r="D4293" t="inlineStr">
        <is>
          <t>연결</t>
        </is>
      </c>
      <c r="E4293" t="inlineStr">
        <is>
          <t>2024Q3</t>
        </is>
      </c>
      <c r="F4293" s="2" t="n">
        <v>16968</v>
      </c>
      <c r="G4293" t="inlineStr"/>
      <c r="H4293" t="inlineStr"/>
      <c r="I4293" s="2" t="n">
        <v>1410</v>
      </c>
      <c r="J4293" t="inlineStr"/>
      <c r="K4293" t="inlineStr"/>
      <c r="L4293" s="2" t="n">
        <v>974</v>
      </c>
      <c r="M4293" t="inlineStr"/>
      <c r="N4293" t="inlineStr">
        <is>
          <t>20241029900446</t>
        </is>
      </c>
      <c r="O4293">
        <f>HYPERLINK("https://dart.fss.or.kr/dsaf001/main.do?rcpNo=20241029900446", "공시열람")</f>
        <v/>
      </c>
    </row>
    <row r="4294">
      <c r="A4294" t="inlineStr">
        <is>
          <t>2024-10-29</t>
        </is>
      </c>
      <c r="B4294" t="inlineStr">
        <is>
          <t>KG스틸</t>
        </is>
      </c>
      <c r="C4294" t="inlineStr">
        <is>
          <t>016380</t>
        </is>
      </c>
      <c r="D4294" t="inlineStr">
        <is>
          <t>별도</t>
        </is>
      </c>
      <c r="E4294" t="inlineStr">
        <is>
          <t>2024Q3</t>
        </is>
      </c>
      <c r="F4294" s="2" t="n">
        <v>790100</v>
      </c>
      <c r="G4294" t="n">
        <v>-4.62</v>
      </c>
      <c r="H4294" t="n">
        <v>-7.5</v>
      </c>
      <c r="I4294" s="2" t="n">
        <v>39900</v>
      </c>
      <c r="J4294" t="n">
        <v>-46.46</v>
      </c>
      <c r="K4294" t="n">
        <v>-49.61</v>
      </c>
      <c r="L4294" s="2" t="n">
        <v>38500</v>
      </c>
      <c r="M4294" t="n">
        <v>-34.63</v>
      </c>
      <c r="N4294" t="inlineStr">
        <is>
          <t>20241029800047</t>
        </is>
      </c>
      <c r="O4294">
        <f>HYPERLINK("https://dart.fss.or.kr/dsaf001/main.do?rcpNo=20241029800047", "공시열람")</f>
        <v/>
      </c>
    </row>
    <row r="4295">
      <c r="A4295" t="inlineStr">
        <is>
          <t>2024-10-29</t>
        </is>
      </c>
      <c r="B4295" t="inlineStr">
        <is>
          <t>금호타이어</t>
        </is>
      </c>
      <c r="C4295" t="inlineStr">
        <is>
          <t>073240</t>
        </is>
      </c>
      <c r="D4295" t="inlineStr">
        <is>
          <t>연결</t>
        </is>
      </c>
      <c r="E4295" t="inlineStr">
        <is>
          <t>2024Q3</t>
        </is>
      </c>
      <c r="F4295" s="2" t="n">
        <v>1114995</v>
      </c>
      <c r="G4295" t="n">
        <v>-1.5</v>
      </c>
      <c r="H4295" t="n">
        <v>14.1</v>
      </c>
      <c r="I4295" s="2" t="n">
        <v>140223</v>
      </c>
      <c r="J4295" t="n">
        <v>-7.4</v>
      </c>
      <c r="K4295" t="n">
        <v>45.7</v>
      </c>
      <c r="L4295" s="2" t="n">
        <v>98672</v>
      </c>
      <c r="M4295" t="n">
        <v>195.3</v>
      </c>
      <c r="N4295" t="inlineStr">
        <is>
          <t>20241029800337</t>
        </is>
      </c>
      <c r="O4295">
        <f>HYPERLINK("https://dart.fss.or.kr/dsaf001/main.do?rcpNo=20241029800337", "공시열람")</f>
        <v/>
      </c>
    </row>
    <row r="4296">
      <c r="A4296" t="inlineStr">
        <is>
          <t>2024-10-29</t>
        </is>
      </c>
      <c r="B4296" t="inlineStr">
        <is>
          <t>LG생활건강</t>
        </is>
      </c>
      <c r="C4296" t="inlineStr">
        <is>
          <t>051900</t>
        </is>
      </c>
      <c r="D4296" t="inlineStr">
        <is>
          <t>연결</t>
        </is>
      </c>
      <c r="E4296" t="inlineStr">
        <is>
          <t>2024Q3</t>
        </is>
      </c>
      <c r="F4296" s="2" t="n">
        <v>1713600</v>
      </c>
      <c r="G4296" t="inlineStr"/>
      <c r="H4296" t="inlineStr"/>
      <c r="I4296" s="2" t="n">
        <v>106100</v>
      </c>
      <c r="J4296" t="inlineStr"/>
      <c r="K4296" t="inlineStr"/>
      <c r="L4296" s="2" t="n">
        <v>73500</v>
      </c>
      <c r="M4296" t="inlineStr"/>
      <c r="N4296" t="inlineStr">
        <is>
          <t>20241029800336</t>
        </is>
      </c>
      <c r="O4296">
        <f>HYPERLINK("https://dart.fss.or.kr/dsaf001/main.do?rcpNo=20241029800336", "공시열람")</f>
        <v/>
      </c>
    </row>
    <row r="4297">
      <c r="A4297" t="inlineStr">
        <is>
          <t>2024-10-28</t>
        </is>
      </c>
      <c r="B4297" t="inlineStr">
        <is>
          <t>칩스앤미디어</t>
        </is>
      </c>
      <c r="C4297" t="inlineStr">
        <is>
          <t>094360</t>
        </is>
      </c>
      <c r="D4297" t="inlineStr">
        <is>
          <t>연결</t>
        </is>
      </c>
      <c r="E4297" t="inlineStr">
        <is>
          <t>2024Q3</t>
        </is>
      </c>
      <c r="F4297" s="2" t="n">
        <v>7030</v>
      </c>
      <c r="G4297" t="inlineStr"/>
      <c r="H4297" t="inlineStr"/>
      <c r="I4297" s="2" t="n">
        <v>1725</v>
      </c>
      <c r="J4297" t="inlineStr"/>
      <c r="K4297" t="inlineStr"/>
      <c r="L4297" s="2" t="n">
        <v>1682</v>
      </c>
      <c r="M4297" t="inlineStr"/>
      <c r="N4297" t="inlineStr">
        <is>
          <t>20241028900202</t>
        </is>
      </c>
      <c r="O4297">
        <f>HYPERLINK("https://dart.fss.or.kr/dsaf001/main.do?rcpNo=20241028900202", "공시열람")</f>
        <v/>
      </c>
    </row>
    <row r="4298">
      <c r="A4298" t="inlineStr">
        <is>
          <t>2024-10-28</t>
        </is>
      </c>
      <c r="B4298" t="inlineStr">
        <is>
          <t>현대로템</t>
        </is>
      </c>
      <c r="C4298" t="inlineStr">
        <is>
          <t>064350</t>
        </is>
      </c>
      <c r="D4298" t="inlineStr">
        <is>
          <t>연결</t>
        </is>
      </c>
      <c r="E4298" t="inlineStr">
        <is>
          <t>2024Q3</t>
        </is>
      </c>
      <c r="F4298" s="2" t="n">
        <v>1093523</v>
      </c>
      <c r="G4298" t="n">
        <v>-0.1</v>
      </c>
      <c r="H4298" t="n">
        <v>18</v>
      </c>
      <c r="I4298" s="2" t="n">
        <v>137433</v>
      </c>
      <c r="J4298" t="n">
        <v>21.9</v>
      </c>
      <c r="K4298" t="n">
        <v>234.3</v>
      </c>
      <c r="L4298" s="2" t="n">
        <v>103777</v>
      </c>
      <c r="M4298" t="n">
        <v>159.8</v>
      </c>
      <c r="N4298" t="inlineStr">
        <is>
          <t>20241028800033</t>
        </is>
      </c>
      <c r="O4298">
        <f>HYPERLINK("https://dart.fss.or.kr/dsaf001/main.do?rcpNo=20241028800033", "공시열람")</f>
        <v/>
      </c>
    </row>
    <row r="4299">
      <c r="A4299" t="inlineStr">
        <is>
          <t>2024-10-28</t>
        </is>
      </c>
      <c r="B4299" t="inlineStr">
        <is>
          <t>대한전선</t>
        </is>
      </c>
      <c r="C4299" t="inlineStr">
        <is>
          <t>001440</t>
        </is>
      </c>
      <c r="D4299" t="inlineStr">
        <is>
          <t>연결</t>
        </is>
      </c>
      <c r="E4299" t="inlineStr">
        <is>
          <t>2024Q3</t>
        </is>
      </c>
      <c r="F4299" s="2" t="n">
        <v>804433</v>
      </c>
      <c r="G4299" t="n">
        <v>-6.93</v>
      </c>
      <c r="H4299" t="n">
        <v>27.68</v>
      </c>
      <c r="I4299" s="2" t="n">
        <v>27211</v>
      </c>
      <c r="J4299" t="n">
        <v>-27.22</v>
      </c>
      <c r="K4299" t="n">
        <v>56.3</v>
      </c>
      <c r="L4299" s="2" t="inlineStr"/>
      <c r="M4299" t="inlineStr"/>
      <c r="N4299" t="inlineStr">
        <is>
          <t>20241028800095</t>
        </is>
      </c>
      <c r="O4299">
        <f>HYPERLINK("https://dart.fss.or.kr/dsaf001/main.do?rcpNo=20241028800095", "공시열람")</f>
        <v/>
      </c>
    </row>
    <row r="4300">
      <c r="A4300" t="inlineStr">
        <is>
          <t>2024-10-28</t>
        </is>
      </c>
      <c r="B4300" t="inlineStr">
        <is>
          <t>LG에너지솔루션</t>
        </is>
      </c>
      <c r="C4300" t="inlineStr">
        <is>
          <t>373220</t>
        </is>
      </c>
      <c r="D4300" t="inlineStr">
        <is>
          <t>연결</t>
        </is>
      </c>
      <c r="E4300" t="inlineStr">
        <is>
          <t>2024Q3</t>
        </is>
      </c>
      <c r="F4300" s="2" t="n">
        <v>6877800</v>
      </c>
      <c r="G4300" t="n">
        <v>11.6</v>
      </c>
      <c r="H4300" t="n">
        <v>-16.4</v>
      </c>
      <c r="I4300" s="2" t="n">
        <v>448300</v>
      </c>
      <c r="J4300" t="n">
        <v>129.5</v>
      </c>
      <c r="K4300" t="n">
        <v>-38.7</v>
      </c>
      <c r="L4300" s="2" t="n">
        <v>561300</v>
      </c>
      <c r="M4300" t="n">
        <v>33.5</v>
      </c>
      <c r="N4300" t="inlineStr">
        <is>
          <t>20241028800068</t>
        </is>
      </c>
      <c r="O4300">
        <f>HYPERLINK("https://dart.fss.or.kr/dsaf001/main.do?rcpNo=20241028800068", "공시열람")</f>
        <v/>
      </c>
    </row>
    <row r="4301">
      <c r="A4301" t="inlineStr">
        <is>
          <t>2024-10-28</t>
        </is>
      </c>
      <c r="B4301" t="inlineStr">
        <is>
          <t>NH투자증권</t>
        </is>
      </c>
      <c r="C4301" t="inlineStr">
        <is>
          <t>005940</t>
        </is>
      </c>
      <c r="D4301" t="inlineStr">
        <is>
          <t>연결</t>
        </is>
      </c>
      <c r="E4301" t="inlineStr">
        <is>
          <t>2024Q3</t>
        </is>
      </c>
      <c r="F4301" s="2" t="n">
        <v>2366006</v>
      </c>
      <c r="G4301" t="inlineStr"/>
      <c r="H4301" t="inlineStr"/>
      <c r="I4301" s="2" t="n">
        <v>188194</v>
      </c>
      <c r="J4301" t="inlineStr"/>
      <c r="K4301" t="inlineStr"/>
      <c r="L4301" s="2" t="n">
        <v>153980</v>
      </c>
      <c r="M4301" t="inlineStr"/>
      <c r="N4301" t="inlineStr">
        <is>
          <t>20241028800424</t>
        </is>
      </c>
      <c r="O4301">
        <f>HYPERLINK("https://dart.fss.or.kr/dsaf001/main.do?rcpNo=20241028800424", "공시열람")</f>
        <v/>
      </c>
    </row>
    <row r="4302">
      <c r="A4302" t="inlineStr">
        <is>
          <t>2024-10-28</t>
        </is>
      </c>
      <c r="B4302" t="inlineStr">
        <is>
          <t>유바이오로직스</t>
        </is>
      </c>
      <c r="C4302" t="inlineStr">
        <is>
          <t>206650</t>
        </is>
      </c>
      <c r="D4302" t="inlineStr">
        <is>
          <t>별도</t>
        </is>
      </c>
      <c r="E4302" t="inlineStr">
        <is>
          <t>2023Q3</t>
        </is>
      </c>
      <c r="F4302" s="2" t="n">
        <v>36152</v>
      </c>
      <c r="G4302" t="inlineStr"/>
      <c r="H4302" t="inlineStr"/>
      <c r="I4302" s="2" t="n">
        <v>16979</v>
      </c>
      <c r="J4302" t="inlineStr"/>
      <c r="K4302" t="inlineStr"/>
      <c r="L4302" s="2" t="n">
        <v>16091</v>
      </c>
      <c r="M4302" t="inlineStr"/>
      <c r="N4302" t="inlineStr">
        <is>
          <t>20241028900512</t>
        </is>
      </c>
      <c r="O4302">
        <f>HYPERLINK("https://dart.fss.or.kr/dsaf001/main.do?rcpNo=20241028900512", "공시열람")</f>
        <v/>
      </c>
    </row>
    <row r="4303">
      <c r="A4303" t="inlineStr">
        <is>
          <t>2024-10-28</t>
        </is>
      </c>
      <c r="B4303" t="inlineStr">
        <is>
          <t>보령</t>
        </is>
      </c>
      <c r="C4303" t="inlineStr">
        <is>
          <t>003850</t>
        </is>
      </c>
      <c r="D4303" t="inlineStr">
        <is>
          <t>연결</t>
        </is>
      </c>
      <c r="E4303" t="inlineStr">
        <is>
          <t>2024Q3</t>
        </is>
      </c>
      <c r="F4303" s="2" t="n">
        <v>271030</v>
      </c>
      <c r="G4303" t="n">
        <v>6.05</v>
      </c>
      <c r="H4303" t="n">
        <v>30.1</v>
      </c>
      <c r="I4303" s="2" t="n">
        <v>19455</v>
      </c>
      <c r="J4303" t="n">
        <v>-3.31</v>
      </c>
      <c r="K4303" t="n">
        <v>5.4</v>
      </c>
      <c r="L4303" s="2" t="n">
        <v>9353</v>
      </c>
      <c r="M4303" t="n">
        <v>-21.77</v>
      </c>
      <c r="N4303" t="inlineStr">
        <is>
          <t>20241028800414</t>
        </is>
      </c>
      <c r="O4303">
        <f>HYPERLINK("https://dart.fss.or.kr/dsaf001/main.do?rcpNo=20241028800414", "공시열람")</f>
        <v/>
      </c>
    </row>
    <row r="4304">
      <c r="A4304" t="inlineStr">
        <is>
          <t>2024-10-28</t>
        </is>
      </c>
      <c r="B4304" t="inlineStr">
        <is>
          <t>LG화학</t>
        </is>
      </c>
      <c r="C4304" t="inlineStr">
        <is>
          <t>051910</t>
        </is>
      </c>
      <c r="D4304" t="inlineStr">
        <is>
          <t>연결</t>
        </is>
      </c>
      <c r="E4304" t="inlineStr">
        <is>
          <t>2024Q3</t>
        </is>
      </c>
      <c r="F4304" s="2" t="n">
        <v>12670398</v>
      </c>
      <c r="G4304" t="n">
        <v>3</v>
      </c>
      <c r="H4304" t="n">
        <v>-6.1</v>
      </c>
      <c r="I4304" s="2" t="n">
        <v>498356</v>
      </c>
      <c r="J4304" t="n">
        <v>22.8</v>
      </c>
      <c r="K4304" t="n">
        <v>-42.1</v>
      </c>
      <c r="L4304" s="2" t="n">
        <v>1012734</v>
      </c>
      <c r="M4304" t="n">
        <v>73.09999999999999</v>
      </c>
      <c r="N4304" t="inlineStr">
        <is>
          <t>20241028800364</t>
        </is>
      </c>
      <c r="O4304">
        <f>HYPERLINK("https://dart.fss.or.kr/dsaf001/main.do?rcpNo=20241028800364", "공시열람")</f>
        <v/>
      </c>
    </row>
    <row r="4305">
      <c r="A4305" t="inlineStr">
        <is>
          <t>2024-10-28</t>
        </is>
      </c>
      <c r="B4305" t="inlineStr">
        <is>
          <t>두산밥캣</t>
        </is>
      </c>
      <c r="C4305" t="inlineStr">
        <is>
          <t>241560</t>
        </is>
      </c>
      <c r="D4305" t="inlineStr">
        <is>
          <t>연결</t>
        </is>
      </c>
      <c r="E4305" t="inlineStr">
        <is>
          <t>2024Q3</t>
        </is>
      </c>
      <c r="F4305" s="2" t="n">
        <v>1777700</v>
      </c>
      <c r="G4305" t="n">
        <v>-20.5</v>
      </c>
      <c r="H4305" t="n">
        <v>-24.9</v>
      </c>
      <c r="I4305" s="2" t="n">
        <v>125700</v>
      </c>
      <c r="J4305" t="n">
        <v>-47.5</v>
      </c>
      <c r="K4305" t="n">
        <v>-57.8</v>
      </c>
      <c r="L4305" s="2" t="n">
        <v>64300</v>
      </c>
      <c r="M4305" t="n">
        <v>-66</v>
      </c>
      <c r="N4305" t="inlineStr">
        <is>
          <t>20241028800349</t>
        </is>
      </c>
      <c r="O4305">
        <f>HYPERLINK("https://dart.fss.or.kr/dsaf001/main.do?rcpNo=20241028800349", "공시열람")</f>
        <v/>
      </c>
    </row>
    <row r="4306">
      <c r="A4306" t="inlineStr">
        <is>
          <t>2024-10-28</t>
        </is>
      </c>
      <c r="B4306" t="inlineStr">
        <is>
          <t>KG모빌리티</t>
        </is>
      </c>
      <c r="C4306" t="inlineStr">
        <is>
          <t>003620</t>
        </is>
      </c>
      <c r="D4306" t="inlineStr">
        <is>
          <t>연결</t>
        </is>
      </c>
      <c r="E4306" t="inlineStr">
        <is>
          <t>2024Q3</t>
        </is>
      </c>
      <c r="F4306" s="2" t="n">
        <v>899152</v>
      </c>
      <c r="G4306" t="n">
        <v>-8.699999999999999</v>
      </c>
      <c r="H4306" t="n">
        <v>-0.62</v>
      </c>
      <c r="I4306" s="2" t="n">
        <v>-40025</v>
      </c>
      <c r="J4306" t="inlineStr"/>
      <c r="K4306" t="inlineStr"/>
      <c r="L4306" s="2" t="n">
        <v>-52008</v>
      </c>
      <c r="M4306" t="inlineStr"/>
      <c r="N4306" t="inlineStr">
        <is>
          <t>20241028800342</t>
        </is>
      </c>
      <c r="O4306">
        <f>HYPERLINK("https://dart.fss.or.kr/dsaf001/main.do?rcpNo=20241028800342", "공시열람")</f>
        <v/>
      </c>
    </row>
    <row r="4307">
      <c r="A4307" t="inlineStr">
        <is>
          <t>2024-10-28</t>
        </is>
      </c>
      <c r="B4307" t="inlineStr">
        <is>
          <t>iM금융지주</t>
        </is>
      </c>
      <c r="C4307" t="inlineStr">
        <is>
          <t>139130</t>
        </is>
      </c>
      <c r="D4307" t="inlineStr">
        <is>
          <t>연결</t>
        </is>
      </c>
      <c r="E4307" t="inlineStr">
        <is>
          <t>2024Q3</t>
        </is>
      </c>
      <c r="F4307" s="2" t="n">
        <v>1808805</v>
      </c>
      <c r="G4307" t="n">
        <v>-10.5</v>
      </c>
      <c r="H4307" t="n">
        <v>-2.2</v>
      </c>
      <c r="I4307" s="2" t="n">
        <v>113650</v>
      </c>
      <c r="J4307" t="n">
        <v>239.6</v>
      </c>
      <c r="K4307" t="n">
        <v>-28.2</v>
      </c>
      <c r="L4307" s="2" t="n">
        <v>100365</v>
      </c>
      <c r="M4307" t="n">
        <v>-16.6</v>
      </c>
      <c r="N4307" t="inlineStr">
        <is>
          <t>20241028800329</t>
        </is>
      </c>
      <c r="O4307">
        <f>HYPERLINK("https://dart.fss.or.kr/dsaf001/main.do?rcpNo=20241028800329", "공시열람")</f>
        <v/>
      </c>
    </row>
    <row r="4308">
      <c r="A4308" t="inlineStr">
        <is>
          <t>2024-10-28</t>
        </is>
      </c>
      <c r="B4308" t="inlineStr">
        <is>
          <t>iM금융지주</t>
        </is>
      </c>
      <c r="C4308" t="inlineStr">
        <is>
          <t>139130</t>
        </is>
      </c>
      <c r="D4308" t="inlineStr">
        <is>
          <t>연결</t>
        </is>
      </c>
      <c r="E4308" t="inlineStr">
        <is>
          <t>2024Q3</t>
        </is>
      </c>
      <c r="F4308" s="2" t="n">
        <v>498920</v>
      </c>
      <c r="G4308" t="n">
        <v>-10</v>
      </c>
      <c r="H4308" t="n">
        <v>-0.4</v>
      </c>
      <c r="I4308" s="2" t="n">
        <v>-51234</v>
      </c>
      <c r="J4308" t="n">
        <v>48.9</v>
      </c>
      <c r="K4308" t="inlineStr"/>
      <c r="L4308" s="2" t="n">
        <v>-34585</v>
      </c>
      <c r="M4308" t="inlineStr"/>
      <c r="N4308" t="inlineStr">
        <is>
          <t>20241028800332</t>
        </is>
      </c>
      <c r="O4308">
        <f>HYPERLINK("https://dart.fss.or.kr/dsaf001/main.do?rcpNo=20241028800332", "공시열람")</f>
        <v/>
      </c>
    </row>
    <row r="4309">
      <c r="A4309" t="inlineStr">
        <is>
          <t>2024-10-28</t>
        </is>
      </c>
      <c r="B4309" t="inlineStr">
        <is>
          <t>iM금융지주</t>
        </is>
      </c>
      <c r="C4309" t="inlineStr">
        <is>
          <t>139130</t>
        </is>
      </c>
      <c r="D4309" t="inlineStr">
        <is>
          <t>연결</t>
        </is>
      </c>
      <c r="E4309" t="inlineStr">
        <is>
          <t>2024Q3</t>
        </is>
      </c>
      <c r="F4309" s="2" t="n">
        <v>1070266</v>
      </c>
      <c r="G4309" t="n">
        <v>-6.8</v>
      </c>
      <c r="H4309" t="n">
        <v>-6</v>
      </c>
      <c r="I4309" s="2" t="n">
        <v>157131</v>
      </c>
      <c r="J4309" t="n">
        <v>44.2</v>
      </c>
      <c r="K4309" t="n">
        <v>26.6</v>
      </c>
      <c r="L4309" s="2" t="n">
        <v>132399</v>
      </c>
      <c r="M4309" t="n">
        <v>35.7</v>
      </c>
      <c r="N4309" t="inlineStr">
        <is>
          <t>20241028800330</t>
        </is>
      </c>
      <c r="O4309">
        <f>HYPERLINK("https://dart.fss.or.kr/dsaf001/main.do?rcpNo=20241028800330", "공시열람")</f>
        <v/>
      </c>
    </row>
    <row r="4310">
      <c r="A4310" t="inlineStr">
        <is>
          <t>2024-10-28</t>
        </is>
      </c>
      <c r="B4310" t="inlineStr">
        <is>
          <t>강원랜드</t>
        </is>
      </c>
      <c r="C4310" t="inlineStr">
        <is>
          <t>035250</t>
        </is>
      </c>
      <c r="D4310" t="inlineStr">
        <is>
          <t>별도</t>
        </is>
      </c>
      <c r="E4310" t="inlineStr">
        <is>
          <t>2024Q3</t>
        </is>
      </c>
      <c r="F4310" s="2" t="n">
        <v>375541</v>
      </c>
      <c r="G4310" t="n">
        <v>11.2</v>
      </c>
      <c r="H4310" t="n">
        <v>0.6</v>
      </c>
      <c r="I4310" s="2" t="n">
        <v>93039</v>
      </c>
      <c r="J4310" t="n">
        <v>26.7</v>
      </c>
      <c r="K4310" t="n">
        <v>1.3</v>
      </c>
      <c r="L4310" s="2" t="n">
        <v>91982</v>
      </c>
      <c r="M4310" t="n">
        <v>24.3</v>
      </c>
      <c r="N4310" t="inlineStr">
        <is>
          <t>20241028800283</t>
        </is>
      </c>
      <c r="O4310">
        <f>HYPERLINK("https://dart.fss.or.kr/dsaf001/main.do?rcpNo=20241028800283", "공시열람")</f>
        <v/>
      </c>
    </row>
    <row r="4311">
      <c r="A4311" t="inlineStr">
        <is>
          <t>2024-10-28</t>
        </is>
      </c>
      <c r="B4311" t="inlineStr">
        <is>
          <t>유한양행</t>
        </is>
      </c>
      <c r="C4311" t="inlineStr">
        <is>
          <t>000100</t>
        </is>
      </c>
      <c r="D4311" t="inlineStr">
        <is>
          <t>별도</t>
        </is>
      </c>
      <c r="E4311" t="inlineStr">
        <is>
          <t>2024Q3</t>
        </is>
      </c>
      <c r="F4311" s="2" t="n">
        <v>585167</v>
      </c>
      <c r="G4311" t="n">
        <v>13.7</v>
      </c>
      <c r="H4311" t="n">
        <v>24.8</v>
      </c>
      <c r="I4311" s="2" t="n">
        <v>54466</v>
      </c>
      <c r="J4311" t="n">
        <v>246.2</v>
      </c>
      <c r="K4311" t="n">
        <v>690.6</v>
      </c>
      <c r="L4311" s="2" t="n">
        <v>23729</v>
      </c>
      <c r="M4311" t="n">
        <v>85.09999999999999</v>
      </c>
      <c r="N4311" t="inlineStr">
        <is>
          <t>20241028800240</t>
        </is>
      </c>
      <c r="O4311">
        <f>HYPERLINK("https://dart.fss.or.kr/dsaf001/main.do?rcpNo=20241028800240", "공시열람")</f>
        <v/>
      </c>
    </row>
    <row r="4312">
      <c r="A4312" t="inlineStr">
        <is>
          <t>2024-10-28</t>
        </is>
      </c>
      <c r="B4312" t="inlineStr">
        <is>
          <t>유니드</t>
        </is>
      </c>
      <c r="C4312" t="inlineStr">
        <is>
          <t>014830</t>
        </is>
      </c>
      <c r="D4312" t="inlineStr">
        <is>
          <t>연결</t>
        </is>
      </c>
      <c r="E4312" t="inlineStr">
        <is>
          <t>2024Q3</t>
        </is>
      </c>
      <c r="F4312" s="2" t="n">
        <v>289783</v>
      </c>
      <c r="G4312" t="inlineStr"/>
      <c r="H4312" t="inlineStr"/>
      <c r="I4312" s="2" t="n">
        <v>20461</v>
      </c>
      <c r="J4312" t="inlineStr"/>
      <c r="K4312" t="inlineStr"/>
      <c r="L4312" s="2" t="n">
        <v>19836</v>
      </c>
      <c r="M4312" t="inlineStr"/>
      <c r="N4312" t="inlineStr">
        <is>
          <t>20241028800213</t>
        </is>
      </c>
      <c r="O4312">
        <f>HYPERLINK("https://dart.fss.or.kr/dsaf001/main.do?rcpNo=20241028800213", "공시열람")</f>
        <v/>
      </c>
    </row>
    <row r="4313">
      <c r="A4313" t="inlineStr">
        <is>
          <t>2024-10-25</t>
        </is>
      </c>
      <c r="B4313" t="inlineStr">
        <is>
          <t>현대제철</t>
        </is>
      </c>
      <c r="C4313" t="inlineStr">
        <is>
          <t>004020</t>
        </is>
      </c>
      <c r="D4313" t="inlineStr">
        <is>
          <t>연결</t>
        </is>
      </c>
      <c r="E4313" t="inlineStr">
        <is>
          <t>2024Q3</t>
        </is>
      </c>
      <c r="F4313" s="2" t="n">
        <v>5624300</v>
      </c>
      <c r="G4313" t="n">
        <v>-6.9</v>
      </c>
      <c r="H4313" t="n">
        <v>-10.5</v>
      </c>
      <c r="I4313" s="2" t="n">
        <v>51500</v>
      </c>
      <c r="J4313" t="n">
        <v>-47.4</v>
      </c>
      <c r="K4313" t="n">
        <v>-77.40000000000001</v>
      </c>
      <c r="L4313" s="2" t="n">
        <v>-16200</v>
      </c>
      <c r="M4313" t="inlineStr"/>
      <c r="N4313" t="inlineStr">
        <is>
          <t>20241025800168</t>
        </is>
      </c>
      <c r="O4313">
        <f>HYPERLINK("https://dart.fss.or.kr/dsaf001/main.do?rcpNo=20241025800168", "공시열람")</f>
        <v/>
      </c>
    </row>
    <row r="4314">
      <c r="A4314" t="inlineStr">
        <is>
          <t>2024-10-25</t>
        </is>
      </c>
      <c r="B4314" t="inlineStr">
        <is>
          <t>현대위아</t>
        </is>
      </c>
      <c r="C4314" t="inlineStr">
        <is>
          <t>011210</t>
        </is>
      </c>
      <c r="D4314" t="inlineStr">
        <is>
          <t>연결</t>
        </is>
      </c>
      <c r="E4314" t="inlineStr">
        <is>
          <t>2024Q3</t>
        </is>
      </c>
      <c r="F4314" s="2" t="n">
        <v>2101160</v>
      </c>
      <c r="G4314" t="n">
        <v>-5.9</v>
      </c>
      <c r="H4314" t="n">
        <v>0.1</v>
      </c>
      <c r="I4314" s="2" t="n">
        <v>52915</v>
      </c>
      <c r="J4314" t="n">
        <v>-23.6</v>
      </c>
      <c r="K4314" t="n">
        <v>-22.5</v>
      </c>
      <c r="L4314" s="2" t="n">
        <v>-11262</v>
      </c>
      <c r="M4314" t="inlineStr"/>
      <c r="N4314" t="inlineStr">
        <is>
          <t>20241025800275</t>
        </is>
      </c>
      <c r="O4314">
        <f>HYPERLINK("https://dart.fss.or.kr/dsaf001/main.do?rcpNo=20241025800275", "공시열람")</f>
        <v/>
      </c>
    </row>
    <row r="4315">
      <c r="A4315" t="inlineStr">
        <is>
          <t>2024-10-25</t>
        </is>
      </c>
      <c r="B4315" t="inlineStr">
        <is>
          <t>기아</t>
        </is>
      </c>
      <c r="C4315" t="inlineStr">
        <is>
          <t>000270</t>
        </is>
      </c>
      <c r="D4315" t="inlineStr">
        <is>
          <t>연결</t>
        </is>
      </c>
      <c r="E4315" t="inlineStr">
        <is>
          <t>2024Q3</t>
        </is>
      </c>
      <c r="F4315" s="2" t="n">
        <v>26519877</v>
      </c>
      <c r="G4315" t="n">
        <v>-3.8</v>
      </c>
      <c r="H4315" t="n">
        <v>3.8</v>
      </c>
      <c r="I4315" s="2" t="n">
        <v>2881280</v>
      </c>
      <c r="J4315" t="n">
        <v>-20.9</v>
      </c>
      <c r="K4315" t="n">
        <v>0.6</v>
      </c>
      <c r="L4315" s="2" t="n">
        <v>2267912</v>
      </c>
      <c r="M4315" t="n">
        <v>2.1</v>
      </c>
      <c r="N4315" t="inlineStr">
        <is>
          <t>20241025800215</t>
        </is>
      </c>
      <c r="O4315">
        <f>HYPERLINK("https://dart.fss.or.kr/dsaf001/main.do?rcpNo=20241025800215", "공시열람")</f>
        <v/>
      </c>
    </row>
    <row r="4316">
      <c r="A4316" t="inlineStr">
        <is>
          <t>2024-10-25</t>
        </is>
      </c>
      <c r="B4316" t="inlineStr">
        <is>
          <t>해성디에스</t>
        </is>
      </c>
      <c r="C4316" t="inlineStr">
        <is>
          <t>195870</t>
        </is>
      </c>
      <c r="D4316" t="inlineStr">
        <is>
          <t>연결</t>
        </is>
      </c>
      <c r="E4316" t="inlineStr">
        <is>
          <t>2024Q3</t>
        </is>
      </c>
      <c r="F4316" s="2" t="n">
        <v>149400</v>
      </c>
      <c r="G4316" t="n">
        <v>-2.6</v>
      </c>
      <c r="H4316" t="n">
        <v>-3.9</v>
      </c>
      <c r="I4316" s="2" t="n">
        <v>11700</v>
      </c>
      <c r="J4316" t="n">
        <v>-35</v>
      </c>
      <c r="K4316" t="n">
        <v>-39.5</v>
      </c>
      <c r="L4316" s="2" t="n">
        <v>6000</v>
      </c>
      <c r="M4316" t="n">
        <v>-65.3</v>
      </c>
      <c r="N4316" t="inlineStr">
        <is>
          <t>20241025800414</t>
        </is>
      </c>
      <c r="O4316">
        <f>HYPERLINK("https://dart.fss.or.kr/dsaf001/main.do?rcpNo=20241025800414", "공시열람")</f>
        <v/>
      </c>
    </row>
    <row r="4317">
      <c r="A4317" t="inlineStr">
        <is>
          <t>2024-10-25</t>
        </is>
      </c>
      <c r="B4317" t="inlineStr">
        <is>
          <t>현대제철</t>
        </is>
      </c>
      <c r="C4317" t="inlineStr">
        <is>
          <t>004020</t>
        </is>
      </c>
      <c r="D4317" t="inlineStr">
        <is>
          <t>별도</t>
        </is>
      </c>
      <c r="E4317" t="inlineStr">
        <is>
          <t>2024Q3</t>
        </is>
      </c>
      <c r="F4317" s="2" t="n">
        <v>4463000</v>
      </c>
      <c r="G4317" t="n">
        <v>-8</v>
      </c>
      <c r="H4317" t="n">
        <v>-14.9</v>
      </c>
      <c r="I4317" s="2" t="n">
        <v>32100</v>
      </c>
      <c r="J4317" t="n">
        <v>-29.9</v>
      </c>
      <c r="K4317" t="n">
        <v>-83.09999999999999</v>
      </c>
      <c r="L4317" s="2" t="n">
        <v>-61900</v>
      </c>
      <c r="M4317" t="inlineStr"/>
      <c r="N4317" t="inlineStr">
        <is>
          <t>20241025800167</t>
        </is>
      </c>
      <c r="O4317">
        <f>HYPERLINK("https://dart.fss.or.kr/dsaf001/main.do?rcpNo=20241025800167", "공시열람")</f>
        <v/>
      </c>
    </row>
    <row r="4318">
      <c r="A4318" t="inlineStr">
        <is>
          <t>2024-10-25</t>
        </is>
      </c>
      <c r="B4318" t="inlineStr">
        <is>
          <t>송원산업</t>
        </is>
      </c>
      <c r="C4318" t="inlineStr">
        <is>
          <t>004430</t>
        </is>
      </c>
      <c r="D4318" t="inlineStr">
        <is>
          <t>연결</t>
        </is>
      </c>
      <c r="E4318" t="inlineStr">
        <is>
          <t>2024Q3</t>
        </is>
      </c>
      <c r="F4318" s="2" t="n">
        <v>285779</v>
      </c>
      <c r="G4318" t="inlineStr"/>
      <c r="H4318" t="inlineStr"/>
      <c r="I4318" s="2" t="n">
        <v>22163</v>
      </c>
      <c r="J4318" t="inlineStr"/>
      <c r="K4318" t="inlineStr"/>
      <c r="L4318" s="2" t="n">
        <v>11492</v>
      </c>
      <c r="M4318" t="inlineStr"/>
      <c r="N4318" t="inlineStr">
        <is>
          <t>20241025800121</t>
        </is>
      </c>
      <c r="O4318">
        <f>HYPERLINK("https://dart.fss.or.kr/dsaf001/main.do?rcpNo=20241025800121", "공시열람")</f>
        <v/>
      </c>
    </row>
    <row r="4319">
      <c r="A4319" t="inlineStr">
        <is>
          <t>2024-10-25</t>
        </is>
      </c>
      <c r="B4319" t="inlineStr">
        <is>
          <t>동국제강</t>
        </is>
      </c>
      <c r="C4319" t="inlineStr">
        <is>
          <t>460860</t>
        </is>
      </c>
      <c r="D4319" t="inlineStr">
        <is>
          <t>별도</t>
        </is>
      </c>
      <c r="E4319" t="inlineStr">
        <is>
          <t>2024Q3</t>
        </is>
      </c>
      <c r="F4319" s="2" t="n">
        <v>838556</v>
      </c>
      <c r="G4319" t="n">
        <v>-10.81</v>
      </c>
      <c r="H4319" t="n">
        <v>-22.28</v>
      </c>
      <c r="I4319" s="2" t="n">
        <v>21491</v>
      </c>
      <c r="J4319" t="n">
        <v>-46.9</v>
      </c>
      <c r="K4319" t="n">
        <v>-79.62</v>
      </c>
      <c r="L4319" s="2" t="n">
        <v>9508</v>
      </c>
      <c r="M4319" t="n">
        <v>-83.95999999999999</v>
      </c>
      <c r="N4319" t="inlineStr">
        <is>
          <t>20241025800165</t>
        </is>
      </c>
      <c r="O4319">
        <f>HYPERLINK("https://dart.fss.or.kr/dsaf001/main.do?rcpNo=20241025800165", "공시열람")</f>
        <v/>
      </c>
    </row>
    <row r="4320">
      <c r="A4320" t="inlineStr">
        <is>
          <t>2024-10-25</t>
        </is>
      </c>
      <c r="B4320" t="inlineStr">
        <is>
          <t>아가방컴퍼니</t>
        </is>
      </c>
      <c r="C4320" t="inlineStr">
        <is>
          <t>013990</t>
        </is>
      </c>
      <c r="D4320" t="inlineStr">
        <is>
          <t>연결</t>
        </is>
      </c>
      <c r="E4320" t="inlineStr">
        <is>
          <t>2024Q3</t>
        </is>
      </c>
      <c r="F4320" s="2" t="n">
        <v>40871</v>
      </c>
      <c r="G4320" t="inlineStr"/>
      <c r="H4320" t="inlineStr"/>
      <c r="I4320" s="2" t="n">
        <v>3114</v>
      </c>
      <c r="J4320" t="inlineStr"/>
      <c r="K4320" t="inlineStr"/>
      <c r="L4320" s="2" t="n">
        <v>1553</v>
      </c>
      <c r="M4320" t="inlineStr"/>
      <c r="N4320" t="inlineStr">
        <is>
          <t>20241025900079</t>
        </is>
      </c>
      <c r="O4320">
        <f>HYPERLINK("https://dart.fss.or.kr/dsaf001/main.do?rcpNo=20241025900079", "공시열람")</f>
        <v/>
      </c>
    </row>
    <row r="4321">
      <c r="A4321" t="inlineStr">
        <is>
          <t>2024-10-25</t>
        </is>
      </c>
      <c r="B4321" t="inlineStr">
        <is>
          <t>신한지주</t>
        </is>
      </c>
      <c r="C4321" t="inlineStr">
        <is>
          <t>055550</t>
        </is>
      </c>
      <c r="D4321" t="inlineStr">
        <is>
          <t>연결</t>
        </is>
      </c>
      <c r="E4321" t="inlineStr">
        <is>
          <t>2024Q3</t>
        </is>
      </c>
      <c r="F4321" s="2" t="n">
        <v>1420921</v>
      </c>
      <c r="G4321" t="n">
        <v>-16.77</v>
      </c>
      <c r="H4321" t="n">
        <v>-3.96</v>
      </c>
      <c r="I4321" s="2" t="n">
        <v>208862</v>
      </c>
      <c r="J4321" t="n">
        <v>-4.24</v>
      </c>
      <c r="K4321" t="n">
        <v>24.7</v>
      </c>
      <c r="L4321" s="2" t="n">
        <v>154200</v>
      </c>
      <c r="M4321" t="n">
        <v>33</v>
      </c>
      <c r="N4321" t="inlineStr">
        <is>
          <t>20241025800153</t>
        </is>
      </c>
      <c r="O4321">
        <f>HYPERLINK("https://dart.fss.or.kr/dsaf001/main.do?rcpNo=20241025800153", "공시열람")</f>
        <v/>
      </c>
    </row>
    <row r="4322">
      <c r="A4322" t="inlineStr">
        <is>
          <t>2024-10-25</t>
        </is>
      </c>
      <c r="B4322" t="inlineStr">
        <is>
          <t>신한지주</t>
        </is>
      </c>
      <c r="C4322" t="inlineStr">
        <is>
          <t>055550</t>
        </is>
      </c>
      <c r="D4322" t="inlineStr">
        <is>
          <t>연결</t>
        </is>
      </c>
      <c r="E4322" t="inlineStr">
        <is>
          <t>2024Q3</t>
        </is>
      </c>
      <c r="F4322" s="2" t="n">
        <v>1253537</v>
      </c>
      <c r="G4322" t="n">
        <v>-18.98</v>
      </c>
      <c r="H4322" t="n">
        <v>-13.1</v>
      </c>
      <c r="I4322" s="2" t="n">
        <v>226881</v>
      </c>
      <c r="J4322" t="n">
        <v>-8.31</v>
      </c>
      <c r="K4322" t="n">
        <v>15</v>
      </c>
      <c r="L4322" s="2" t="n">
        <v>174289</v>
      </c>
      <c r="M4322" t="n">
        <v>14.29</v>
      </c>
      <c r="N4322" t="inlineStr">
        <is>
          <t>20241025800151</t>
        </is>
      </c>
      <c r="O4322">
        <f>HYPERLINK("https://dart.fss.or.kr/dsaf001/main.do?rcpNo=20241025800151", "공시열람")</f>
        <v/>
      </c>
    </row>
    <row r="4323">
      <c r="A4323" t="inlineStr">
        <is>
          <t>2024-10-25</t>
        </is>
      </c>
      <c r="B4323" t="inlineStr">
        <is>
          <t>신한지주</t>
        </is>
      </c>
      <c r="C4323" t="inlineStr">
        <is>
          <t>055550</t>
        </is>
      </c>
      <c r="D4323" t="inlineStr">
        <is>
          <t>연결</t>
        </is>
      </c>
      <c r="E4323" t="inlineStr">
        <is>
          <t>2024Q3</t>
        </is>
      </c>
      <c r="F4323" s="2" t="n">
        <v>5943090</v>
      </c>
      <c r="G4323" t="n">
        <v>-46.89</v>
      </c>
      <c r="H4323" t="n">
        <v>-45.21</v>
      </c>
      <c r="I4323" s="2" t="n">
        <v>1400564</v>
      </c>
      <c r="J4323" t="n">
        <v>3.61</v>
      </c>
      <c r="K4323" t="n">
        <v>20.21</v>
      </c>
      <c r="L4323" s="2" t="n">
        <v>1049442</v>
      </c>
      <c r="M4323" t="n">
        <v>14.25</v>
      </c>
      <c r="N4323" t="inlineStr">
        <is>
          <t>20241025800149</t>
        </is>
      </c>
      <c r="O4323">
        <f>HYPERLINK("https://dart.fss.or.kr/dsaf001/main.do?rcpNo=20241025800149", "공시열람")</f>
        <v/>
      </c>
    </row>
    <row r="4324">
      <c r="A4324" t="inlineStr">
        <is>
          <t>2024-10-25</t>
        </is>
      </c>
      <c r="B4324" t="inlineStr">
        <is>
          <t>종근당</t>
        </is>
      </c>
      <c r="C4324" t="inlineStr">
        <is>
          <t>185750</t>
        </is>
      </c>
      <c r="D4324" t="inlineStr">
        <is>
          <t>별도</t>
        </is>
      </c>
      <c r="E4324" t="inlineStr">
        <is>
          <t>2024Q3</t>
        </is>
      </c>
      <c r="F4324" s="2" t="n">
        <v>408477</v>
      </c>
      <c r="G4324" t="n">
        <v>6.1</v>
      </c>
      <c r="H4324" t="n">
        <v>3.1</v>
      </c>
      <c r="I4324" s="2" t="n">
        <v>25232</v>
      </c>
      <c r="J4324" t="n">
        <v>-11.1</v>
      </c>
      <c r="K4324" t="n">
        <v>-52.5</v>
      </c>
      <c r="L4324" s="2" t="n">
        <v>21495</v>
      </c>
      <c r="M4324" t="n">
        <v>-50.6</v>
      </c>
      <c r="N4324" t="inlineStr">
        <is>
          <t>20241025800339</t>
        </is>
      </c>
      <c r="O4324">
        <f>HYPERLINK("https://dart.fss.or.kr/dsaf001/main.do?rcpNo=20241025800339", "공시열람")</f>
        <v/>
      </c>
    </row>
    <row r="4325">
      <c r="A4325" t="inlineStr">
        <is>
          <t>2024-10-25</t>
        </is>
      </c>
      <c r="B4325" t="inlineStr">
        <is>
          <t>신한지주</t>
        </is>
      </c>
      <c r="C4325" t="inlineStr">
        <is>
          <t>055550</t>
        </is>
      </c>
      <c r="D4325" t="inlineStr">
        <is>
          <t>연결</t>
        </is>
      </c>
      <c r="E4325" t="inlineStr">
        <is>
          <t>2024Q3</t>
        </is>
      </c>
      <c r="F4325" s="2" t="n">
        <v>11622046</v>
      </c>
      <c r="G4325" t="n">
        <v>-35.33</v>
      </c>
      <c r="H4325" t="n">
        <v>-30.17</v>
      </c>
      <c r="I4325" s="2" t="n">
        <v>1790458</v>
      </c>
      <c r="J4325" t="n">
        <v>-3.35</v>
      </c>
      <c r="K4325" t="n">
        <v>5.07</v>
      </c>
      <c r="L4325" s="2" t="n">
        <v>1266981</v>
      </c>
      <c r="M4325" t="n">
        <v>3.95</v>
      </c>
      <c r="N4325" t="inlineStr">
        <is>
          <t>20241025800148</t>
        </is>
      </c>
      <c r="O4325">
        <f>HYPERLINK("https://dart.fss.or.kr/dsaf001/main.do?rcpNo=20241025800148", "공시열람")</f>
        <v/>
      </c>
    </row>
    <row r="4326">
      <c r="A4326" t="inlineStr">
        <is>
          <t>2024-10-25</t>
        </is>
      </c>
      <c r="B4326" t="inlineStr">
        <is>
          <t>우리금융지주</t>
        </is>
      </c>
      <c r="C4326" t="inlineStr">
        <is>
          <t>316140</t>
        </is>
      </c>
      <c r="D4326" t="inlineStr">
        <is>
          <t>연결</t>
        </is>
      </c>
      <c r="E4326" t="inlineStr">
        <is>
          <t>2024Q3</t>
        </is>
      </c>
      <c r="F4326" s="2" t="n">
        <v>6308353</v>
      </c>
      <c r="G4326" t="n">
        <v>-34.61</v>
      </c>
      <c r="H4326" t="n">
        <v>-28.44</v>
      </c>
      <c r="I4326" s="2" t="n">
        <v>1091364</v>
      </c>
      <c r="J4326" t="n">
        <v>-5.73</v>
      </c>
      <c r="K4326" t="n">
        <v>0.43</v>
      </c>
      <c r="L4326" s="2" t="n">
        <v>851826</v>
      </c>
      <c r="M4326" t="n">
        <v>3.87</v>
      </c>
      <c r="N4326" t="inlineStr">
        <is>
          <t>20241025800344</t>
        </is>
      </c>
      <c r="O4326">
        <f>HYPERLINK("https://dart.fss.or.kr/dsaf001/main.do?rcpNo=20241025800344", "공시열람")</f>
        <v/>
      </c>
    </row>
    <row r="4327">
      <c r="A4327" t="inlineStr">
        <is>
          <t>2024-10-25</t>
        </is>
      </c>
      <c r="B4327" t="inlineStr">
        <is>
          <t>종근당바이오</t>
        </is>
      </c>
      <c r="C4327" t="inlineStr">
        <is>
          <t>063160</t>
        </is>
      </c>
      <c r="D4327" t="inlineStr">
        <is>
          <t>별도</t>
        </is>
      </c>
      <c r="E4327" t="inlineStr">
        <is>
          <t>2024Q3</t>
        </is>
      </c>
      <c r="F4327" s="2" t="n">
        <v>43885</v>
      </c>
      <c r="G4327" t="inlineStr"/>
      <c r="H4327" t="inlineStr"/>
      <c r="I4327" s="2" t="n">
        <v>2577</v>
      </c>
      <c r="J4327" t="inlineStr"/>
      <c r="K4327" t="inlineStr"/>
      <c r="L4327" s="2" t="n">
        <v>285</v>
      </c>
      <c r="M4327" t="inlineStr"/>
      <c r="N4327" t="inlineStr">
        <is>
          <t>20241025800397</t>
        </is>
      </c>
      <c r="O4327">
        <f>HYPERLINK("https://dart.fss.or.kr/dsaf001/main.do?rcpNo=20241025800397", "공시열람")</f>
        <v/>
      </c>
    </row>
    <row r="4328">
      <c r="A4328" t="inlineStr">
        <is>
          <t>2024-10-25</t>
        </is>
      </c>
      <c r="B4328" t="inlineStr">
        <is>
          <t>삼성카드</t>
        </is>
      </c>
      <c r="C4328" t="inlineStr">
        <is>
          <t>029780</t>
        </is>
      </c>
      <c r="D4328" t="inlineStr">
        <is>
          <t>연결</t>
        </is>
      </c>
      <c r="E4328" t="inlineStr">
        <is>
          <t>2024Q3</t>
        </is>
      </c>
      <c r="F4328" s="2" t="n">
        <v>883300</v>
      </c>
      <c r="G4328" t="n">
        <v>-18.9</v>
      </c>
      <c r="H4328" t="n">
        <v>-13.6</v>
      </c>
      <c r="I4328" s="2" t="n">
        <v>223800</v>
      </c>
      <c r="J4328" t="n">
        <v>-10</v>
      </c>
      <c r="K4328" t="n">
        <v>19.8</v>
      </c>
      <c r="L4328" s="2" t="n">
        <v>168700</v>
      </c>
      <c r="M4328" t="n">
        <v>21</v>
      </c>
      <c r="N4328" t="inlineStr">
        <is>
          <t>20241025800038</t>
        </is>
      </c>
      <c r="O4328">
        <f>HYPERLINK("https://dart.fss.or.kr/dsaf001/main.do?rcpNo=20241025800038", "공시열람")</f>
        <v/>
      </c>
    </row>
    <row r="4329">
      <c r="A4329" t="inlineStr">
        <is>
          <t>2024-10-25</t>
        </is>
      </c>
      <c r="B4329" t="inlineStr">
        <is>
          <t>HD현대일렉트릭</t>
        </is>
      </c>
      <c r="C4329" t="inlineStr">
        <is>
          <t>267260</t>
        </is>
      </c>
      <c r="D4329" t="inlineStr">
        <is>
          <t>연결</t>
        </is>
      </c>
      <c r="E4329" t="inlineStr">
        <is>
          <t>2024Q3</t>
        </is>
      </c>
      <c r="F4329" s="2" t="n">
        <v>788700</v>
      </c>
      <c r="G4329" t="n">
        <v>-14</v>
      </c>
      <c r="H4329" t="n">
        <v>13.6</v>
      </c>
      <c r="I4329" s="2" t="n">
        <v>163800</v>
      </c>
      <c r="J4329" t="n">
        <v>-22</v>
      </c>
      <c r="K4329" t="n">
        <v>91.8</v>
      </c>
      <c r="L4329" s="2" t="n">
        <v>116600</v>
      </c>
      <c r="M4329" t="n">
        <v>114.7</v>
      </c>
      <c r="N4329" t="inlineStr">
        <is>
          <t>20241025800068</t>
        </is>
      </c>
      <c r="O4329">
        <f>HYPERLINK("https://dart.fss.or.kr/dsaf001/main.do?rcpNo=20241025800068", "공시열람")</f>
        <v/>
      </c>
    </row>
    <row r="4330">
      <c r="A4330" t="inlineStr">
        <is>
          <t>2024-10-25</t>
        </is>
      </c>
      <c r="B4330" t="inlineStr">
        <is>
          <t>현대모비스</t>
        </is>
      </c>
      <c r="C4330" t="inlineStr">
        <is>
          <t>012330</t>
        </is>
      </c>
      <c r="D4330" t="inlineStr">
        <is>
          <t>연결</t>
        </is>
      </c>
      <c r="E4330" t="inlineStr">
        <is>
          <t>2024Q3</t>
        </is>
      </c>
      <c r="F4330" s="2" t="n">
        <v>14001808</v>
      </c>
      <c r="G4330" t="n">
        <v>-4.46</v>
      </c>
      <c r="H4330" t="n">
        <v>-1.61</v>
      </c>
      <c r="I4330" s="2" t="n">
        <v>908556</v>
      </c>
      <c r="J4330" t="n">
        <v>42.83</v>
      </c>
      <c r="K4330" t="n">
        <v>31.64</v>
      </c>
      <c r="L4330" s="2" t="n">
        <v>921233</v>
      </c>
      <c r="M4330" t="n">
        <v>-7.7</v>
      </c>
      <c r="N4330" t="inlineStr">
        <is>
          <t>20241025800074</t>
        </is>
      </c>
      <c r="O4330">
        <f>HYPERLINK("https://dart.fss.or.kr/dsaf001/main.do?rcpNo=20241025800074", "공시열람")</f>
        <v/>
      </c>
    </row>
    <row r="4331">
      <c r="A4331" t="inlineStr">
        <is>
          <t>2024-10-25</t>
        </is>
      </c>
      <c r="B4331" t="inlineStr">
        <is>
          <t>경보제약</t>
        </is>
      </c>
      <c r="C4331" t="inlineStr">
        <is>
          <t>214390</t>
        </is>
      </c>
      <c r="D4331" t="inlineStr">
        <is>
          <t>별도</t>
        </is>
      </c>
      <c r="E4331" t="inlineStr">
        <is>
          <t>2024Q3</t>
        </is>
      </c>
      <c r="F4331" s="2" t="n">
        <v>58230</v>
      </c>
      <c r="G4331" t="n">
        <v>-0.3</v>
      </c>
      <c r="H4331" t="n">
        <v>6.7</v>
      </c>
      <c r="I4331" s="2" t="n">
        <v>3158</v>
      </c>
      <c r="J4331" t="n">
        <v>149.3</v>
      </c>
      <c r="K4331" t="n">
        <v>81.59999999999999</v>
      </c>
      <c r="L4331" s="2" t="n">
        <v>1081</v>
      </c>
      <c r="M4331" t="n">
        <v>41.5</v>
      </c>
      <c r="N4331" t="inlineStr">
        <is>
          <t>20241025800508</t>
        </is>
      </c>
      <c r="O4331">
        <f>HYPERLINK("https://dart.fss.or.kr/dsaf001/main.do?rcpNo=20241025800508", "공시열람")</f>
        <v/>
      </c>
    </row>
    <row r="4332">
      <c r="A4332" t="inlineStr">
        <is>
          <t>2024-10-25</t>
        </is>
      </c>
      <c r="B4332" t="inlineStr">
        <is>
          <t>IPARK현대산업개발</t>
        </is>
      </c>
      <c r="C4332" t="inlineStr">
        <is>
          <t>294870</t>
        </is>
      </c>
      <c r="D4332" t="inlineStr">
        <is>
          <t>연결</t>
        </is>
      </c>
      <c r="E4332" t="inlineStr">
        <is>
          <t>2024Q3</t>
        </is>
      </c>
      <c r="F4332" s="2" t="n">
        <v>1088600</v>
      </c>
      <c r="G4332" t="n">
        <v>0.1</v>
      </c>
      <c r="H4332" t="n">
        <v>5.4</v>
      </c>
      <c r="I4332" s="2" t="n">
        <v>47453</v>
      </c>
      <c r="J4332" t="n">
        <v>-11.9</v>
      </c>
      <c r="K4332" t="n">
        <v>-23.5</v>
      </c>
      <c r="L4332" s="2" t="n">
        <v>32697</v>
      </c>
      <c r="M4332" t="n">
        <v>-47.3</v>
      </c>
      <c r="N4332" t="inlineStr">
        <is>
          <t>20241025800100</t>
        </is>
      </c>
      <c r="O4332">
        <f>HYPERLINK("https://dart.fss.or.kr/dsaf001/main.do?rcpNo=20241025800100", "공시열람")</f>
        <v/>
      </c>
    </row>
    <row r="4333">
      <c r="A4333" t="inlineStr">
        <is>
          <t>2024-10-25</t>
        </is>
      </c>
      <c r="B4333" t="inlineStr">
        <is>
          <t>한화엔진</t>
        </is>
      </c>
      <c r="C4333" t="inlineStr">
        <is>
          <t>082740</t>
        </is>
      </c>
      <c r="D4333" t="inlineStr">
        <is>
          <t>별도</t>
        </is>
      </c>
      <c r="E4333" t="inlineStr">
        <is>
          <t>2024Q3</t>
        </is>
      </c>
      <c r="F4333" s="2" t="n">
        <v>296086</v>
      </c>
      <c r="G4333" t="n">
        <v>3.4</v>
      </c>
      <c r="H4333" t="n">
        <v>57.8</v>
      </c>
      <c r="I4333" s="2" t="n">
        <v>15287</v>
      </c>
      <c r="J4333" t="n">
        <v>-17.9</v>
      </c>
      <c r="K4333" t="n">
        <v>1309.7</v>
      </c>
      <c r="L4333" s="2" t="n">
        <v>10586</v>
      </c>
      <c r="M4333" t="inlineStr"/>
      <c r="N4333" t="inlineStr">
        <is>
          <t>20241025800514</t>
        </is>
      </c>
      <c r="O4333">
        <f>HYPERLINK("https://dart.fss.or.kr/dsaf001/main.do?rcpNo=20241025800514", "공시열람")</f>
        <v/>
      </c>
    </row>
    <row r="4334">
      <c r="A4334" t="inlineStr">
        <is>
          <t>2024-10-25</t>
        </is>
      </c>
      <c r="B4334" t="inlineStr">
        <is>
          <t>HL만도</t>
        </is>
      </c>
      <c r="C4334" t="inlineStr">
        <is>
          <t>204320</t>
        </is>
      </c>
      <c r="D4334" t="inlineStr">
        <is>
          <t>연결</t>
        </is>
      </c>
      <c r="E4334" t="inlineStr">
        <is>
          <t>2024Q3</t>
        </is>
      </c>
      <c r="F4334" s="2" t="n">
        <v>2171724</v>
      </c>
      <c r="G4334" t="n">
        <v>1.1</v>
      </c>
      <c r="H4334" t="n">
        <v>2.5</v>
      </c>
      <c r="I4334" s="2" t="n">
        <v>82497</v>
      </c>
      <c r="J4334" t="n">
        <v>-8</v>
      </c>
      <c r="K4334" t="n">
        <v>1.2</v>
      </c>
      <c r="L4334" s="2" t="n">
        <v>-49155</v>
      </c>
      <c r="M4334" t="inlineStr"/>
      <c r="N4334" t="inlineStr">
        <is>
          <t>20241025800337</t>
        </is>
      </c>
      <c r="O4334">
        <f>HYPERLINK("https://dart.fss.or.kr/dsaf001/main.do?rcpNo=20241025800337", "공시열람")</f>
        <v/>
      </c>
    </row>
    <row r="4335">
      <c r="A4335" t="inlineStr">
        <is>
          <t>2024-10-25</t>
        </is>
      </c>
      <c r="B4335" t="inlineStr">
        <is>
          <t>우리금융지주</t>
        </is>
      </c>
      <c r="C4335" t="inlineStr">
        <is>
          <t>316140</t>
        </is>
      </c>
      <c r="D4335" t="inlineStr">
        <is>
          <t>연결</t>
        </is>
      </c>
      <c r="E4335" t="inlineStr">
        <is>
          <t>2024Q3</t>
        </is>
      </c>
      <c r="F4335" s="2" t="n">
        <v>7440508</v>
      </c>
      <c r="G4335" t="n">
        <v>-31.65</v>
      </c>
      <c r="H4335" t="n">
        <v>-24.75</v>
      </c>
      <c r="I4335" s="2" t="n">
        <v>1176014</v>
      </c>
      <c r="J4335" t="n">
        <v>-6.17</v>
      </c>
      <c r="K4335" t="n">
        <v>-3.47</v>
      </c>
      <c r="L4335" s="2" t="n">
        <v>916187</v>
      </c>
      <c r="M4335" t="n">
        <v>-0.21</v>
      </c>
      <c r="N4335" t="inlineStr">
        <is>
          <t>20241025800336</t>
        </is>
      </c>
      <c r="O4335">
        <f>HYPERLINK("https://dart.fss.or.kr/dsaf001/main.do?rcpNo=20241025800336", "공시열람")</f>
        <v/>
      </c>
    </row>
    <row r="4336">
      <c r="A4336" t="inlineStr">
        <is>
          <t>2024-10-25</t>
        </is>
      </c>
      <c r="B4336" t="inlineStr">
        <is>
          <t>한솔테크닉스</t>
        </is>
      </c>
      <c r="C4336" t="inlineStr">
        <is>
          <t>004710</t>
        </is>
      </c>
      <c r="D4336" t="inlineStr">
        <is>
          <t>연결</t>
        </is>
      </c>
      <c r="E4336" t="inlineStr">
        <is>
          <t>2024Q3</t>
        </is>
      </c>
      <c r="F4336" s="2" t="n">
        <v>324468</v>
      </c>
      <c r="G4336" t="n">
        <v>14.9</v>
      </c>
      <c r="H4336" t="n">
        <v>-3</v>
      </c>
      <c r="I4336" s="2" t="n">
        <v>9810</v>
      </c>
      <c r="J4336" t="n">
        <v>-1.7</v>
      </c>
      <c r="K4336" t="n">
        <v>-47.7</v>
      </c>
      <c r="L4336" s="2" t="n">
        <v>5892</v>
      </c>
      <c r="M4336" t="n">
        <v>-76.40000000000001</v>
      </c>
      <c r="N4336" t="inlineStr">
        <is>
          <t>20241025800524</t>
        </is>
      </c>
      <c r="O4336">
        <f>HYPERLINK("https://dart.fss.or.kr/dsaf001/main.do?rcpNo=20241025800524", "공시열람")</f>
        <v/>
      </c>
    </row>
    <row r="4337">
      <c r="A4337" t="inlineStr">
        <is>
          <t>2024-10-24</t>
        </is>
      </c>
      <c r="B4337" t="inlineStr">
        <is>
          <t>KB금융</t>
        </is>
      </c>
      <c r="C4337" t="inlineStr">
        <is>
          <t>105560</t>
        </is>
      </c>
      <c r="D4337" t="inlineStr">
        <is>
          <t>연결</t>
        </is>
      </c>
      <c r="E4337" t="inlineStr">
        <is>
          <t>2024Q3</t>
        </is>
      </c>
      <c r="F4337" s="2" t="n">
        <v>7871312</v>
      </c>
      <c r="G4337" t="inlineStr"/>
      <c r="H4337" t="inlineStr"/>
      <c r="I4337" s="2" t="n">
        <v>1590218</v>
      </c>
      <c r="J4337" t="inlineStr"/>
      <c r="K4337" t="inlineStr"/>
      <c r="L4337" s="2" t="n">
        <v>1072126</v>
      </c>
      <c r="M4337" t="inlineStr"/>
      <c r="N4337" t="inlineStr">
        <is>
          <t>20241024800267</t>
        </is>
      </c>
      <c r="O4337">
        <f>HYPERLINK("https://dart.fss.or.kr/dsaf001/main.do?rcpNo=20241024800267", "공시열람")</f>
        <v/>
      </c>
    </row>
    <row r="4338">
      <c r="A4338" t="inlineStr">
        <is>
          <t>2024-10-24</t>
        </is>
      </c>
      <c r="B4338" t="inlineStr">
        <is>
          <t>SK하이닉스</t>
        </is>
      </c>
      <c r="C4338" t="inlineStr">
        <is>
          <t>000660</t>
        </is>
      </c>
      <c r="D4338" t="inlineStr">
        <is>
          <t>연결</t>
        </is>
      </c>
      <c r="E4338" t="inlineStr">
        <is>
          <t>2024Q3</t>
        </is>
      </c>
      <c r="F4338" s="2" t="n">
        <v>17573069</v>
      </c>
      <c r="G4338" t="n">
        <v>7</v>
      </c>
      <c r="H4338" t="n">
        <v>93.8</v>
      </c>
      <c r="I4338" s="2" t="n">
        <v>7029958</v>
      </c>
      <c r="J4338" t="n">
        <v>28.6</v>
      </c>
      <c r="K4338" t="inlineStr"/>
      <c r="L4338" s="2" t="n">
        <v>5753373</v>
      </c>
      <c r="M4338" t="inlineStr"/>
      <c r="N4338" t="inlineStr">
        <is>
          <t>20241024800002</t>
        </is>
      </c>
      <c r="O4338">
        <f>HYPERLINK("https://dart.fss.or.kr/dsaf001/main.do?rcpNo=20241024800002", "공시열람")</f>
        <v/>
      </c>
    </row>
    <row r="4339">
      <c r="A4339" t="inlineStr">
        <is>
          <t>2024-10-24</t>
        </is>
      </c>
      <c r="B4339" t="inlineStr">
        <is>
          <t>SNT모티브</t>
        </is>
      </c>
      <c r="C4339" t="inlineStr">
        <is>
          <t>064960</t>
        </is>
      </c>
      <c r="D4339" t="inlineStr">
        <is>
          <t>연결</t>
        </is>
      </c>
      <c r="E4339" t="inlineStr">
        <is>
          <t>2024Q3</t>
        </is>
      </c>
      <c r="F4339" s="2" t="n">
        <v>220829</v>
      </c>
      <c r="G4339" t="n">
        <v>-8.1</v>
      </c>
      <c r="H4339" t="n">
        <v>-20.2</v>
      </c>
      <c r="I4339" s="2" t="n">
        <v>22022</v>
      </c>
      <c r="J4339" t="n">
        <v>-12.2</v>
      </c>
      <c r="K4339" t="n">
        <v>-23.7</v>
      </c>
      <c r="L4339" s="2" t="n">
        <v>16963</v>
      </c>
      <c r="M4339" t="n">
        <v>-42.4</v>
      </c>
      <c r="N4339" t="inlineStr">
        <is>
          <t>20241024800037</t>
        </is>
      </c>
      <c r="O4339">
        <f>HYPERLINK("https://dart.fss.or.kr/dsaf001/main.do?rcpNo=20241024800037", "공시열람")</f>
        <v/>
      </c>
    </row>
    <row r="4340">
      <c r="A4340" t="inlineStr">
        <is>
          <t>2024-10-24</t>
        </is>
      </c>
      <c r="B4340" t="inlineStr">
        <is>
          <t>SNT에너지</t>
        </is>
      </c>
      <c r="C4340" t="inlineStr">
        <is>
          <t>100840</t>
        </is>
      </c>
      <c r="D4340" t="inlineStr">
        <is>
          <t>연결</t>
        </is>
      </c>
      <c r="E4340" t="inlineStr">
        <is>
          <t>2024Q3</t>
        </is>
      </c>
      <c r="F4340" s="2" t="n">
        <v>69656</v>
      </c>
      <c r="G4340" t="n">
        <v>3.6</v>
      </c>
      <c r="H4340" t="n">
        <v>-19.3</v>
      </c>
      <c r="I4340" s="2" t="n">
        <v>5172</v>
      </c>
      <c r="J4340" t="n">
        <v>3</v>
      </c>
      <c r="K4340" t="n">
        <v>31.6</v>
      </c>
      <c r="L4340" s="2" t="n">
        <v>-2328</v>
      </c>
      <c r="M4340" t="inlineStr"/>
      <c r="N4340" t="inlineStr">
        <is>
          <t>20241024800040</t>
        </is>
      </c>
      <c r="O4340">
        <f>HYPERLINK("https://dart.fss.or.kr/dsaf001/main.do?rcpNo=20241024800040", "공시열람")</f>
        <v/>
      </c>
    </row>
    <row r="4341">
      <c r="A4341" t="inlineStr">
        <is>
          <t>2024-10-24</t>
        </is>
      </c>
      <c r="B4341" t="inlineStr">
        <is>
          <t>SNT홀딩스</t>
        </is>
      </c>
      <c r="C4341" t="inlineStr">
        <is>
          <t>036530</t>
        </is>
      </c>
      <c r="D4341" t="inlineStr">
        <is>
          <t>연결</t>
        </is>
      </c>
      <c r="E4341" t="inlineStr">
        <is>
          <t>2024Q3</t>
        </is>
      </c>
      <c r="F4341" s="2" t="n">
        <v>436377</v>
      </c>
      <c r="G4341" t="n">
        <v>-0.7</v>
      </c>
      <c r="H4341" t="n">
        <v>-10.2</v>
      </c>
      <c r="I4341" s="2" t="n">
        <v>44701</v>
      </c>
      <c r="J4341" t="n">
        <v>-48.9</v>
      </c>
      <c r="K4341" t="n">
        <v>-7.5</v>
      </c>
      <c r="L4341" s="2" t="n">
        <v>45661</v>
      </c>
      <c r="M4341" t="n">
        <v>-10.7</v>
      </c>
      <c r="N4341" t="inlineStr">
        <is>
          <t>20241024800043</t>
        </is>
      </c>
      <c r="O4341">
        <f>HYPERLINK("https://dart.fss.or.kr/dsaf001/main.do?rcpNo=20241024800043", "공시열람")</f>
        <v/>
      </c>
    </row>
    <row r="4342">
      <c r="A4342" t="inlineStr">
        <is>
          <t>2024-10-24</t>
        </is>
      </c>
      <c r="B4342" t="inlineStr">
        <is>
          <t>SNT다이내믹스</t>
        </is>
      </c>
      <c r="C4342" t="inlineStr">
        <is>
          <t>003570</t>
        </is>
      </c>
      <c r="D4342" t="inlineStr">
        <is>
          <t>연결</t>
        </is>
      </c>
      <c r="E4342" t="inlineStr">
        <is>
          <t>2024Q3</t>
        </is>
      </c>
      <c r="F4342" s="2" t="n">
        <v>163730</v>
      </c>
      <c r="G4342" t="n">
        <v>12.9</v>
      </c>
      <c r="H4342" t="n">
        <v>21.8</v>
      </c>
      <c r="I4342" s="2" t="n">
        <v>18440</v>
      </c>
      <c r="J4342" t="n">
        <v>-67.90000000000001</v>
      </c>
      <c r="K4342" t="n">
        <v>20</v>
      </c>
      <c r="L4342" s="2" t="n">
        <v>17454</v>
      </c>
      <c r="M4342" t="n">
        <v>29.5</v>
      </c>
      <c r="N4342" t="inlineStr">
        <is>
          <t>20241024800047</t>
        </is>
      </c>
      <c r="O4342">
        <f>HYPERLINK("https://dart.fss.or.kr/dsaf001/main.do?rcpNo=20241024800047", "공시열람")</f>
        <v/>
      </c>
    </row>
    <row r="4343">
      <c r="A4343" t="inlineStr">
        <is>
          <t>2024-10-24</t>
        </is>
      </c>
      <c r="B4343" t="inlineStr">
        <is>
          <t>티씨케이</t>
        </is>
      </c>
      <c r="C4343" t="inlineStr">
        <is>
          <t>064760</t>
        </is>
      </c>
      <c r="D4343" t="inlineStr">
        <is>
          <t>별도</t>
        </is>
      </c>
      <c r="E4343" t="inlineStr">
        <is>
          <t>2024Q3</t>
        </is>
      </c>
      <c r="F4343" s="2" t="n">
        <v>75623</v>
      </c>
      <c r="G4343" t="inlineStr"/>
      <c r="H4343" t="inlineStr"/>
      <c r="I4343" s="2" t="n">
        <v>22556</v>
      </c>
      <c r="J4343" t="inlineStr"/>
      <c r="K4343" t="inlineStr"/>
      <c r="L4343" s="2" t="n">
        <v>18720</v>
      </c>
      <c r="M4343" t="inlineStr"/>
      <c r="N4343" t="inlineStr">
        <is>
          <t>20241024900125</t>
        </is>
      </c>
      <c r="O4343">
        <f>HYPERLINK("https://dart.fss.or.kr/dsaf001/main.do?rcpNo=20241024900125", "공시열람")</f>
        <v/>
      </c>
    </row>
    <row r="4344">
      <c r="A4344" t="inlineStr">
        <is>
          <t>2024-10-24</t>
        </is>
      </c>
      <c r="B4344" t="inlineStr">
        <is>
          <t>아진전자부품</t>
        </is>
      </c>
      <c r="C4344" t="inlineStr">
        <is>
          <t>009320</t>
        </is>
      </c>
      <c r="D4344" t="inlineStr">
        <is>
          <t>별도</t>
        </is>
      </c>
      <c r="E4344" t="inlineStr">
        <is>
          <t>2024Q3</t>
        </is>
      </c>
      <c r="F4344" s="2" t="n">
        <v>37363</v>
      </c>
      <c r="G4344" t="n">
        <v>14.3</v>
      </c>
      <c r="H4344" t="n">
        <v>44.9</v>
      </c>
      <c r="I4344" s="2" t="n">
        <v>1438</v>
      </c>
      <c r="J4344" t="n">
        <v>3.5</v>
      </c>
      <c r="K4344" t="n">
        <v>2337.3</v>
      </c>
      <c r="L4344" s="2" t="n">
        <v>737</v>
      </c>
      <c r="M4344" t="inlineStr"/>
      <c r="N4344" t="inlineStr">
        <is>
          <t>20241024800138</t>
        </is>
      </c>
      <c r="O4344">
        <f>HYPERLINK("https://dart.fss.or.kr/dsaf001/main.do?rcpNo=20241024800138", "공시열람")</f>
        <v/>
      </c>
    </row>
    <row r="4345">
      <c r="A4345" t="inlineStr">
        <is>
          <t>2024-10-24</t>
        </is>
      </c>
      <c r="B4345" t="inlineStr">
        <is>
          <t>삼성E&amp;A</t>
        </is>
      </c>
      <c r="C4345" t="inlineStr">
        <is>
          <t>028050</t>
        </is>
      </c>
      <c r="D4345" t="inlineStr">
        <is>
          <t>연결</t>
        </is>
      </c>
      <c r="E4345" t="inlineStr">
        <is>
          <t>2024Q3</t>
        </is>
      </c>
      <c r="F4345" s="2" t="n">
        <v>2317033</v>
      </c>
      <c r="G4345" t="n">
        <v>-13.7</v>
      </c>
      <c r="H4345" t="n">
        <v>-6.5</v>
      </c>
      <c r="I4345" s="2" t="n">
        <v>203927</v>
      </c>
      <c r="J4345" t="n">
        <v>-22.3</v>
      </c>
      <c r="K4345" t="n">
        <v>32.9</v>
      </c>
      <c r="L4345" s="2" t="n">
        <v>158247</v>
      </c>
      <c r="M4345" t="n">
        <v>1.5</v>
      </c>
      <c r="N4345" t="inlineStr">
        <is>
          <t>20241024800157</t>
        </is>
      </c>
      <c r="O4345">
        <f>HYPERLINK("https://dart.fss.or.kr/dsaf001/main.do?rcpNo=20241024800157", "공시열람")</f>
        <v/>
      </c>
    </row>
    <row r="4346">
      <c r="A4346" t="inlineStr">
        <is>
          <t>2024-10-24</t>
        </is>
      </c>
      <c r="B4346" t="inlineStr">
        <is>
          <t>LG전자</t>
        </is>
      </c>
      <c r="C4346" t="inlineStr">
        <is>
          <t>066570</t>
        </is>
      </c>
      <c r="D4346" t="inlineStr">
        <is>
          <t>연결</t>
        </is>
      </c>
      <c r="E4346" t="inlineStr">
        <is>
          <t>2024Q3</t>
        </is>
      </c>
      <c r="F4346" s="2" t="n">
        <v>22176400</v>
      </c>
      <c r="G4346" t="inlineStr"/>
      <c r="H4346" t="inlineStr"/>
      <c r="I4346" s="2" t="n">
        <v>751900</v>
      </c>
      <c r="J4346" t="inlineStr"/>
      <c r="K4346" t="inlineStr"/>
      <c r="L4346" s="2" t="n">
        <v>90200</v>
      </c>
      <c r="M4346" t="inlineStr"/>
      <c r="N4346" t="inlineStr">
        <is>
          <t>20241024800186</t>
        </is>
      </c>
      <c r="O4346">
        <f>HYPERLINK("https://dart.fss.or.kr/dsaf001/main.do?rcpNo=20241024800186", "공시열람")</f>
        <v/>
      </c>
    </row>
    <row r="4347">
      <c r="A4347" t="inlineStr">
        <is>
          <t>2024-10-24</t>
        </is>
      </c>
      <c r="B4347" t="inlineStr">
        <is>
          <t>동국씨엠</t>
        </is>
      </c>
      <c r="C4347" t="inlineStr">
        <is>
          <t>460850</t>
        </is>
      </c>
      <c r="D4347" t="inlineStr">
        <is>
          <t>별도</t>
        </is>
      </c>
      <c r="E4347" t="inlineStr">
        <is>
          <t>2024Q3</t>
        </is>
      </c>
      <c r="F4347" s="2" t="n">
        <v>538349</v>
      </c>
      <c r="G4347" t="n">
        <v>-4.34</v>
      </c>
      <c r="H4347" t="n">
        <v>-2.85</v>
      </c>
      <c r="I4347" s="2" t="n">
        <v>21534</v>
      </c>
      <c r="J4347" t="n">
        <v>-25.97</v>
      </c>
      <c r="K4347" t="n">
        <v>-31.05</v>
      </c>
      <c r="L4347" s="2" t="n">
        <v>12251</v>
      </c>
      <c r="M4347" t="n">
        <v>-49.75</v>
      </c>
      <c r="N4347" t="inlineStr">
        <is>
          <t>20241024800193</t>
        </is>
      </c>
      <c r="O4347">
        <f>HYPERLINK("https://dart.fss.or.kr/dsaf001/main.do?rcpNo=20241024800193", "공시열람")</f>
        <v/>
      </c>
    </row>
    <row r="4348">
      <c r="A4348" t="inlineStr">
        <is>
          <t>2024-10-24</t>
        </is>
      </c>
      <c r="B4348" t="inlineStr">
        <is>
          <t>KB금융</t>
        </is>
      </c>
      <c r="C4348" t="inlineStr">
        <is>
          <t>105560</t>
        </is>
      </c>
      <c r="D4348" t="inlineStr">
        <is>
          <t>연결</t>
        </is>
      </c>
      <c r="E4348" t="inlineStr">
        <is>
          <t>2024Q3</t>
        </is>
      </c>
      <c r="F4348" s="2" t="n">
        <v>15491590</v>
      </c>
      <c r="G4348" t="inlineStr"/>
      <c r="H4348" t="inlineStr"/>
      <c r="I4348" s="2" t="n">
        <v>2357551</v>
      </c>
      <c r="J4348" t="inlineStr"/>
      <c r="K4348" t="inlineStr"/>
      <c r="L4348" s="2" t="n">
        <v>1596039</v>
      </c>
      <c r="M4348" t="inlineStr"/>
      <c r="N4348" t="inlineStr">
        <is>
          <t>20241024800264</t>
        </is>
      </c>
      <c r="O4348">
        <f>HYPERLINK("https://dart.fss.or.kr/dsaf001/main.do?rcpNo=20241024800264", "공시열람")</f>
        <v/>
      </c>
    </row>
    <row r="4349">
      <c r="A4349" t="inlineStr">
        <is>
          <t>2024-10-24</t>
        </is>
      </c>
      <c r="B4349" t="inlineStr">
        <is>
          <t>현대자동차</t>
        </is>
      </c>
      <c r="C4349" t="inlineStr">
        <is>
          <t>005380</t>
        </is>
      </c>
      <c r="D4349" t="inlineStr">
        <is>
          <t>연결</t>
        </is>
      </c>
      <c r="E4349" t="inlineStr">
        <is>
          <t>2024Q3</t>
        </is>
      </c>
      <c r="F4349" s="2" t="n">
        <v>42928332</v>
      </c>
      <c r="G4349" t="n">
        <v>-4.6</v>
      </c>
      <c r="H4349" t="n">
        <v>4.7</v>
      </c>
      <c r="I4349" s="2" t="n">
        <v>3580900</v>
      </c>
      <c r="J4349" t="n">
        <v>-16.3</v>
      </c>
      <c r="K4349" t="n">
        <v>-6.5</v>
      </c>
      <c r="L4349" s="2" t="n">
        <v>3205851</v>
      </c>
      <c r="M4349" t="n">
        <v>-3</v>
      </c>
      <c r="N4349" t="inlineStr">
        <is>
          <t>20241024800183</t>
        </is>
      </c>
      <c r="O4349">
        <f>HYPERLINK("https://dart.fss.or.kr/dsaf001/main.do?rcpNo=20241024800183", "공시열람")</f>
        <v/>
      </c>
    </row>
    <row r="4350">
      <c r="A4350" t="inlineStr">
        <is>
          <t>2024-10-24</t>
        </is>
      </c>
      <c r="B4350" t="inlineStr">
        <is>
          <t>KB금융</t>
        </is>
      </c>
      <c r="C4350" t="inlineStr">
        <is>
          <t>105560</t>
        </is>
      </c>
      <c r="D4350" t="inlineStr">
        <is>
          <t>연결</t>
        </is>
      </c>
      <c r="E4350" t="inlineStr">
        <is>
          <t>2024Q3</t>
        </is>
      </c>
      <c r="F4350" s="2" t="n">
        <v>2341119</v>
      </c>
      <c r="G4350" t="inlineStr"/>
      <c r="H4350" t="inlineStr"/>
      <c r="I4350" s="2" t="n">
        <v>238775</v>
      </c>
      <c r="J4350" t="inlineStr"/>
      <c r="K4350" t="inlineStr"/>
      <c r="L4350" s="2" t="n">
        <v>173149</v>
      </c>
      <c r="M4350" t="inlineStr"/>
      <c r="N4350" t="inlineStr">
        <is>
          <t>20241024800268</t>
        </is>
      </c>
      <c r="O4350">
        <f>HYPERLINK("https://dart.fss.or.kr/dsaf001/main.do?rcpNo=20241024800268", "공시열람")</f>
        <v/>
      </c>
    </row>
    <row r="4351">
      <c r="A4351" t="inlineStr">
        <is>
          <t>2024-10-24</t>
        </is>
      </c>
      <c r="B4351" t="inlineStr">
        <is>
          <t>삼성중공업</t>
        </is>
      </c>
      <c r="C4351" t="inlineStr">
        <is>
          <t>010140</t>
        </is>
      </c>
      <c r="D4351" t="inlineStr">
        <is>
          <t>연결</t>
        </is>
      </c>
      <c r="E4351" t="inlineStr">
        <is>
          <t>2024Q3</t>
        </is>
      </c>
      <c r="F4351" s="2" t="n">
        <v>2322900</v>
      </c>
      <c r="G4351" t="n">
        <v>-8.300000000000001</v>
      </c>
      <c r="H4351" t="n">
        <v>14.7</v>
      </c>
      <c r="I4351" s="2" t="n">
        <v>119900</v>
      </c>
      <c r="J4351" t="n">
        <v>-8.300000000000001</v>
      </c>
      <c r="K4351" t="n">
        <v>58</v>
      </c>
      <c r="L4351" s="2" t="n">
        <v>71400</v>
      </c>
      <c r="M4351" t="n">
        <v>100.6</v>
      </c>
      <c r="N4351" t="inlineStr">
        <is>
          <t>20241024800277</t>
        </is>
      </c>
      <c r="O4351">
        <f>HYPERLINK("https://dart.fss.or.kr/dsaf001/main.do?rcpNo=20241024800277", "공시열람")</f>
        <v/>
      </c>
    </row>
    <row r="4352">
      <c r="A4352" t="inlineStr">
        <is>
          <t>2024-10-24</t>
        </is>
      </c>
      <c r="B4352" t="inlineStr">
        <is>
          <t>멀티캠퍼스</t>
        </is>
      </c>
      <c r="C4352" t="inlineStr">
        <is>
          <t>067280</t>
        </is>
      </c>
      <c r="D4352" t="inlineStr">
        <is>
          <t>연결</t>
        </is>
      </c>
      <c r="E4352" t="inlineStr">
        <is>
          <t>2024Q3</t>
        </is>
      </c>
      <c r="F4352" s="2" t="n">
        <v>91059</v>
      </c>
      <c r="G4352" t="inlineStr"/>
      <c r="H4352" t="inlineStr"/>
      <c r="I4352" s="2" t="n">
        <v>9886</v>
      </c>
      <c r="J4352" t="inlineStr"/>
      <c r="K4352" t="inlineStr"/>
      <c r="L4352" s="2" t="n">
        <v>8249</v>
      </c>
      <c r="M4352" t="inlineStr"/>
      <c r="N4352" t="inlineStr">
        <is>
          <t>20241024900256</t>
        </is>
      </c>
      <c r="O4352">
        <f>HYPERLINK("https://dart.fss.or.kr/dsaf001/main.do?rcpNo=20241024900256", "공시열람")</f>
        <v/>
      </c>
    </row>
    <row r="4353">
      <c r="A4353" t="inlineStr">
        <is>
          <t>2024-10-24</t>
        </is>
      </c>
      <c r="B4353" t="inlineStr">
        <is>
          <t>에스원</t>
        </is>
      </c>
      <c r="C4353" t="inlineStr">
        <is>
          <t>012750</t>
        </is>
      </c>
      <c r="D4353" t="inlineStr">
        <is>
          <t>연결</t>
        </is>
      </c>
      <c r="E4353" t="inlineStr">
        <is>
          <t>2024Q3</t>
        </is>
      </c>
      <c r="F4353" s="2" t="n">
        <v>682770</v>
      </c>
      <c r="G4353" t="n">
        <v>-1.85</v>
      </c>
      <c r="H4353" t="n">
        <v>5.78</v>
      </c>
      <c r="I4353" s="2" t="n">
        <v>60250</v>
      </c>
      <c r="J4353" t="n">
        <v>15.13</v>
      </c>
      <c r="K4353" t="n">
        <v>12.6</v>
      </c>
      <c r="L4353" s="2" t="n">
        <v>54349</v>
      </c>
      <c r="M4353" t="n">
        <v>28.08</v>
      </c>
      <c r="N4353" t="inlineStr">
        <is>
          <t>20241024800300</t>
        </is>
      </c>
      <c r="O4353">
        <f>HYPERLINK("https://dart.fss.or.kr/dsaf001/main.do?rcpNo=20241024800300", "공시열람")</f>
        <v/>
      </c>
    </row>
    <row r="4354">
      <c r="A4354" t="inlineStr">
        <is>
          <t>2024-10-24</t>
        </is>
      </c>
      <c r="B4354" t="inlineStr">
        <is>
          <t>HL D&amp;I</t>
        </is>
      </c>
      <c r="C4354" t="inlineStr">
        <is>
          <t>014790</t>
        </is>
      </c>
      <c r="D4354" t="inlineStr">
        <is>
          <t>연결</t>
        </is>
      </c>
      <c r="E4354" t="inlineStr">
        <is>
          <t>2024Q3</t>
        </is>
      </c>
      <c r="F4354" s="2" t="n">
        <v>353236</v>
      </c>
      <c r="G4354" t="n">
        <v>-10.2</v>
      </c>
      <c r="H4354" t="n">
        <v>-14.2</v>
      </c>
      <c r="I4354" s="2" t="n">
        <v>13243</v>
      </c>
      <c r="J4354" t="n">
        <v>18.6</v>
      </c>
      <c r="K4354" t="n">
        <v>23.4</v>
      </c>
      <c r="L4354" s="2" t="n">
        <v>5418</v>
      </c>
      <c r="M4354" t="n">
        <v>-30.8</v>
      </c>
      <c r="N4354" t="inlineStr">
        <is>
          <t>20241024800458</t>
        </is>
      </c>
      <c r="O4354">
        <f>HYPERLINK("https://dart.fss.or.kr/dsaf001/main.do?rcpNo=20241024800458", "공시열람")</f>
        <v/>
      </c>
    </row>
    <row r="4355">
      <c r="A4355" t="inlineStr">
        <is>
          <t>2024-10-24</t>
        </is>
      </c>
      <c r="B4355" t="inlineStr">
        <is>
          <t>제주은행</t>
        </is>
      </c>
      <c r="C4355" t="inlineStr">
        <is>
          <t>006220</t>
        </is>
      </c>
      <c r="D4355" t="inlineStr">
        <is>
          <t>연결</t>
        </is>
      </c>
      <c r="E4355" t="inlineStr">
        <is>
          <t>2024Q3</t>
        </is>
      </c>
      <c r="F4355" s="2" t="n">
        <v>99635</v>
      </c>
      <c r="G4355" t="inlineStr"/>
      <c r="H4355" t="inlineStr"/>
      <c r="I4355" s="2" t="n">
        <v>3248</v>
      </c>
      <c r="J4355" t="inlineStr"/>
      <c r="K4355" t="inlineStr"/>
      <c r="L4355" s="2" t="n">
        <v>3189</v>
      </c>
      <c r="M4355" t="inlineStr"/>
      <c r="N4355" t="inlineStr">
        <is>
          <t>20241024800354</t>
        </is>
      </c>
      <c r="O4355">
        <f>HYPERLINK("https://dart.fss.or.kr/dsaf001/main.do?rcpNo=20241024800354", "공시열람")</f>
        <v/>
      </c>
    </row>
    <row r="4356">
      <c r="A4356" t="inlineStr">
        <is>
          <t>2024-10-24</t>
        </is>
      </c>
      <c r="B4356" t="inlineStr">
        <is>
          <t>SK바이오사이언스</t>
        </is>
      </c>
      <c r="C4356" t="inlineStr">
        <is>
          <t>302440</t>
        </is>
      </c>
      <c r="D4356" t="inlineStr">
        <is>
          <t>연결</t>
        </is>
      </c>
      <c r="E4356" t="inlineStr">
        <is>
          <t>2024Q3</t>
        </is>
      </c>
      <c r="F4356" s="2" t="n">
        <v>61648</v>
      </c>
      <c r="G4356" t="n">
        <v>130.2</v>
      </c>
      <c r="H4356" t="n">
        <v>-73.40000000000001</v>
      </c>
      <c r="I4356" s="2" t="n">
        <v>-39614</v>
      </c>
      <c r="J4356" t="n">
        <v>-98.7</v>
      </c>
      <c r="K4356" t="inlineStr"/>
      <c r="L4356" s="2" t="n">
        <v>-22317</v>
      </c>
      <c r="M4356" t="inlineStr"/>
      <c r="N4356" t="inlineStr">
        <is>
          <t>20241024800304</t>
        </is>
      </c>
      <c r="O4356">
        <f>HYPERLINK("https://dart.fss.or.kr/dsaf001/main.do?rcpNo=20241024800304", "공시열람")</f>
        <v/>
      </c>
    </row>
    <row r="4357">
      <c r="A4357" t="inlineStr">
        <is>
          <t>2024-10-23</t>
        </is>
      </c>
      <c r="B4357" t="inlineStr">
        <is>
          <t>JB금융지주</t>
        </is>
      </c>
      <c r="C4357" t="inlineStr">
        <is>
          <t>175330</t>
        </is>
      </c>
      <c r="D4357" t="inlineStr">
        <is>
          <t>연결</t>
        </is>
      </c>
      <c r="E4357" t="inlineStr">
        <is>
          <t>2024Q3</t>
        </is>
      </c>
      <c r="F4357" s="2" t="n">
        <v>391957</v>
      </c>
      <c r="G4357" t="n">
        <v>-1.6</v>
      </c>
      <c r="H4357" t="n">
        <v>4.1</v>
      </c>
      <c r="I4357" s="2" t="n">
        <v>78072</v>
      </c>
      <c r="J4357" t="n">
        <v>12.6</v>
      </c>
      <c r="K4357" t="n">
        <v>2.5</v>
      </c>
      <c r="L4357" s="2" t="n">
        <v>60421</v>
      </c>
      <c r="M4357" t="n">
        <v>5.9</v>
      </c>
      <c r="N4357" t="inlineStr">
        <is>
          <t>20241023800243</t>
        </is>
      </c>
      <c r="O4357">
        <f>HYPERLINK("https://dart.fss.or.kr/dsaf001/main.do?rcpNo=20241023800243", "공시열람")</f>
        <v/>
      </c>
    </row>
    <row r="4358">
      <c r="A4358" t="inlineStr">
        <is>
          <t>2024-10-23</t>
        </is>
      </c>
      <c r="B4358" t="inlineStr">
        <is>
          <t>솔루스첨단소재</t>
        </is>
      </c>
      <c r="C4358" t="inlineStr">
        <is>
          <t>336370</t>
        </is>
      </c>
      <c r="D4358" t="inlineStr">
        <is>
          <t>연결</t>
        </is>
      </c>
      <c r="E4358" t="inlineStr">
        <is>
          <t>2024Q3</t>
        </is>
      </c>
      <c r="F4358" s="2" t="n">
        <v>134700</v>
      </c>
      <c r="G4358" t="n">
        <v>-9.779999999999999</v>
      </c>
      <c r="H4358" t="n">
        <v>21.1</v>
      </c>
      <c r="I4358" s="2" t="n">
        <v>-18600</v>
      </c>
      <c r="J4358" t="n">
        <v>-77.98999999999999</v>
      </c>
      <c r="K4358" t="n">
        <v>8.56</v>
      </c>
      <c r="L4358" s="2" t="n">
        <v>-36300</v>
      </c>
      <c r="M4358" t="inlineStr"/>
      <c r="N4358" t="inlineStr">
        <is>
          <t>20241023800157</t>
        </is>
      </c>
      <c r="O4358">
        <f>HYPERLINK("https://dart.fss.or.kr/dsaf001/main.do?rcpNo=20241023800157", "공시열람")</f>
        <v/>
      </c>
    </row>
    <row r="4359">
      <c r="A4359" t="inlineStr">
        <is>
          <t>2024-10-23</t>
        </is>
      </c>
      <c r="B4359" t="inlineStr">
        <is>
          <t>레뷰코퍼레이션</t>
        </is>
      </c>
      <c r="C4359" t="inlineStr">
        <is>
          <t>443250</t>
        </is>
      </c>
      <c r="D4359" t="inlineStr">
        <is>
          <t>연결</t>
        </is>
      </c>
      <c r="E4359" t="inlineStr">
        <is>
          <t>2024Q3</t>
        </is>
      </c>
      <c r="F4359" s="2" t="n">
        <v>12584</v>
      </c>
      <c r="G4359" t="inlineStr"/>
      <c r="H4359" t="inlineStr"/>
      <c r="I4359" s="2" t="n">
        <v>2248</v>
      </c>
      <c r="J4359" t="inlineStr"/>
      <c r="K4359" t="inlineStr"/>
      <c r="L4359" s="2" t="inlineStr"/>
      <c r="M4359" t="inlineStr"/>
      <c r="N4359" t="inlineStr">
        <is>
          <t>20241023900046</t>
        </is>
      </c>
      <c r="O4359">
        <f>HYPERLINK("https://dart.fss.or.kr/dsaf001/main.do?rcpNo=20241023900046", "공시열람")</f>
        <v/>
      </c>
    </row>
    <row r="4360">
      <c r="A4360" t="inlineStr">
        <is>
          <t>2024-10-23</t>
        </is>
      </c>
      <c r="B4360" t="inlineStr">
        <is>
          <t>삼성바이오로직스</t>
        </is>
      </c>
      <c r="C4360" t="inlineStr">
        <is>
          <t>207940</t>
        </is>
      </c>
      <c r="D4360" t="inlineStr">
        <is>
          <t>연결</t>
        </is>
      </c>
      <c r="E4360" t="inlineStr">
        <is>
          <t>2024Q3</t>
        </is>
      </c>
      <c r="F4360" s="2" t="n">
        <v>1187075</v>
      </c>
      <c r="G4360" t="inlineStr"/>
      <c r="H4360" t="inlineStr"/>
      <c r="I4360" s="2" t="n">
        <v>338578</v>
      </c>
      <c r="J4360" t="inlineStr"/>
      <c r="K4360" t="inlineStr"/>
      <c r="L4360" s="2" t="n">
        <v>264468</v>
      </c>
      <c r="M4360" t="inlineStr"/>
      <c r="N4360" t="inlineStr">
        <is>
          <t>20241023800274</t>
        </is>
      </c>
      <c r="O4360">
        <f>HYPERLINK("https://dart.fss.or.kr/dsaf001/main.do?rcpNo=20241023800274", "공시열람")</f>
        <v/>
      </c>
    </row>
    <row r="4361">
      <c r="A4361" t="inlineStr">
        <is>
          <t>2024-10-23</t>
        </is>
      </c>
      <c r="B4361" t="inlineStr">
        <is>
          <t>LG이노텍</t>
        </is>
      </c>
      <c r="C4361" t="inlineStr">
        <is>
          <t>011070</t>
        </is>
      </c>
      <c r="D4361" t="inlineStr">
        <is>
          <t>연결</t>
        </is>
      </c>
      <c r="E4361" t="inlineStr">
        <is>
          <t>2024Q3</t>
        </is>
      </c>
      <c r="F4361" s="2" t="n">
        <v>5685059</v>
      </c>
      <c r="G4361" t="n">
        <v>24.8</v>
      </c>
      <c r="H4361" t="n">
        <v>19.34</v>
      </c>
      <c r="I4361" s="2" t="n">
        <v>130431</v>
      </c>
      <c r="J4361" t="n">
        <v>-14.01</v>
      </c>
      <c r="K4361" t="n">
        <v>-28.89</v>
      </c>
      <c r="L4361" s="2" t="n">
        <v>104999</v>
      </c>
      <c r="M4361" t="n">
        <v>-18.67</v>
      </c>
      <c r="N4361" t="inlineStr">
        <is>
          <t>20241023800292</t>
        </is>
      </c>
      <c r="O4361">
        <f>HYPERLINK("https://dart.fss.or.kr/dsaf001/main.do?rcpNo=20241023800292", "공시열람")</f>
        <v/>
      </c>
    </row>
    <row r="4362">
      <c r="A4362" t="inlineStr">
        <is>
          <t>2024-10-23</t>
        </is>
      </c>
      <c r="B4362" t="inlineStr">
        <is>
          <t>JB금융지주</t>
        </is>
      </c>
      <c r="C4362" t="inlineStr">
        <is>
          <t>175330</t>
        </is>
      </c>
      <c r="D4362" t="inlineStr">
        <is>
          <t>연결</t>
        </is>
      </c>
      <c r="E4362" t="inlineStr">
        <is>
          <t>2024Q3</t>
        </is>
      </c>
      <c r="F4362" s="2" t="n">
        <v>282964</v>
      </c>
      <c r="G4362" t="n">
        <v>-6.1</v>
      </c>
      <c r="H4362" t="n">
        <v>23.7</v>
      </c>
      <c r="I4362" s="2" t="n">
        <v>75943</v>
      </c>
      <c r="J4362" t="n">
        <v>-10.4</v>
      </c>
      <c r="K4362" t="n">
        <v>24.1</v>
      </c>
      <c r="L4362" s="2" t="n">
        <v>58876</v>
      </c>
      <c r="M4362" t="n">
        <v>25.5</v>
      </c>
      <c r="N4362" t="inlineStr">
        <is>
          <t>20241023800247</t>
        </is>
      </c>
      <c r="O4362">
        <f>HYPERLINK("https://dart.fss.or.kr/dsaf001/main.do?rcpNo=20241023800247", "공시열람")</f>
        <v/>
      </c>
    </row>
    <row r="4363">
      <c r="A4363" t="inlineStr">
        <is>
          <t>2024-10-23</t>
        </is>
      </c>
      <c r="B4363" t="inlineStr">
        <is>
          <t>HD현대마린솔루션</t>
        </is>
      </c>
      <c r="C4363" t="inlineStr">
        <is>
          <t>443060</t>
        </is>
      </c>
      <c r="D4363" t="inlineStr">
        <is>
          <t>연결</t>
        </is>
      </c>
      <c r="E4363" t="inlineStr">
        <is>
          <t>2024Q3</t>
        </is>
      </c>
      <c r="F4363" s="2" t="n">
        <v>461300</v>
      </c>
      <c r="G4363" t="n">
        <v>5.3</v>
      </c>
      <c r="H4363" t="n">
        <v>28.6</v>
      </c>
      <c r="I4363" s="2" t="n">
        <v>83400</v>
      </c>
      <c r="J4363" t="n">
        <v>17.5</v>
      </c>
      <c r="K4363" t="n">
        <v>66.09999999999999</v>
      </c>
      <c r="L4363" s="2" t="n">
        <v>58500</v>
      </c>
      <c r="M4363" t="n">
        <v>44.1</v>
      </c>
      <c r="N4363" t="inlineStr">
        <is>
          <t>20241023800165</t>
        </is>
      </c>
      <c r="O4363">
        <f>HYPERLINK("https://dart.fss.or.kr/dsaf001/main.do?rcpNo=20241023800165", "공시열람")</f>
        <v/>
      </c>
    </row>
    <row r="4364">
      <c r="A4364" t="inlineStr">
        <is>
          <t>2024-10-23</t>
        </is>
      </c>
      <c r="B4364" t="inlineStr">
        <is>
          <t>JB금융지주</t>
        </is>
      </c>
      <c r="C4364" t="inlineStr">
        <is>
          <t>175330</t>
        </is>
      </c>
      <c r="D4364" t="inlineStr">
        <is>
          <t>연결</t>
        </is>
      </c>
      <c r="E4364" t="inlineStr">
        <is>
          <t>2024Q3</t>
        </is>
      </c>
      <c r="F4364" s="2" t="n">
        <v>460359</v>
      </c>
      <c r="G4364" t="n">
        <v>-1.7</v>
      </c>
      <c r="H4364" t="n">
        <v>7.1</v>
      </c>
      <c r="I4364" s="2" t="n">
        <v>119197</v>
      </c>
      <c r="J4364" t="n">
        <v>4.6</v>
      </c>
      <c r="K4364" t="n">
        <v>24.1</v>
      </c>
      <c r="L4364" s="2" t="n">
        <v>90045</v>
      </c>
      <c r="M4364" t="n">
        <v>22.6</v>
      </c>
      <c r="N4364" t="inlineStr">
        <is>
          <t>20241023800245</t>
        </is>
      </c>
      <c r="O4364">
        <f>HYPERLINK("https://dart.fss.or.kr/dsaf001/main.do?rcpNo=20241023800245", "공시열람")</f>
        <v/>
      </c>
    </row>
    <row r="4365">
      <c r="A4365" t="inlineStr">
        <is>
          <t>2024-10-23</t>
        </is>
      </c>
      <c r="B4365" t="inlineStr">
        <is>
          <t>JB금융지주</t>
        </is>
      </c>
      <c r="C4365" t="inlineStr">
        <is>
          <t>175330</t>
        </is>
      </c>
      <c r="D4365" t="inlineStr">
        <is>
          <t>연결</t>
        </is>
      </c>
      <c r="E4365" t="inlineStr">
        <is>
          <t>2024Q3</t>
        </is>
      </c>
      <c r="F4365" s="2" t="n">
        <v>1145476</v>
      </c>
      <c r="G4365" t="n">
        <v>-2.4</v>
      </c>
      <c r="H4365" t="n">
        <v>9.4</v>
      </c>
      <c r="I4365" s="2" t="n">
        <v>261033</v>
      </c>
      <c r="J4365" t="n">
        <v>0.9</v>
      </c>
      <c r="K4365" t="n">
        <v>13.2</v>
      </c>
      <c r="L4365" s="2" t="n">
        <v>197536</v>
      </c>
      <c r="M4365" t="n">
        <v>14.2</v>
      </c>
      <c r="N4365" t="inlineStr">
        <is>
          <t>20241023800241</t>
        </is>
      </c>
      <c r="O4365">
        <f>HYPERLINK("https://dart.fss.or.kr/dsaf001/main.do?rcpNo=20241023800241", "공시열람")</f>
        <v/>
      </c>
    </row>
    <row r="4366">
      <c r="A4366" t="inlineStr">
        <is>
          <t>2024-10-23</t>
        </is>
      </c>
      <c r="B4366" t="inlineStr">
        <is>
          <t>LG디스플레이</t>
        </is>
      </c>
      <c r="C4366" t="inlineStr">
        <is>
          <t>034220</t>
        </is>
      </c>
      <c r="D4366" t="inlineStr">
        <is>
          <t>연결</t>
        </is>
      </c>
      <c r="E4366" t="inlineStr">
        <is>
          <t>2024Q3</t>
        </is>
      </c>
      <c r="F4366" s="2" t="n">
        <v>6821301</v>
      </c>
      <c r="G4366" t="n">
        <v>1.7</v>
      </c>
      <c r="H4366" t="n">
        <v>42.5</v>
      </c>
      <c r="I4366" s="2" t="n">
        <v>-80599</v>
      </c>
      <c r="J4366" t="n">
        <v>14</v>
      </c>
      <c r="K4366" t="n">
        <v>87.8</v>
      </c>
      <c r="L4366" s="2" t="n">
        <v>-338108</v>
      </c>
      <c r="M4366" t="n">
        <v>56.4</v>
      </c>
      <c r="N4366" t="inlineStr">
        <is>
          <t>20241023800163</t>
        </is>
      </c>
      <c r="O4366">
        <f>HYPERLINK("https://dart.fss.or.kr/dsaf001/main.do?rcpNo=20241023800163", "공시열람")</f>
        <v/>
      </c>
    </row>
    <row r="4367">
      <c r="A4367" t="inlineStr">
        <is>
          <t>2024-10-23</t>
        </is>
      </c>
      <c r="B4367" t="inlineStr">
        <is>
          <t>현대차증권</t>
        </is>
      </c>
      <c r="C4367" t="inlineStr">
        <is>
          <t>001500</t>
        </is>
      </c>
      <c r="D4367" t="inlineStr">
        <is>
          <t>연결</t>
        </is>
      </c>
      <c r="E4367" t="inlineStr">
        <is>
          <t>2024Q3</t>
        </is>
      </c>
      <c r="F4367" s="2" t="n">
        <v>252058</v>
      </c>
      <c r="G4367" t="n">
        <v>-42.1</v>
      </c>
      <c r="H4367" t="n">
        <v>-22.6</v>
      </c>
      <c r="I4367" s="2" t="n">
        <v>14553</v>
      </c>
      <c r="J4367" t="n">
        <v>-25.2</v>
      </c>
      <c r="K4367" t="n">
        <v>22.2</v>
      </c>
      <c r="L4367" s="2" t="n">
        <v>10658</v>
      </c>
      <c r="M4367" t="n">
        <v>13.9</v>
      </c>
      <c r="N4367" t="inlineStr">
        <is>
          <t>20241023800194</t>
        </is>
      </c>
      <c r="O4367">
        <f>HYPERLINK("https://dart.fss.or.kr/dsaf001/main.do?rcpNo=20241023800194", "공시열람")</f>
        <v/>
      </c>
    </row>
    <row r="4368">
      <c r="A4368" t="inlineStr">
        <is>
          <t>2024-10-23</t>
        </is>
      </c>
      <c r="B4368" t="inlineStr">
        <is>
          <t>엘에스일렉트릭</t>
        </is>
      </c>
      <c r="C4368" t="inlineStr">
        <is>
          <t>010120</t>
        </is>
      </c>
      <c r="D4368" t="inlineStr">
        <is>
          <t>연결</t>
        </is>
      </c>
      <c r="E4368" t="inlineStr">
        <is>
          <t>2024Q3</t>
        </is>
      </c>
      <c r="F4368" s="2" t="n">
        <v>1021215</v>
      </c>
      <c r="G4368" t="n">
        <v>-9.82</v>
      </c>
      <c r="H4368" t="n">
        <v>-0.13</v>
      </c>
      <c r="I4368" s="2" t="n">
        <v>66452</v>
      </c>
      <c r="J4368" t="n">
        <v>-39.39</v>
      </c>
      <c r="K4368" t="n">
        <v>-5.24</v>
      </c>
      <c r="L4368" s="2" t="n">
        <v>35123</v>
      </c>
      <c r="M4368" t="n">
        <v>-13.48</v>
      </c>
      <c r="N4368" t="inlineStr">
        <is>
          <t>20241023800177</t>
        </is>
      </c>
      <c r="O4368">
        <f>HYPERLINK("https://dart.fss.or.kr/dsaf001/main.do?rcpNo=20241023800177", "공시열람")</f>
        <v/>
      </c>
    </row>
    <row r="4369">
      <c r="A4369" t="inlineStr">
        <is>
          <t>2024-10-23</t>
        </is>
      </c>
      <c r="B4369" t="inlineStr">
        <is>
          <t>HD건설기계</t>
        </is>
      </c>
      <c r="C4369" t="inlineStr">
        <is>
          <t>267270</t>
        </is>
      </c>
      <c r="D4369" t="inlineStr">
        <is>
          <t>연결</t>
        </is>
      </c>
      <c r="E4369" t="inlineStr">
        <is>
          <t>2024Q3</t>
        </is>
      </c>
      <c r="F4369" s="2" t="n">
        <v>816800</v>
      </c>
      <c r="G4369" t="n">
        <v>-4.2</v>
      </c>
      <c r="H4369" t="n">
        <v>-12</v>
      </c>
      <c r="I4369" s="2" t="n">
        <v>43000</v>
      </c>
      <c r="J4369" t="n">
        <v>-26.6</v>
      </c>
      <c r="K4369" t="n">
        <v>-20.1</v>
      </c>
      <c r="L4369" s="2" t="n">
        <v>11400</v>
      </c>
      <c r="M4369" t="n">
        <v>-65.7</v>
      </c>
      <c r="N4369" t="inlineStr">
        <is>
          <t>20241023800210</t>
        </is>
      </c>
      <c r="O4369">
        <f>HYPERLINK("https://dart.fss.or.kr/dsaf001/main.do?rcpNo=20241023800210", "공시열람")</f>
        <v/>
      </c>
    </row>
    <row r="4370">
      <c r="A4370" t="inlineStr">
        <is>
          <t>2024-10-22</t>
        </is>
      </c>
      <c r="B4370" t="inlineStr">
        <is>
          <t>오리온</t>
        </is>
      </c>
      <c r="C4370" t="inlineStr">
        <is>
          <t>271560</t>
        </is>
      </c>
      <c r="D4370" t="inlineStr">
        <is>
          <t>연결</t>
        </is>
      </c>
      <c r="E4370" t="inlineStr">
        <is>
          <t>2024Q3</t>
        </is>
      </c>
      <c r="F4370" s="2" t="inlineStr"/>
      <c r="G4370" t="inlineStr"/>
      <c r="H4370" t="inlineStr"/>
      <c r="I4370" s="2" t="inlineStr"/>
      <c r="J4370" t="inlineStr"/>
      <c r="K4370" t="inlineStr"/>
      <c r="L4370" s="2" t="inlineStr"/>
      <c r="M4370" t="inlineStr"/>
      <c r="N4370" t="inlineStr">
        <is>
          <t>20241022800083</t>
        </is>
      </c>
      <c r="O4370">
        <f>HYPERLINK("https://dart.fss.or.kr/dsaf001/main.do?rcpNo=20241022800083", "공시열람")</f>
        <v/>
      </c>
    </row>
    <row r="4371">
      <c r="A4371" t="inlineStr">
        <is>
          <t>2024-10-22</t>
        </is>
      </c>
      <c r="B4371" t="inlineStr">
        <is>
          <t>부광약품</t>
        </is>
      </c>
      <c r="C4371" t="inlineStr">
        <is>
          <t>003000</t>
        </is>
      </c>
      <c r="D4371" t="inlineStr">
        <is>
          <t>연결</t>
        </is>
      </c>
      <c r="E4371" t="inlineStr">
        <is>
          <t>2024Q3</t>
        </is>
      </c>
      <c r="F4371" s="2" t="n">
        <v>42597</v>
      </c>
      <c r="G4371" t="inlineStr"/>
      <c r="H4371" t="inlineStr"/>
      <c r="I4371" s="2" t="n">
        <v>3179</v>
      </c>
      <c r="J4371" t="inlineStr"/>
      <c r="K4371" t="inlineStr"/>
      <c r="L4371" s="2" t="n">
        <v>99</v>
      </c>
      <c r="M4371" t="inlineStr"/>
      <c r="N4371" t="inlineStr">
        <is>
          <t>20241022800121</t>
        </is>
      </c>
      <c r="O4371">
        <f>HYPERLINK("https://dart.fss.or.kr/dsaf001/main.do?rcpNo=20241022800121", "공시열람")</f>
        <v/>
      </c>
    </row>
    <row r="4372">
      <c r="A4372" t="inlineStr">
        <is>
          <t>2024-10-22</t>
        </is>
      </c>
      <c r="B4372" t="inlineStr">
        <is>
          <t>현대건설</t>
        </is>
      </c>
      <c r="C4372" t="inlineStr">
        <is>
          <t>000720</t>
        </is>
      </c>
      <c r="D4372" t="inlineStr">
        <is>
          <t>연결</t>
        </is>
      </c>
      <c r="E4372" t="inlineStr">
        <is>
          <t>2024Q3</t>
        </is>
      </c>
      <c r="F4372" s="2" t="n">
        <v>8256906</v>
      </c>
      <c r="G4372" t="n">
        <v>-4.2</v>
      </c>
      <c r="H4372" t="n">
        <v>5.1</v>
      </c>
      <c r="I4372" s="2" t="n">
        <v>114292</v>
      </c>
      <c r="J4372" t="n">
        <v>-22.4</v>
      </c>
      <c r="K4372" t="n">
        <v>-53.1</v>
      </c>
      <c r="L4372" s="2" t="n">
        <v>40105</v>
      </c>
      <c r="M4372" t="n">
        <v>-77.90000000000001</v>
      </c>
      <c r="N4372" t="inlineStr">
        <is>
          <t>20241022800153</t>
        </is>
      </c>
      <c r="O4372">
        <f>HYPERLINK("https://dart.fss.or.kr/dsaf001/main.do?rcpNo=20241022800153", "공시열람")</f>
        <v/>
      </c>
    </row>
    <row r="4373">
      <c r="A4373" t="inlineStr">
        <is>
          <t>2024-10-22</t>
        </is>
      </c>
      <c r="B4373" t="inlineStr">
        <is>
          <t>아바코</t>
        </is>
      </c>
      <c r="C4373" t="inlineStr">
        <is>
          <t>083930</t>
        </is>
      </c>
      <c r="D4373" t="inlineStr">
        <is>
          <t>별도</t>
        </is>
      </c>
      <c r="E4373" t="inlineStr">
        <is>
          <t>2024Q3</t>
        </is>
      </c>
      <c r="F4373" s="2" t="n">
        <v>97276</v>
      </c>
      <c r="G4373" t="inlineStr"/>
      <c r="H4373" t="inlineStr"/>
      <c r="I4373" s="2" t="n">
        <v>8281</v>
      </c>
      <c r="J4373" t="inlineStr"/>
      <c r="K4373" t="inlineStr"/>
      <c r="L4373" s="2" t="n">
        <v>2806</v>
      </c>
      <c r="M4373" t="inlineStr"/>
      <c r="N4373" t="inlineStr">
        <is>
          <t>20241022900162</t>
        </is>
      </c>
      <c r="O4373">
        <f>HYPERLINK("https://dart.fss.or.kr/dsaf001/main.do?rcpNo=20241022900162", "공시열람")</f>
        <v/>
      </c>
    </row>
    <row r="4374">
      <c r="A4374" t="inlineStr">
        <is>
          <t>2024-10-21</t>
        </is>
      </c>
      <c r="B4374" t="inlineStr">
        <is>
          <t>국도화학</t>
        </is>
      </c>
      <c r="C4374" t="inlineStr">
        <is>
          <t>007690</t>
        </is>
      </c>
      <c r="D4374" t="inlineStr">
        <is>
          <t>연결</t>
        </is>
      </c>
      <c r="E4374" t="inlineStr">
        <is>
          <t>2024Q3</t>
        </is>
      </c>
      <c r="F4374" s="2" t="n">
        <v>340121</v>
      </c>
      <c r="G4374" t="n">
        <v>-0.8</v>
      </c>
      <c r="H4374" t="n">
        <v>7.8</v>
      </c>
      <c r="I4374" s="2" t="n">
        <v>7146</v>
      </c>
      <c r="J4374" t="n">
        <v>-27.9</v>
      </c>
      <c r="K4374" t="inlineStr"/>
      <c r="L4374" s="2" t="n">
        <v>766</v>
      </c>
      <c r="M4374" t="inlineStr"/>
      <c r="N4374" t="inlineStr">
        <is>
          <t>20241021800168</t>
        </is>
      </c>
      <c r="O4374">
        <f>HYPERLINK("https://dart.fss.or.kr/dsaf001/main.do?rcpNo=20241021800168", "공시열람")</f>
        <v/>
      </c>
    </row>
    <row r="4375">
      <c r="A4375" t="inlineStr">
        <is>
          <t>2024-10-18</t>
        </is>
      </c>
      <c r="B4375" t="inlineStr">
        <is>
          <t>HD현대중공업</t>
        </is>
      </c>
      <c r="C4375" t="inlineStr">
        <is>
          <t>329180</t>
        </is>
      </c>
      <c r="D4375" t="inlineStr">
        <is>
          <t>별도</t>
        </is>
      </c>
      <c r="E4375" t="inlineStr">
        <is>
          <t>2024Q3</t>
        </is>
      </c>
      <c r="F4375" s="2" t="inlineStr"/>
      <c r="G4375" t="inlineStr"/>
      <c r="H4375" t="inlineStr"/>
      <c r="I4375" s="2" t="inlineStr"/>
      <c r="J4375" t="inlineStr"/>
      <c r="K4375" t="inlineStr"/>
      <c r="L4375" s="2" t="inlineStr"/>
      <c r="M4375" t="inlineStr"/>
      <c r="N4375" t="inlineStr">
        <is>
          <t>20241018800315</t>
        </is>
      </c>
      <c r="O4375">
        <f>HYPERLINK("https://dart.fss.or.kr/dsaf001/main.do?rcpNo=20241018800315", "공시열람")</f>
        <v/>
      </c>
    </row>
    <row r="4376">
      <c r="A4376" t="inlineStr">
        <is>
          <t>2024-10-18</t>
        </is>
      </c>
      <c r="B4376" t="inlineStr">
        <is>
          <t>HD한국조선해양</t>
        </is>
      </c>
      <c r="C4376" t="inlineStr">
        <is>
          <t>009540</t>
        </is>
      </c>
      <c r="D4376" t="inlineStr">
        <is>
          <t>별도</t>
        </is>
      </c>
      <c r="E4376" t="inlineStr">
        <is>
          <t>2024Q3</t>
        </is>
      </c>
      <c r="F4376" s="2" t="inlineStr"/>
      <c r="G4376" t="inlineStr"/>
      <c r="H4376" t="inlineStr"/>
      <c r="I4376" s="2" t="inlineStr"/>
      <c r="J4376" t="inlineStr"/>
      <c r="K4376" t="inlineStr"/>
      <c r="L4376" s="2" t="inlineStr"/>
      <c r="M4376" t="inlineStr"/>
      <c r="N4376" t="inlineStr">
        <is>
          <t>20241018800326</t>
        </is>
      </c>
      <c r="O4376">
        <f>HYPERLINK("https://dart.fss.or.kr/dsaf001/main.do?rcpNo=20241018800326", "공시열람")</f>
        <v/>
      </c>
    </row>
    <row r="4377">
      <c r="A4377" t="inlineStr">
        <is>
          <t>2024-10-18</t>
        </is>
      </c>
      <c r="B4377" t="inlineStr">
        <is>
          <t>아바텍</t>
        </is>
      </c>
      <c r="C4377" t="inlineStr">
        <is>
          <t>149950</t>
        </is>
      </c>
      <c r="D4377" t="inlineStr">
        <is>
          <t>별도</t>
        </is>
      </c>
      <c r="E4377" t="inlineStr">
        <is>
          <t>2024Q3</t>
        </is>
      </c>
      <c r="F4377" s="2" t="n">
        <v>20906</v>
      </c>
      <c r="G4377" t="inlineStr"/>
      <c r="H4377" t="inlineStr"/>
      <c r="I4377" s="2" t="n">
        <v>660</v>
      </c>
      <c r="J4377" t="inlineStr"/>
      <c r="K4377" t="inlineStr"/>
      <c r="L4377" s="2" t="n">
        <v>632</v>
      </c>
      <c r="M4377" t="inlineStr"/>
      <c r="N4377" t="inlineStr">
        <is>
          <t>20241018900406</t>
        </is>
      </c>
      <c r="O4377">
        <f>HYPERLINK("https://dart.fss.or.kr/dsaf001/main.do?rcpNo=20241018900406", "공시열람")</f>
        <v/>
      </c>
    </row>
    <row r="4378">
      <c r="A4378" t="inlineStr">
        <is>
          <t>2024-10-17</t>
        </is>
      </c>
      <c r="B4378" t="inlineStr">
        <is>
          <t>한솔아이원스</t>
        </is>
      </c>
      <c r="C4378" t="inlineStr">
        <is>
          <t>114810</t>
        </is>
      </c>
      <c r="D4378" t="inlineStr">
        <is>
          <t>연결</t>
        </is>
      </c>
      <c r="E4378" t="inlineStr">
        <is>
          <t>2024Q3</t>
        </is>
      </c>
      <c r="F4378" s="2" t="n">
        <v>36546</v>
      </c>
      <c r="G4378" t="inlineStr"/>
      <c r="H4378" t="inlineStr"/>
      <c r="I4378" s="2" t="n">
        <v>4692</v>
      </c>
      <c r="J4378" t="inlineStr"/>
      <c r="K4378" t="inlineStr"/>
      <c r="L4378" s="2" t="n">
        <v>4211</v>
      </c>
      <c r="M4378" t="inlineStr"/>
      <c r="N4378" t="inlineStr">
        <is>
          <t>20241017900169</t>
        </is>
      </c>
      <c r="O4378">
        <f>HYPERLINK("https://dart.fss.or.kr/dsaf001/main.do?rcpNo=20241017900169", "공시열람")</f>
        <v/>
      </c>
    </row>
    <row r="4379">
      <c r="A4379" t="inlineStr">
        <is>
          <t>2024-10-17</t>
        </is>
      </c>
      <c r="B4379" t="inlineStr">
        <is>
          <t>LS에코에너지</t>
        </is>
      </c>
      <c r="C4379" t="inlineStr">
        <is>
          <t>229640</t>
        </is>
      </c>
      <c r="D4379" t="inlineStr">
        <is>
          <t>연결</t>
        </is>
      </c>
      <c r="E4379" t="inlineStr">
        <is>
          <t>2024Q3</t>
        </is>
      </c>
      <c r="F4379" s="2" t="n">
        <v>223390</v>
      </c>
      <c r="G4379" t="n">
        <v>-4</v>
      </c>
      <c r="H4379" t="n">
        <v>33.4</v>
      </c>
      <c r="I4379" s="2" t="n">
        <v>12550</v>
      </c>
      <c r="J4379" t="n">
        <v>-14.8</v>
      </c>
      <c r="K4379" t="n">
        <v>13.5</v>
      </c>
      <c r="L4379" s="2" t="n">
        <v>8378</v>
      </c>
      <c r="M4379" t="n">
        <v>226.7</v>
      </c>
      <c r="N4379" t="inlineStr">
        <is>
          <t>20241017800032</t>
        </is>
      </c>
      <c r="O4379">
        <f>HYPERLINK("https://dart.fss.or.kr/dsaf001/main.do?rcpNo=20241017800032", "공시열람")</f>
        <v/>
      </c>
    </row>
    <row r="4380">
      <c r="A4380" t="inlineStr">
        <is>
          <t>2024-10-17</t>
        </is>
      </c>
      <c r="B4380" t="inlineStr">
        <is>
          <t>한미반도체</t>
        </is>
      </c>
      <c r="C4380" t="inlineStr">
        <is>
          <t>042700</t>
        </is>
      </c>
      <c r="D4380" t="inlineStr">
        <is>
          <t>연결</t>
        </is>
      </c>
      <c r="E4380" t="inlineStr">
        <is>
          <t>2024Q3</t>
        </is>
      </c>
      <c r="F4380" s="2" t="n">
        <v>208525</v>
      </c>
      <c r="G4380" t="inlineStr"/>
      <c r="H4380" t="inlineStr"/>
      <c r="I4380" s="2" t="n">
        <v>99305</v>
      </c>
      <c r="J4380" t="inlineStr"/>
      <c r="K4380" t="inlineStr"/>
      <c r="L4380" s="2" t="inlineStr"/>
      <c r="M4380" t="inlineStr"/>
      <c r="N4380" t="inlineStr">
        <is>
          <t>20241017800029</t>
        </is>
      </c>
      <c r="O4380">
        <f>HYPERLINK("https://dart.fss.or.kr/dsaf001/main.do?rcpNo=20241017800029", "공시열람")</f>
        <v/>
      </c>
    </row>
    <row r="4381">
      <c r="A4381" t="inlineStr">
        <is>
          <t>2024-10-17</t>
        </is>
      </c>
      <c r="B4381" t="inlineStr">
        <is>
          <t>지역난방공사</t>
        </is>
      </c>
      <c r="C4381" t="inlineStr">
        <is>
          <t>071320</t>
        </is>
      </c>
      <c r="D4381" t="inlineStr">
        <is>
          <t>별도</t>
        </is>
      </c>
      <c r="E4381" t="inlineStr">
        <is>
          <t>2024Q3</t>
        </is>
      </c>
      <c r="F4381" s="2" t="inlineStr"/>
      <c r="G4381" t="inlineStr"/>
      <c r="H4381" t="inlineStr"/>
      <c r="I4381" s="2" t="inlineStr"/>
      <c r="J4381" t="inlineStr"/>
      <c r="K4381" t="inlineStr"/>
      <c r="L4381" s="2" t="inlineStr"/>
      <c r="M4381" t="inlineStr"/>
      <c r="N4381" t="inlineStr">
        <is>
          <t>20241017800113</t>
        </is>
      </c>
      <c r="O4381">
        <f>HYPERLINK("https://dart.fss.or.kr/dsaf001/main.do?rcpNo=20241017800113", "공시열람")</f>
        <v/>
      </c>
    </row>
    <row r="4382">
      <c r="A4382" t="inlineStr">
        <is>
          <t>2024-10-15</t>
        </is>
      </c>
      <c r="B4382" t="inlineStr">
        <is>
          <t>LS마린솔루션</t>
        </is>
      </c>
      <c r="C4382" t="inlineStr">
        <is>
          <t>060370</t>
        </is>
      </c>
      <c r="D4382" t="inlineStr">
        <is>
          <t>별도</t>
        </is>
      </c>
      <c r="E4382" t="inlineStr">
        <is>
          <t>2024Q3</t>
        </is>
      </c>
      <c r="F4382" s="2" t="n">
        <v>37358</v>
      </c>
      <c r="G4382" t="inlineStr"/>
      <c r="H4382" t="inlineStr"/>
      <c r="I4382" s="2" t="n">
        <v>7232</v>
      </c>
      <c r="J4382" t="inlineStr"/>
      <c r="K4382" t="inlineStr"/>
      <c r="L4382" s="2" t="n">
        <v>5766</v>
      </c>
      <c r="M4382" t="inlineStr"/>
      <c r="N4382" t="inlineStr">
        <is>
          <t>20241015900046</t>
        </is>
      </c>
      <c r="O4382">
        <f>HYPERLINK("https://dart.fss.or.kr/dsaf001/main.do?rcpNo=20241015900046", "공시열람")</f>
        <v/>
      </c>
    </row>
    <row r="4383">
      <c r="A4383" t="inlineStr">
        <is>
          <t>2024-10-11</t>
        </is>
      </c>
      <c r="B4383" t="inlineStr">
        <is>
          <t>한국가스공사</t>
        </is>
      </c>
      <c r="C4383" t="inlineStr">
        <is>
          <t>036460</t>
        </is>
      </c>
      <c r="D4383" t="inlineStr">
        <is>
          <t>별도</t>
        </is>
      </c>
      <c r="E4383" t="inlineStr">
        <is>
          <t>2024Q3</t>
        </is>
      </c>
      <c r="F4383" s="2" t="inlineStr"/>
      <c r="G4383" t="inlineStr"/>
      <c r="H4383" t="inlineStr"/>
      <c r="I4383" s="2" t="inlineStr"/>
      <c r="J4383" t="inlineStr"/>
      <c r="K4383" t="inlineStr"/>
      <c r="L4383" s="2" t="inlineStr"/>
      <c r="M4383" t="inlineStr"/>
      <c r="N4383" t="inlineStr">
        <is>
          <t>20241011800063</t>
        </is>
      </c>
      <c r="O4383">
        <f>HYPERLINK("https://dart.fss.or.kr/dsaf001/main.do?rcpNo=20241011800063", "공시열람")</f>
        <v/>
      </c>
    </row>
    <row r="4384">
      <c r="A4384" t="inlineStr">
        <is>
          <t>2024-10-11</t>
        </is>
      </c>
      <c r="B4384" t="inlineStr">
        <is>
          <t>한진</t>
        </is>
      </c>
      <c r="C4384" t="inlineStr">
        <is>
          <t>002320</t>
        </is>
      </c>
      <c r="D4384" t="inlineStr">
        <is>
          <t>연결</t>
        </is>
      </c>
      <c r="E4384" t="inlineStr">
        <is>
          <t>2024Q3</t>
        </is>
      </c>
      <c r="F4384" s="2" t="n">
        <v>764700</v>
      </c>
      <c r="G4384" t="n">
        <v>4.2</v>
      </c>
      <c r="H4384" t="n">
        <v>10.5</v>
      </c>
      <c r="I4384" s="2" t="n">
        <v>39200</v>
      </c>
      <c r="J4384" t="n">
        <v>6.2</v>
      </c>
      <c r="K4384" t="n">
        <v>16.3</v>
      </c>
      <c r="L4384" s="2" t="inlineStr"/>
      <c r="M4384" t="inlineStr"/>
      <c r="N4384" t="inlineStr">
        <is>
          <t>20241011800048</t>
        </is>
      </c>
      <c r="O4384">
        <f>HYPERLINK("https://dart.fss.or.kr/dsaf001/main.do?rcpNo=20241011800048", "공시열람")</f>
        <v/>
      </c>
    </row>
    <row r="4385">
      <c r="A4385" t="inlineStr">
        <is>
          <t>2024-10-11</t>
        </is>
      </c>
      <c r="B4385" t="inlineStr">
        <is>
          <t>이마트</t>
        </is>
      </c>
      <c r="C4385" t="inlineStr">
        <is>
          <t>139480</t>
        </is>
      </c>
      <c r="D4385" t="inlineStr">
        <is>
          <t>별도</t>
        </is>
      </c>
      <c r="E4385" t="inlineStr">
        <is>
          <t>2024Q3</t>
        </is>
      </c>
      <c r="F4385" s="2" t="n">
        <v>1496300</v>
      </c>
      <c r="G4385" t="n">
        <v>0.3</v>
      </c>
      <c r="H4385" t="n">
        <v>2.6</v>
      </c>
      <c r="I4385" s="2" t="inlineStr"/>
      <c r="J4385" t="inlineStr"/>
      <c r="K4385" t="inlineStr"/>
      <c r="L4385" s="2" t="inlineStr"/>
      <c r="M4385" t="inlineStr"/>
      <c r="N4385" t="inlineStr">
        <is>
          <t>20241011800184</t>
        </is>
      </c>
      <c r="O4385">
        <f>HYPERLINK("https://dart.fss.or.kr/dsaf001/main.do?rcpNo=20241011800184", "공시열람")</f>
        <v/>
      </c>
    </row>
    <row r="4386">
      <c r="A4386" t="inlineStr">
        <is>
          <t>2024-10-11</t>
        </is>
      </c>
      <c r="B4386" t="inlineStr">
        <is>
          <t>서울바이오시스</t>
        </is>
      </c>
      <c r="C4386" t="inlineStr">
        <is>
          <t>092190</t>
        </is>
      </c>
      <c r="D4386" t="inlineStr">
        <is>
          <t>연결</t>
        </is>
      </c>
      <c r="E4386" t="inlineStr">
        <is>
          <t>2024Q3</t>
        </is>
      </c>
      <c r="F4386" s="2" t="n">
        <v>184299</v>
      </c>
      <c r="G4386" t="inlineStr"/>
      <c r="H4386" t="inlineStr"/>
      <c r="I4386" s="2" t="inlineStr"/>
      <c r="J4386" t="inlineStr"/>
      <c r="K4386" t="inlineStr"/>
      <c r="L4386" s="2" t="inlineStr"/>
      <c r="M4386" t="inlineStr"/>
      <c r="N4386" t="inlineStr">
        <is>
          <t>20241011900310</t>
        </is>
      </c>
      <c r="O4386">
        <f>HYPERLINK("https://dart.fss.or.kr/dsaf001/main.do?rcpNo=20241011900310", "공시열람")</f>
        <v/>
      </c>
    </row>
    <row r="4387">
      <c r="A4387" t="inlineStr">
        <is>
          <t>2024-10-11</t>
        </is>
      </c>
      <c r="B4387" t="inlineStr">
        <is>
          <t>서울반도체</t>
        </is>
      </c>
      <c r="C4387" t="inlineStr">
        <is>
          <t>046890</t>
        </is>
      </c>
      <c r="D4387" t="inlineStr">
        <is>
          <t>연결</t>
        </is>
      </c>
      <c r="E4387" t="inlineStr">
        <is>
          <t>2024Q3</t>
        </is>
      </c>
      <c r="F4387" s="2" t="n">
        <v>302250</v>
      </c>
      <c r="G4387" t="inlineStr"/>
      <c r="H4387" t="inlineStr"/>
      <c r="I4387" s="2" t="inlineStr"/>
      <c r="J4387" t="inlineStr"/>
      <c r="K4387" t="inlineStr"/>
      <c r="L4387" s="2" t="inlineStr"/>
      <c r="M4387" t="inlineStr"/>
      <c r="N4387" t="inlineStr">
        <is>
          <t>20241011900321</t>
        </is>
      </c>
      <c r="O4387">
        <f>HYPERLINK("https://dart.fss.or.kr/dsaf001/main.do?rcpNo=20241011900321", "공시열람")</f>
        <v/>
      </c>
    </row>
    <row r="4388">
      <c r="A4388" t="inlineStr">
        <is>
          <t>2024-10-11</t>
        </is>
      </c>
      <c r="B4388" t="inlineStr">
        <is>
          <t>테크윙</t>
        </is>
      </c>
      <c r="C4388" t="inlineStr">
        <is>
          <t>089030</t>
        </is>
      </c>
      <c r="D4388" t="inlineStr">
        <is>
          <t>연결</t>
        </is>
      </c>
      <c r="E4388" t="inlineStr">
        <is>
          <t>2024Q3</t>
        </is>
      </c>
      <c r="F4388" s="2" t="n">
        <v>46722</v>
      </c>
      <c r="G4388" t="inlineStr"/>
      <c r="H4388" t="inlineStr"/>
      <c r="I4388" s="2" t="n">
        <v>6177</v>
      </c>
      <c r="J4388" t="inlineStr"/>
      <c r="K4388" t="inlineStr"/>
      <c r="L4388" s="2" t="inlineStr"/>
      <c r="M4388" t="inlineStr"/>
      <c r="N4388" t="inlineStr">
        <is>
          <t>20241011900162</t>
        </is>
      </c>
      <c r="O4388">
        <f>HYPERLINK("https://dart.fss.or.kr/dsaf001/main.do?rcpNo=20241011900162", "공시열람")</f>
        <v/>
      </c>
    </row>
    <row r="4389">
      <c r="A4389" t="inlineStr">
        <is>
          <t>2024-10-10</t>
        </is>
      </c>
      <c r="B4389" t="inlineStr">
        <is>
          <t>광주신세계</t>
        </is>
      </c>
      <c r="C4389" t="inlineStr">
        <is>
          <t>037710</t>
        </is>
      </c>
      <c r="D4389" t="inlineStr">
        <is>
          <t>별도</t>
        </is>
      </c>
      <c r="E4389" t="inlineStr">
        <is>
          <t>2024Q3</t>
        </is>
      </c>
      <c r="F4389" s="2" t="n">
        <v>16446</v>
      </c>
      <c r="G4389" t="n">
        <v>21.8</v>
      </c>
      <c r="H4389" t="n">
        <v>4.5</v>
      </c>
      <c r="I4389" s="2" t="inlineStr"/>
      <c r="J4389" t="inlineStr"/>
      <c r="K4389" t="inlineStr"/>
      <c r="L4389" s="2" t="inlineStr"/>
      <c r="M4389" t="inlineStr"/>
      <c r="N4389" t="inlineStr">
        <is>
          <t>20241010800589</t>
        </is>
      </c>
      <c r="O4389">
        <f>HYPERLINK("https://dart.fss.or.kr/dsaf001/main.do?rcpNo=20241010800589", "공시열람")</f>
        <v/>
      </c>
    </row>
    <row r="4390">
      <c r="A4390" t="inlineStr">
        <is>
          <t>2024-10-10</t>
        </is>
      </c>
      <c r="B4390" t="inlineStr">
        <is>
          <t>신세계</t>
        </is>
      </c>
      <c r="C4390" t="inlineStr">
        <is>
          <t>004170</t>
        </is>
      </c>
      <c r="D4390" t="inlineStr">
        <is>
          <t>별도</t>
        </is>
      </c>
      <c r="E4390" t="inlineStr">
        <is>
          <t>2024Q3</t>
        </is>
      </c>
      <c r="F4390" s="2" t="n">
        <v>173845</v>
      </c>
      <c r="G4390" t="n">
        <v>18.69</v>
      </c>
      <c r="H4390" t="n">
        <v>1.19</v>
      </c>
      <c r="I4390" s="2" t="inlineStr"/>
      <c r="J4390" t="inlineStr"/>
      <c r="K4390" t="inlineStr"/>
      <c r="L4390" s="2" t="inlineStr"/>
      <c r="M4390" t="inlineStr"/>
      <c r="N4390" t="inlineStr">
        <is>
          <t>20241010800415</t>
        </is>
      </c>
      <c r="O4390">
        <f>HYPERLINK("https://dart.fss.or.kr/dsaf001/main.do?rcpNo=20241010800415", "공시열람")</f>
        <v/>
      </c>
    </row>
    <row r="4391">
      <c r="A4391" t="inlineStr">
        <is>
          <t>2024-10-08</t>
        </is>
      </c>
      <c r="B4391" t="inlineStr">
        <is>
          <t>LG전자</t>
        </is>
      </c>
      <c r="C4391" t="inlineStr">
        <is>
          <t>066570</t>
        </is>
      </c>
      <c r="D4391" t="inlineStr">
        <is>
          <t>연결</t>
        </is>
      </c>
      <c r="E4391" t="inlineStr">
        <is>
          <t>2024Q3</t>
        </is>
      </c>
      <c r="F4391" s="2" t="n">
        <v>22176900</v>
      </c>
      <c r="G4391" t="inlineStr"/>
      <c r="H4391" t="inlineStr"/>
      <c r="I4391" s="2" t="n">
        <v>751100</v>
      </c>
      <c r="J4391" t="inlineStr"/>
      <c r="K4391" t="inlineStr"/>
      <c r="L4391" s="2" t="inlineStr"/>
      <c r="M4391" t="inlineStr"/>
      <c r="N4391" t="inlineStr">
        <is>
          <t>20241008800153</t>
        </is>
      </c>
      <c r="O4391">
        <f>HYPERLINK("https://dart.fss.or.kr/dsaf001/main.do?rcpNo=20241008800153", "공시열람")</f>
        <v/>
      </c>
    </row>
    <row r="4392">
      <c r="A4392" t="inlineStr">
        <is>
          <t>2024-10-08</t>
        </is>
      </c>
      <c r="B4392" t="inlineStr">
        <is>
          <t>삼성전자</t>
        </is>
      </c>
      <c r="C4392" t="inlineStr">
        <is>
          <t>005930</t>
        </is>
      </c>
      <c r="D4392" t="inlineStr">
        <is>
          <t>연결</t>
        </is>
      </c>
      <c r="E4392" t="inlineStr">
        <is>
          <t>2024Q3</t>
        </is>
      </c>
      <c r="F4392" s="2" t="n">
        <v>79</v>
      </c>
      <c r="G4392" t="n">
        <v>6.66</v>
      </c>
      <c r="H4392" t="n">
        <v>17.21</v>
      </c>
      <c r="I4392" s="2" t="n">
        <v>9</v>
      </c>
      <c r="J4392" t="n">
        <v>-12.84</v>
      </c>
      <c r="K4392" t="n">
        <v>274.49</v>
      </c>
      <c r="L4392" s="2" t="inlineStr"/>
      <c r="M4392" t="inlineStr"/>
      <c r="N4392" t="inlineStr">
        <is>
          <t>20241008800067</t>
        </is>
      </c>
      <c r="O4392">
        <f>HYPERLINK("https://dart.fss.or.kr/dsaf001/main.do?rcpNo=20241008800067", "공시열람")</f>
        <v/>
      </c>
    </row>
    <row r="4393">
      <c r="A4393" t="inlineStr">
        <is>
          <t>2024-10-08</t>
        </is>
      </c>
      <c r="B4393" t="inlineStr">
        <is>
          <t>LG에너지솔루션</t>
        </is>
      </c>
      <c r="C4393" t="inlineStr">
        <is>
          <t>373220</t>
        </is>
      </c>
      <c r="D4393" t="inlineStr">
        <is>
          <t>연결</t>
        </is>
      </c>
      <c r="E4393" t="inlineStr">
        <is>
          <t>2024Q3</t>
        </is>
      </c>
      <c r="F4393" s="2" t="n">
        <v>6877800</v>
      </c>
      <c r="G4393" t="n">
        <v>11.6</v>
      </c>
      <c r="H4393" t="n">
        <v>-16.4</v>
      </c>
      <c r="I4393" s="2" t="n">
        <v>448300</v>
      </c>
      <c r="J4393" t="n">
        <v>129.5</v>
      </c>
      <c r="K4393" t="n">
        <v>-38.7</v>
      </c>
      <c r="L4393" s="2" t="inlineStr"/>
      <c r="M4393" t="inlineStr"/>
      <c r="N4393" t="inlineStr">
        <is>
          <t>20241008800150</t>
        </is>
      </c>
      <c r="O4393">
        <f>HYPERLINK("https://dart.fss.or.kr/dsaf001/main.do?rcpNo=20241008800150", "공시열람")</f>
        <v/>
      </c>
    </row>
    <row r="4394">
      <c r="A4394" t="inlineStr">
        <is>
          <t>2024-10-04</t>
        </is>
      </c>
      <c r="B4394" t="inlineStr">
        <is>
          <t>GKL</t>
        </is>
      </c>
      <c r="C4394" t="inlineStr">
        <is>
          <t>114090</t>
        </is>
      </c>
      <c r="D4394" t="inlineStr">
        <is>
          <t>별도</t>
        </is>
      </c>
      <c r="E4394" t="inlineStr">
        <is>
          <t>2024Q3</t>
        </is>
      </c>
      <c r="F4394" s="2" t="inlineStr"/>
      <c r="G4394" t="inlineStr"/>
      <c r="H4394" t="inlineStr"/>
      <c r="I4394" s="2" t="inlineStr"/>
      <c r="J4394" t="inlineStr"/>
      <c r="K4394" t="inlineStr"/>
      <c r="L4394" s="2" t="inlineStr"/>
      <c r="M4394" t="inlineStr"/>
      <c r="N4394" t="inlineStr">
        <is>
          <t>20241004800101</t>
        </is>
      </c>
      <c r="O4394">
        <f>HYPERLINK("https://dart.fss.or.kr/dsaf001/main.do?rcpNo=20241004800101", "공시열람")</f>
        <v/>
      </c>
    </row>
    <row r="4395">
      <c r="A4395" t="inlineStr">
        <is>
          <t>2024-10-02</t>
        </is>
      </c>
      <c r="B4395" t="inlineStr">
        <is>
          <t>파라다이스</t>
        </is>
      </c>
      <c r="C4395" t="inlineStr">
        <is>
          <t>034230</t>
        </is>
      </c>
      <c r="D4395" t="inlineStr">
        <is>
          <t>연결</t>
        </is>
      </c>
      <c r="E4395" t="inlineStr">
        <is>
          <t>2024Q3</t>
        </is>
      </c>
      <c r="F4395" s="2" t="inlineStr"/>
      <c r="G4395" t="inlineStr"/>
      <c r="H4395" t="inlineStr"/>
      <c r="I4395" s="2" t="inlineStr"/>
      <c r="J4395" t="inlineStr"/>
      <c r="K4395" t="inlineStr"/>
      <c r="L4395" s="2" t="inlineStr"/>
      <c r="M4395" t="inlineStr"/>
      <c r="N4395" t="inlineStr">
        <is>
          <t>20241002800667</t>
        </is>
      </c>
      <c r="O4395">
        <f>HYPERLINK("https://dart.fss.or.kr/dsaf001/main.do?rcpNo=20241002800667", "공시열람")</f>
        <v/>
      </c>
    </row>
    <row r="4396">
      <c r="A4396" t="inlineStr">
        <is>
          <t>2024-10-02</t>
        </is>
      </c>
      <c r="B4396" t="inlineStr">
        <is>
          <t>파라다이스</t>
        </is>
      </c>
      <c r="C4396" t="inlineStr">
        <is>
          <t>034230</t>
        </is>
      </c>
      <c r="D4396" t="inlineStr">
        <is>
          <t>연결</t>
        </is>
      </c>
      <c r="E4396" t="inlineStr">
        <is>
          <t>2024Q3</t>
        </is>
      </c>
      <c r="F4396" s="2" t="inlineStr"/>
      <c r="G4396" t="inlineStr"/>
      <c r="H4396" t="inlineStr"/>
      <c r="I4396" s="2" t="inlineStr"/>
      <c r="J4396" t="inlineStr"/>
      <c r="K4396" t="inlineStr"/>
      <c r="L4396" s="2" t="inlineStr"/>
      <c r="M4396" t="inlineStr"/>
      <c r="N4396" t="inlineStr">
        <is>
          <t>20241002800663</t>
        </is>
      </c>
      <c r="O4396">
        <f>HYPERLINK("https://dart.fss.or.kr/dsaf001/main.do?rcpNo=20241002800663", "공시열람")</f>
        <v/>
      </c>
    </row>
    <row r="4397">
      <c r="A4397" t="inlineStr">
        <is>
          <t>2024-10-02</t>
        </is>
      </c>
      <c r="B4397" t="inlineStr">
        <is>
          <t>기아</t>
        </is>
      </c>
      <c r="C4397" t="inlineStr">
        <is>
          <t>000270</t>
        </is>
      </c>
      <c r="D4397" t="inlineStr">
        <is>
          <t>별도</t>
        </is>
      </c>
      <c r="E4397" t="inlineStr">
        <is>
          <t>2024Q3</t>
        </is>
      </c>
      <c r="F4397" s="2" t="inlineStr"/>
      <c r="G4397" t="inlineStr"/>
      <c r="H4397" t="inlineStr"/>
      <c r="I4397" s="2" t="inlineStr"/>
      <c r="J4397" t="inlineStr"/>
      <c r="K4397" t="inlineStr"/>
      <c r="L4397" s="2" t="inlineStr"/>
      <c r="M4397" t="inlineStr"/>
      <c r="N4397" t="inlineStr">
        <is>
          <t>20241002800390</t>
        </is>
      </c>
      <c r="O4397">
        <f>HYPERLINK("https://dart.fss.or.kr/dsaf001/main.do?rcpNo=20241002800390", "공시열람")</f>
        <v/>
      </c>
    </row>
    <row r="4398">
      <c r="A4398" t="inlineStr">
        <is>
          <t>2024-10-02</t>
        </is>
      </c>
      <c r="B4398" t="inlineStr">
        <is>
          <t>롯데관광개발</t>
        </is>
      </c>
      <c r="C4398" t="inlineStr">
        <is>
          <t>032350</t>
        </is>
      </c>
      <c r="D4398" t="inlineStr">
        <is>
          <t>연결</t>
        </is>
      </c>
      <c r="E4398" t="inlineStr">
        <is>
          <t>2024Q3</t>
        </is>
      </c>
      <c r="F4398" s="2" t="inlineStr"/>
      <c r="G4398" t="inlineStr"/>
      <c r="H4398" t="inlineStr"/>
      <c r="I4398" s="2" t="inlineStr"/>
      <c r="J4398" t="inlineStr"/>
      <c r="K4398" t="inlineStr"/>
      <c r="L4398" s="2" t="inlineStr"/>
      <c r="M4398" t="inlineStr"/>
      <c r="N4398" t="inlineStr">
        <is>
          <t>20241002800377</t>
        </is>
      </c>
      <c r="O4398">
        <f>HYPERLINK("https://dart.fss.or.kr/dsaf001/main.do?rcpNo=20241002800377", "공시열람")</f>
        <v/>
      </c>
    </row>
    <row r="4399">
      <c r="A4399" t="inlineStr">
        <is>
          <t>2024-10-02</t>
        </is>
      </c>
      <c r="B4399" t="inlineStr">
        <is>
          <t>KG모빌리티</t>
        </is>
      </c>
      <c r="C4399" t="inlineStr">
        <is>
          <t>003620</t>
        </is>
      </c>
      <c r="D4399" t="inlineStr">
        <is>
          <t>별도</t>
        </is>
      </c>
      <c r="E4399" t="inlineStr">
        <is>
          <t>2024Q3</t>
        </is>
      </c>
      <c r="F4399" s="2" t="inlineStr"/>
      <c r="G4399" t="inlineStr"/>
      <c r="H4399" t="inlineStr"/>
      <c r="I4399" s="2" t="inlineStr"/>
      <c r="J4399" t="inlineStr"/>
      <c r="K4399" t="inlineStr"/>
      <c r="L4399" s="2" t="inlineStr"/>
      <c r="M4399" t="inlineStr"/>
      <c r="N4399" t="inlineStr">
        <is>
          <t>20241002800316</t>
        </is>
      </c>
      <c r="O4399">
        <f>HYPERLINK("https://dart.fss.or.kr/dsaf001/main.do?rcpNo=20241002800316", "공시열람")</f>
        <v/>
      </c>
    </row>
    <row r="4400">
      <c r="A4400" t="inlineStr">
        <is>
          <t>2024-10-02</t>
        </is>
      </c>
      <c r="B4400" t="inlineStr">
        <is>
          <t>현대자동차</t>
        </is>
      </c>
      <c r="C4400" t="inlineStr">
        <is>
          <t>005380</t>
        </is>
      </c>
      <c r="D4400" t="inlineStr">
        <is>
          <t>별도</t>
        </is>
      </c>
      <c r="E4400" t="inlineStr">
        <is>
          <t>2024Q3</t>
        </is>
      </c>
      <c r="F4400" s="2" t="inlineStr"/>
      <c r="G4400" t="inlineStr"/>
      <c r="H4400" t="inlineStr"/>
      <c r="I4400" s="2" t="inlineStr"/>
      <c r="J4400" t="inlineStr"/>
      <c r="K4400" t="inlineStr"/>
      <c r="L4400" s="2" t="inlineStr"/>
      <c r="M4400" t="inlineStr"/>
      <c r="N4400" t="inlineStr">
        <is>
          <t>20241002800388</t>
        </is>
      </c>
      <c r="O4400">
        <f>HYPERLINK("https://dart.fss.or.kr/dsaf001/main.do?rcpNo=20241002800388", "공시열람")</f>
        <v/>
      </c>
    </row>
    <row r="4401">
      <c r="A4401" t="inlineStr">
        <is>
          <t>2024-09-24</t>
        </is>
      </c>
      <c r="B4401" t="inlineStr">
        <is>
          <t>오리온</t>
        </is>
      </c>
      <c r="C4401" t="inlineStr">
        <is>
          <t>271560</t>
        </is>
      </c>
      <c r="D4401" t="inlineStr">
        <is>
          <t>연결</t>
        </is>
      </c>
      <c r="E4401" t="inlineStr">
        <is>
          <t>2024Q2</t>
        </is>
      </c>
      <c r="F4401" s="2" t="inlineStr"/>
      <c r="G4401" t="inlineStr"/>
      <c r="H4401" t="inlineStr"/>
      <c r="I4401" s="2" t="inlineStr"/>
      <c r="J4401" t="inlineStr"/>
      <c r="K4401" t="inlineStr"/>
      <c r="L4401" s="2" t="inlineStr"/>
      <c r="M4401" t="inlineStr"/>
      <c r="N4401" t="inlineStr">
        <is>
          <t>20240924800072</t>
        </is>
      </c>
      <c r="O4401">
        <f>HYPERLINK("https://dart.fss.or.kr/dsaf001/main.do?rcpNo=20240924800072", "공시열람")</f>
        <v/>
      </c>
    </row>
    <row r="4402">
      <c r="A4402" t="inlineStr">
        <is>
          <t>2024-09-20</t>
        </is>
      </c>
      <c r="B4402" t="inlineStr">
        <is>
          <t>지역난방공사</t>
        </is>
      </c>
      <c r="C4402" t="inlineStr">
        <is>
          <t>071320</t>
        </is>
      </c>
      <c r="D4402" t="inlineStr">
        <is>
          <t>별도</t>
        </is>
      </c>
      <c r="E4402" t="inlineStr">
        <is>
          <t>2024Q2</t>
        </is>
      </c>
      <c r="F4402" s="2" t="inlineStr"/>
      <c r="G4402" t="inlineStr"/>
      <c r="H4402" t="inlineStr"/>
      <c r="I4402" s="2" t="inlineStr"/>
      <c r="J4402" t="inlineStr"/>
      <c r="K4402" t="inlineStr"/>
      <c r="L4402" s="2" t="inlineStr"/>
      <c r="M4402" t="inlineStr"/>
      <c r="N4402" t="inlineStr">
        <is>
          <t>20240920800253</t>
        </is>
      </c>
      <c r="O4402">
        <f>HYPERLINK("https://dart.fss.or.kr/dsaf001/main.do?rcpNo=20240920800253", "공시열람")</f>
        <v/>
      </c>
    </row>
    <row r="4403">
      <c r="A4403" t="inlineStr">
        <is>
          <t>2024-09-13</t>
        </is>
      </c>
      <c r="B4403" t="inlineStr">
        <is>
          <t>HD한국조선해양</t>
        </is>
      </c>
      <c r="C4403" t="inlineStr">
        <is>
          <t>009540</t>
        </is>
      </c>
      <c r="D4403" t="inlineStr">
        <is>
          <t>별도</t>
        </is>
      </c>
      <c r="E4403" t="inlineStr">
        <is>
          <t>2024Q2</t>
        </is>
      </c>
      <c r="F4403" s="2" t="n">
        <v>577502</v>
      </c>
      <c r="G4403" t="n">
        <v>11.23</v>
      </c>
      <c r="H4403" t="n">
        <v>35.42</v>
      </c>
      <c r="I4403" s="2" t="inlineStr"/>
      <c r="J4403" t="inlineStr"/>
      <c r="K4403" t="inlineStr"/>
      <c r="L4403" s="2" t="inlineStr"/>
      <c r="M4403" t="inlineStr"/>
      <c r="N4403" t="inlineStr">
        <is>
          <t>20240913800338</t>
        </is>
      </c>
      <c r="O4403">
        <f>HYPERLINK("https://dart.fss.or.kr/dsaf001/main.do?rcpNo=20240913800338", "공시열람")</f>
        <v/>
      </c>
    </row>
    <row r="4404">
      <c r="A4404" t="inlineStr">
        <is>
          <t>2024-09-13</t>
        </is>
      </c>
      <c r="B4404" t="inlineStr">
        <is>
          <t>HD현대중공업</t>
        </is>
      </c>
      <c r="C4404" t="inlineStr">
        <is>
          <t>329180</t>
        </is>
      </c>
      <c r="D4404" t="inlineStr">
        <is>
          <t>별도</t>
        </is>
      </c>
      <c r="E4404" t="inlineStr">
        <is>
          <t>2024Q2</t>
        </is>
      </c>
      <c r="F4404" s="2" t="n">
        <v>1145118</v>
      </c>
      <c r="G4404" t="n">
        <v>-6.85</v>
      </c>
      <c r="H4404" t="n">
        <v>23.78</v>
      </c>
      <c r="I4404" s="2" t="inlineStr"/>
      <c r="J4404" t="inlineStr"/>
      <c r="K4404" t="inlineStr"/>
      <c r="L4404" s="2" t="inlineStr"/>
      <c r="M4404" t="inlineStr"/>
      <c r="N4404" t="inlineStr">
        <is>
          <t>20240913800334</t>
        </is>
      </c>
      <c r="O4404">
        <f>HYPERLINK("https://dart.fss.or.kr/dsaf001/main.do?rcpNo=20240913800334", "공시열람")</f>
        <v/>
      </c>
    </row>
    <row r="4405">
      <c r="A4405" t="inlineStr">
        <is>
          <t>2024-09-13</t>
        </is>
      </c>
      <c r="B4405" t="inlineStr">
        <is>
          <t>한국가스공사</t>
        </is>
      </c>
      <c r="C4405" t="inlineStr">
        <is>
          <t>036460</t>
        </is>
      </c>
      <c r="D4405" t="inlineStr">
        <is>
          <t>별도</t>
        </is>
      </c>
      <c r="E4405" t="inlineStr">
        <is>
          <t>2024Q2</t>
        </is>
      </c>
      <c r="F4405" s="2" t="inlineStr"/>
      <c r="G4405" t="inlineStr"/>
      <c r="H4405" t="inlineStr"/>
      <c r="I4405" s="2" t="inlineStr"/>
      <c r="J4405" t="inlineStr"/>
      <c r="K4405" t="inlineStr"/>
      <c r="L4405" s="2" t="inlineStr"/>
      <c r="M4405" t="inlineStr"/>
      <c r="N4405" t="inlineStr">
        <is>
          <t>20240913800217</t>
        </is>
      </c>
      <c r="O4405">
        <f>HYPERLINK("https://dart.fss.or.kr/dsaf001/main.do?rcpNo=20240913800217", "공시열람")</f>
        <v/>
      </c>
    </row>
    <row r="4406">
      <c r="A4406" t="inlineStr">
        <is>
          <t>2024-09-06</t>
        </is>
      </c>
      <c r="B4406" t="inlineStr">
        <is>
          <t>광주신세계</t>
        </is>
      </c>
      <c r="C4406" t="inlineStr">
        <is>
          <t>037710</t>
        </is>
      </c>
      <c r="D4406" t="inlineStr">
        <is>
          <t>별도</t>
        </is>
      </c>
      <c r="E4406" t="inlineStr">
        <is>
          <t>2024Q2</t>
        </is>
      </c>
      <c r="F4406" s="2" t="n">
        <v>13503</v>
      </c>
      <c r="G4406" t="n">
        <v>3</v>
      </c>
      <c r="H4406" t="n">
        <v>11</v>
      </c>
      <c r="I4406" s="2" t="inlineStr"/>
      <c r="J4406" t="inlineStr"/>
      <c r="K4406" t="inlineStr"/>
      <c r="L4406" s="2" t="inlineStr"/>
      <c r="M4406" t="inlineStr"/>
      <c r="N4406" t="inlineStr">
        <is>
          <t>20240906800404</t>
        </is>
      </c>
      <c r="O4406">
        <f>HYPERLINK("https://dart.fss.or.kr/dsaf001/main.do?rcpNo=20240906800404", "공시열람")</f>
        <v/>
      </c>
    </row>
    <row r="4407">
      <c r="A4407" t="inlineStr">
        <is>
          <t>2024-09-06</t>
        </is>
      </c>
      <c r="B4407" t="inlineStr">
        <is>
          <t>신세계</t>
        </is>
      </c>
      <c r="C4407" t="inlineStr">
        <is>
          <t>004170</t>
        </is>
      </c>
      <c r="D4407" t="inlineStr">
        <is>
          <t>별도</t>
        </is>
      </c>
      <c r="E4407" t="inlineStr">
        <is>
          <t>2024Q2</t>
        </is>
      </c>
      <c r="F4407" s="2" t="n">
        <v>146469</v>
      </c>
      <c r="G4407" t="n">
        <v>0.55</v>
      </c>
      <c r="H4407" t="n">
        <v>6.72</v>
      </c>
      <c r="I4407" s="2" t="inlineStr"/>
      <c r="J4407" t="inlineStr"/>
      <c r="K4407" t="inlineStr"/>
      <c r="L4407" s="2" t="inlineStr"/>
      <c r="M4407" t="inlineStr"/>
      <c r="N4407" t="inlineStr">
        <is>
          <t>20240906800338</t>
        </is>
      </c>
      <c r="O4407">
        <f>HYPERLINK("https://dart.fss.or.kr/dsaf001/main.do?rcpNo=20240906800338", "공시열람")</f>
        <v/>
      </c>
    </row>
    <row r="4408">
      <c r="A4408" t="inlineStr">
        <is>
          <t>2024-09-02</t>
        </is>
      </c>
      <c r="B4408" t="inlineStr">
        <is>
          <t>기아</t>
        </is>
      </c>
      <c r="C4408" t="inlineStr">
        <is>
          <t>000270</t>
        </is>
      </c>
      <c r="D4408" t="inlineStr">
        <is>
          <t>별도</t>
        </is>
      </c>
      <c r="E4408" t="inlineStr">
        <is>
          <t>2024Q2</t>
        </is>
      </c>
      <c r="F4408" s="2" t="inlineStr"/>
      <c r="G4408" t="inlineStr"/>
      <c r="H4408" t="inlineStr"/>
      <c r="I4408" s="2" t="inlineStr"/>
      <c r="J4408" t="inlineStr"/>
      <c r="K4408" t="inlineStr"/>
      <c r="L4408" s="2" t="inlineStr"/>
      <c r="M4408" t="inlineStr"/>
      <c r="N4408" t="inlineStr">
        <is>
          <t>20240902800543</t>
        </is>
      </c>
      <c r="O4408">
        <f>HYPERLINK("https://dart.fss.or.kr/dsaf001/main.do?rcpNo=20240902800543", "공시열람")</f>
        <v/>
      </c>
    </row>
    <row r="4409">
      <c r="A4409" t="inlineStr">
        <is>
          <t>2024-09-02</t>
        </is>
      </c>
      <c r="B4409" t="inlineStr">
        <is>
          <t>롯데관광개발</t>
        </is>
      </c>
      <c r="C4409" t="inlineStr">
        <is>
          <t>032350</t>
        </is>
      </c>
      <c r="D4409" t="inlineStr">
        <is>
          <t>연결</t>
        </is>
      </c>
      <c r="E4409" t="inlineStr">
        <is>
          <t>2024Q2</t>
        </is>
      </c>
      <c r="F4409" s="2" t="inlineStr"/>
      <c r="G4409" t="inlineStr"/>
      <c r="H4409" t="inlineStr"/>
      <c r="I4409" s="2" t="inlineStr"/>
      <c r="J4409" t="inlineStr"/>
      <c r="K4409" t="inlineStr"/>
      <c r="L4409" s="2" t="inlineStr"/>
      <c r="M4409" t="inlineStr"/>
      <c r="N4409" t="inlineStr">
        <is>
          <t>20240902800497</t>
        </is>
      </c>
      <c r="O4409">
        <f>HYPERLINK("https://dart.fss.or.kr/dsaf001/main.do?rcpNo=20240902800497", "공시열람")</f>
        <v/>
      </c>
    </row>
    <row r="4410">
      <c r="A4410" t="inlineStr">
        <is>
          <t>2024-09-02</t>
        </is>
      </c>
      <c r="B4410" t="inlineStr">
        <is>
          <t>KG모빌리티</t>
        </is>
      </c>
      <c r="C4410" t="inlineStr">
        <is>
          <t>003620</t>
        </is>
      </c>
      <c r="D4410" t="inlineStr">
        <is>
          <t>별도</t>
        </is>
      </c>
      <c r="E4410" t="inlineStr">
        <is>
          <t>2024Q2</t>
        </is>
      </c>
      <c r="F4410" s="2" t="inlineStr"/>
      <c r="G4410" t="inlineStr"/>
      <c r="H4410" t="inlineStr"/>
      <c r="I4410" s="2" t="inlineStr"/>
      <c r="J4410" t="inlineStr"/>
      <c r="K4410" t="inlineStr"/>
      <c r="L4410" s="2" t="inlineStr"/>
      <c r="M4410" t="inlineStr"/>
      <c r="N4410" t="inlineStr">
        <is>
          <t>20240902800455</t>
        </is>
      </c>
      <c r="O4410">
        <f>HYPERLINK("https://dart.fss.or.kr/dsaf001/main.do?rcpNo=20240902800455", "공시열람")</f>
        <v/>
      </c>
    </row>
    <row r="4411">
      <c r="A4411" t="inlineStr">
        <is>
          <t>2024-09-02</t>
        </is>
      </c>
      <c r="B4411" t="inlineStr">
        <is>
          <t>GKL</t>
        </is>
      </c>
      <c r="C4411" t="inlineStr">
        <is>
          <t>114090</t>
        </is>
      </c>
      <c r="D4411" t="inlineStr">
        <is>
          <t>별도</t>
        </is>
      </c>
      <c r="E4411" t="inlineStr">
        <is>
          <t>2024Q2</t>
        </is>
      </c>
      <c r="F4411" s="2" t="inlineStr"/>
      <c r="G4411" t="inlineStr"/>
      <c r="H4411" t="inlineStr"/>
      <c r="I4411" s="2" t="inlineStr"/>
      <c r="J4411" t="inlineStr"/>
      <c r="K4411" t="inlineStr"/>
      <c r="L4411" s="2" t="inlineStr"/>
      <c r="M4411" t="inlineStr"/>
      <c r="N4411" t="inlineStr">
        <is>
          <t>20240902800433</t>
        </is>
      </c>
      <c r="O4411">
        <f>HYPERLINK("https://dart.fss.or.kr/dsaf001/main.do?rcpNo=20240902800433", "공시열람")</f>
        <v/>
      </c>
    </row>
    <row r="4412">
      <c r="A4412" t="inlineStr">
        <is>
          <t>2024-09-02</t>
        </is>
      </c>
      <c r="B4412" t="inlineStr">
        <is>
          <t>파라다이스</t>
        </is>
      </c>
      <c r="C4412" t="inlineStr">
        <is>
          <t>034230</t>
        </is>
      </c>
      <c r="D4412" t="inlineStr">
        <is>
          <t>연결</t>
        </is>
      </c>
      <c r="E4412" t="inlineStr">
        <is>
          <t>2024Q2</t>
        </is>
      </c>
      <c r="F4412" s="2" t="inlineStr"/>
      <c r="G4412" t="inlineStr"/>
      <c r="H4412" t="inlineStr"/>
      <c r="I4412" s="2" t="inlineStr"/>
      <c r="J4412" t="inlineStr"/>
      <c r="K4412" t="inlineStr"/>
      <c r="L4412" s="2" t="inlineStr"/>
      <c r="M4412" t="inlineStr"/>
      <c r="N4412" t="inlineStr">
        <is>
          <t>20240902800374</t>
        </is>
      </c>
      <c r="O4412">
        <f>HYPERLINK("https://dart.fss.or.kr/dsaf001/main.do?rcpNo=20240902800374", "공시열람")</f>
        <v/>
      </c>
    </row>
    <row r="4413">
      <c r="A4413" t="inlineStr">
        <is>
          <t>2024-09-02</t>
        </is>
      </c>
      <c r="B4413" t="inlineStr">
        <is>
          <t>현대자동차</t>
        </is>
      </c>
      <c r="C4413" t="inlineStr">
        <is>
          <t>005380</t>
        </is>
      </c>
      <c r="D4413" t="inlineStr">
        <is>
          <t>별도</t>
        </is>
      </c>
      <c r="E4413" t="inlineStr">
        <is>
          <t>2024Q2</t>
        </is>
      </c>
      <c r="F4413" s="2" t="inlineStr"/>
      <c r="G4413" t="inlineStr"/>
      <c r="H4413" t="inlineStr"/>
      <c r="I4413" s="2" t="inlineStr"/>
      <c r="J4413" t="inlineStr"/>
      <c r="K4413" t="inlineStr"/>
      <c r="L4413" s="2" t="inlineStr"/>
      <c r="M4413" t="inlineStr"/>
      <c r="N4413" t="inlineStr">
        <is>
          <t>20240902800522</t>
        </is>
      </c>
      <c r="O4413">
        <f>HYPERLINK("https://dart.fss.or.kr/dsaf001/main.do?rcpNo=20240902800522", "공시열람")</f>
        <v/>
      </c>
    </row>
    <row r="4414">
      <c r="A4414" t="inlineStr">
        <is>
          <t>2024-08-23</t>
        </is>
      </c>
      <c r="B4414" t="inlineStr">
        <is>
          <t>지역난방공사</t>
        </is>
      </c>
      <c r="C4414" t="inlineStr">
        <is>
          <t>071320</t>
        </is>
      </c>
      <c r="D4414" t="inlineStr">
        <is>
          <t>별도</t>
        </is>
      </c>
      <c r="E4414" t="inlineStr">
        <is>
          <t>2024Q2</t>
        </is>
      </c>
      <c r="F4414" s="2" t="inlineStr"/>
      <c r="G4414" t="inlineStr"/>
      <c r="H4414" t="inlineStr"/>
      <c r="I4414" s="2" t="inlineStr"/>
      <c r="J4414" t="inlineStr"/>
      <c r="K4414" t="inlineStr"/>
      <c r="L4414" s="2" t="inlineStr"/>
      <c r="M4414" t="inlineStr"/>
      <c r="N4414" t="inlineStr">
        <is>
          <t>20240823800131</t>
        </is>
      </c>
      <c r="O4414">
        <f>HYPERLINK("https://dart.fss.or.kr/dsaf001/main.do?rcpNo=20240823800131", "공시열람")</f>
        <v/>
      </c>
    </row>
    <row r="4415">
      <c r="A4415" t="inlineStr">
        <is>
          <t>2024-08-21</t>
        </is>
      </c>
      <c r="B4415" t="inlineStr">
        <is>
          <t>HD현대중공업</t>
        </is>
      </c>
      <c r="C4415" t="inlineStr">
        <is>
          <t>329180</t>
        </is>
      </c>
      <c r="D4415" t="inlineStr">
        <is>
          <t>별도</t>
        </is>
      </c>
      <c r="E4415" t="inlineStr">
        <is>
          <t>2024Q2</t>
        </is>
      </c>
      <c r="F4415" s="2" t="n">
        <v>1229362</v>
      </c>
      <c r="G4415" t="n">
        <v>-12.71</v>
      </c>
      <c r="H4415" t="n">
        <v>40.67</v>
      </c>
      <c r="I4415" s="2" t="inlineStr"/>
      <c r="J4415" t="inlineStr"/>
      <c r="K4415" t="inlineStr"/>
      <c r="L4415" s="2" t="inlineStr"/>
      <c r="M4415" t="inlineStr"/>
      <c r="N4415" t="inlineStr">
        <is>
          <t>20240821800276</t>
        </is>
      </c>
      <c r="O4415">
        <f>HYPERLINK("https://dart.fss.or.kr/dsaf001/main.do?rcpNo=20240821800276", "공시열람")</f>
        <v/>
      </c>
    </row>
    <row r="4416">
      <c r="A4416" t="inlineStr">
        <is>
          <t>2024-08-21</t>
        </is>
      </c>
      <c r="B4416" t="inlineStr">
        <is>
          <t>HD한국조선해양</t>
        </is>
      </c>
      <c r="C4416" t="inlineStr">
        <is>
          <t>009540</t>
        </is>
      </c>
      <c r="D4416" t="inlineStr">
        <is>
          <t>별도</t>
        </is>
      </c>
      <c r="E4416" t="inlineStr">
        <is>
          <t>2024Q2</t>
        </is>
      </c>
      <c r="F4416" s="2" t="n">
        <v>519190</v>
      </c>
      <c r="G4416" t="n">
        <v>-20.34</v>
      </c>
      <c r="H4416" t="n">
        <v>18.2</v>
      </c>
      <c r="I4416" s="2" t="inlineStr"/>
      <c r="J4416" t="inlineStr"/>
      <c r="K4416" t="inlineStr"/>
      <c r="L4416" s="2" t="inlineStr"/>
      <c r="M4416" t="inlineStr"/>
      <c r="N4416" t="inlineStr">
        <is>
          <t>20240821800290</t>
        </is>
      </c>
      <c r="O4416">
        <f>HYPERLINK("https://dart.fss.or.kr/dsaf001/main.do?rcpNo=20240821800290", "공시열람")</f>
        <v/>
      </c>
    </row>
    <row r="4417">
      <c r="A4417" t="inlineStr">
        <is>
          <t>2024-08-20</t>
        </is>
      </c>
      <c r="B4417" t="inlineStr">
        <is>
          <t>오리온</t>
        </is>
      </c>
      <c r="C4417" t="inlineStr">
        <is>
          <t>271560</t>
        </is>
      </c>
      <c r="D4417" t="inlineStr">
        <is>
          <t>연결</t>
        </is>
      </c>
      <c r="E4417" t="inlineStr">
        <is>
          <t>2024Q2</t>
        </is>
      </c>
      <c r="F4417" s="2" t="inlineStr"/>
      <c r="G4417" t="inlineStr"/>
      <c r="H4417" t="inlineStr"/>
      <c r="I4417" s="2" t="inlineStr"/>
      <c r="J4417" t="inlineStr"/>
      <c r="K4417" t="inlineStr"/>
      <c r="L4417" s="2" t="inlineStr"/>
      <c r="M4417" t="inlineStr"/>
      <c r="N4417" t="inlineStr">
        <is>
          <t>20240820800079</t>
        </is>
      </c>
      <c r="O4417">
        <f>HYPERLINK("https://dart.fss.or.kr/dsaf001/main.do?rcpNo=20240820800079", "공시열람")</f>
        <v/>
      </c>
    </row>
    <row r="4418">
      <c r="A4418" t="inlineStr">
        <is>
          <t>2024-08-16</t>
        </is>
      </c>
      <c r="B4418" t="inlineStr">
        <is>
          <t>산일전기</t>
        </is>
      </c>
      <c r="C4418" t="inlineStr">
        <is>
          <t>062040</t>
        </is>
      </c>
      <c r="D4418" t="inlineStr">
        <is>
          <t>별도</t>
        </is>
      </c>
      <c r="E4418" t="inlineStr">
        <is>
          <t>2024Q2</t>
        </is>
      </c>
      <c r="F4418" s="2" t="n">
        <v>75232</v>
      </c>
      <c r="G4418" t="inlineStr"/>
      <c r="H4418" t="inlineStr"/>
      <c r="I4418" s="2" t="n">
        <v>24501</v>
      </c>
      <c r="J4418" t="inlineStr"/>
      <c r="K4418" t="inlineStr"/>
      <c r="L4418" s="2" t="n">
        <v>17320</v>
      </c>
      <c r="M4418" t="inlineStr"/>
      <c r="N4418" t="inlineStr">
        <is>
          <t>20240816800288</t>
        </is>
      </c>
      <c r="O4418">
        <f>HYPERLINK("https://dart.fss.or.kr/dsaf001/main.do?rcpNo=20240816800288", "공시열람")</f>
        <v/>
      </c>
    </row>
    <row r="4419">
      <c r="A4419" t="inlineStr">
        <is>
          <t>2024-08-14</t>
        </is>
      </c>
      <c r="B4419" t="inlineStr">
        <is>
          <t>시프트업</t>
        </is>
      </c>
      <c r="C4419" t="inlineStr">
        <is>
          <t>462870</t>
        </is>
      </c>
      <c r="D4419" t="inlineStr">
        <is>
          <t>별도</t>
        </is>
      </c>
      <c r="E4419" t="inlineStr">
        <is>
          <t>2024Q2</t>
        </is>
      </c>
      <c r="F4419" s="2" t="n">
        <v>65202</v>
      </c>
      <c r="G4419" t="n">
        <v>74.40000000000001</v>
      </c>
      <c r="H4419" t="n">
        <v>65.40000000000001</v>
      </c>
      <c r="I4419" s="2" t="n">
        <v>45108</v>
      </c>
      <c r="J4419" t="n">
        <v>73.90000000000001</v>
      </c>
      <c r="K4419" t="n">
        <v>49</v>
      </c>
      <c r="L4419" s="2" t="n">
        <v>40362</v>
      </c>
      <c r="M4419" t="n">
        <v>5.1</v>
      </c>
      <c r="N4419" t="inlineStr">
        <is>
          <t>20240814802785</t>
        </is>
      </c>
      <c r="O4419">
        <f>HYPERLINK("https://dart.fss.or.kr/dsaf001/main.do?rcpNo=20240814802785", "공시열람")</f>
        <v/>
      </c>
    </row>
    <row r="4420">
      <c r="A4420" t="inlineStr">
        <is>
          <t>2024-08-14</t>
        </is>
      </c>
      <c r="B4420" t="inlineStr">
        <is>
          <t>DB손해보험</t>
        </is>
      </c>
      <c r="C4420" t="inlineStr">
        <is>
          <t>005830</t>
        </is>
      </c>
      <c r="D4420" t="inlineStr">
        <is>
          <t>별도</t>
        </is>
      </c>
      <c r="E4420" t="inlineStr">
        <is>
          <t>2024Q2</t>
        </is>
      </c>
      <c r="F4420" s="2" t="n">
        <v>4686976</v>
      </c>
      <c r="G4420" t="n">
        <v>1.2</v>
      </c>
      <c r="H4420" t="n">
        <v>9.5</v>
      </c>
      <c r="I4420" s="2" t="n">
        <v>705392</v>
      </c>
      <c r="J4420" t="n">
        <v>-8</v>
      </c>
      <c r="K4420" t="n">
        <v>13.5</v>
      </c>
      <c r="L4420" s="2" t="n">
        <v>540657</v>
      </c>
      <c r="M4420" t="n">
        <v>16.3</v>
      </c>
      <c r="N4420" t="inlineStr">
        <is>
          <t>20240814800627</t>
        </is>
      </c>
      <c r="O4420">
        <f>HYPERLINK("https://dart.fss.or.kr/dsaf001/main.do?rcpNo=20240814800627", "공시열람")</f>
        <v/>
      </c>
    </row>
    <row r="4421">
      <c r="A4421" t="inlineStr">
        <is>
          <t>2024-08-14</t>
        </is>
      </c>
      <c r="B4421" t="inlineStr">
        <is>
          <t>코리안리</t>
        </is>
      </c>
      <c r="C4421" t="inlineStr">
        <is>
          <t>003690</t>
        </is>
      </c>
      <c r="D4421" t="inlineStr">
        <is>
          <t>별도</t>
        </is>
      </c>
      <c r="E4421" t="inlineStr">
        <is>
          <t>2024Q2</t>
        </is>
      </c>
      <c r="F4421" s="2" t="n">
        <v>1787819</v>
      </c>
      <c r="G4421" t="n">
        <v>16</v>
      </c>
      <c r="H4421" t="n">
        <v>10.8</v>
      </c>
      <c r="I4421" s="2" t="n">
        <v>122109</v>
      </c>
      <c r="J4421" t="n">
        <v>51.2</v>
      </c>
      <c r="K4421" t="n">
        <v>-32.3</v>
      </c>
      <c r="L4421" s="2" t="n">
        <v>91940</v>
      </c>
      <c r="M4421" t="n">
        <v>-35.5</v>
      </c>
      <c r="N4421" t="inlineStr">
        <is>
          <t>20240814802077</t>
        </is>
      </c>
      <c r="O4421">
        <f>HYPERLINK("https://dart.fss.or.kr/dsaf001/main.do?rcpNo=20240814802077", "공시열람")</f>
        <v/>
      </c>
    </row>
    <row r="4422">
      <c r="A4422" t="inlineStr">
        <is>
          <t>2024-08-14</t>
        </is>
      </c>
      <c r="B4422" t="inlineStr">
        <is>
          <t>메리츠금융지주</t>
        </is>
      </c>
      <c r="C4422" t="inlineStr">
        <is>
          <t>138040</t>
        </is>
      </c>
      <c r="D4422" t="inlineStr">
        <is>
          <t>연결</t>
        </is>
      </c>
      <c r="E4422" t="inlineStr">
        <is>
          <t>2024Q2</t>
        </is>
      </c>
      <c r="F4422" s="2" t="n">
        <v>11222750</v>
      </c>
      <c r="G4422" t="n">
        <v>-10.7</v>
      </c>
      <c r="H4422" t="n">
        <v>-14.4</v>
      </c>
      <c r="I4422" s="2" t="n">
        <v>1005597</v>
      </c>
      <c r="J4422" t="n">
        <v>30.5</v>
      </c>
      <c r="K4422" t="n">
        <v>32.3</v>
      </c>
      <c r="L4422" s="2" t="n">
        <v>736173</v>
      </c>
      <c r="M4422" t="n">
        <v>27.7</v>
      </c>
      <c r="N4422" t="inlineStr">
        <is>
          <t>20240814801523</t>
        </is>
      </c>
      <c r="O4422">
        <f>HYPERLINK("https://dart.fss.or.kr/dsaf001/main.do?rcpNo=20240814801523", "공시열람")</f>
        <v/>
      </c>
    </row>
    <row r="4423">
      <c r="A4423" t="inlineStr">
        <is>
          <t>2024-08-14</t>
        </is>
      </c>
      <c r="B4423" t="inlineStr">
        <is>
          <t>메리츠금융지주</t>
        </is>
      </c>
      <c r="C4423" t="inlineStr">
        <is>
          <t>138040</t>
        </is>
      </c>
      <c r="D4423" t="inlineStr">
        <is>
          <t>연결</t>
        </is>
      </c>
      <c r="E4423" t="inlineStr">
        <is>
          <t>2024Q2</t>
        </is>
      </c>
      <c r="F4423" s="2" t="n">
        <v>8687952</v>
      </c>
      <c r="G4423" t="n">
        <v>-9.300000000000001</v>
      </c>
      <c r="H4423" t="n">
        <v>-18.7</v>
      </c>
      <c r="I4423" s="2" t="n">
        <v>346137</v>
      </c>
      <c r="J4423" t="n">
        <v>122.4</v>
      </c>
      <c r="K4423" t="n">
        <v>70.09999999999999</v>
      </c>
      <c r="L4423" s="2" t="n">
        <v>243355</v>
      </c>
      <c r="M4423" t="n">
        <v>50.7</v>
      </c>
      <c r="N4423" t="inlineStr">
        <is>
          <t>20240814801503</t>
        </is>
      </c>
      <c r="O4423">
        <f>HYPERLINK("https://dart.fss.or.kr/dsaf001/main.do?rcpNo=20240814801503", "공시열람")</f>
        <v/>
      </c>
    </row>
    <row r="4424">
      <c r="A4424" t="inlineStr">
        <is>
          <t>2024-08-14</t>
        </is>
      </c>
      <c r="B4424" t="inlineStr">
        <is>
          <t>메리츠금융지주</t>
        </is>
      </c>
      <c r="C4424" t="inlineStr">
        <is>
          <t>138040</t>
        </is>
      </c>
      <c r="D4424" t="inlineStr">
        <is>
          <t>별도</t>
        </is>
      </c>
      <c r="E4424" t="inlineStr">
        <is>
          <t>2024Q2</t>
        </is>
      </c>
      <c r="F4424" s="2" t="n">
        <v>2842872</v>
      </c>
      <c r="G4424" t="n">
        <v>-2.4</v>
      </c>
      <c r="H4424" t="n">
        <v>5.9</v>
      </c>
      <c r="I4424" s="2" t="n">
        <v>676406</v>
      </c>
      <c r="J4424" t="n">
        <v>2.4</v>
      </c>
      <c r="K4424" t="n">
        <v>21.1</v>
      </c>
      <c r="L4424" s="2" t="n">
        <v>506821</v>
      </c>
      <c r="M4424" t="n">
        <v>20.8</v>
      </c>
      <c r="N4424" t="inlineStr">
        <is>
          <t>20240814801482</t>
        </is>
      </c>
      <c r="O4424">
        <f>HYPERLINK("https://dart.fss.or.kr/dsaf001/main.do?rcpNo=20240814801482", "공시열람")</f>
        <v/>
      </c>
    </row>
    <row r="4425">
      <c r="A4425" t="inlineStr">
        <is>
          <t>2024-08-14</t>
        </is>
      </c>
      <c r="B4425" t="inlineStr">
        <is>
          <t>현대해상</t>
        </is>
      </c>
      <c r="C4425" t="inlineStr">
        <is>
          <t>001450</t>
        </is>
      </c>
      <c r="D4425" t="inlineStr">
        <is>
          <t>별도</t>
        </is>
      </c>
      <c r="E4425" t="inlineStr">
        <is>
          <t>2024Q2</t>
        </is>
      </c>
      <c r="F4425" s="2" t="n">
        <v>4241123</v>
      </c>
      <c r="G4425" t="n">
        <v>-4.5</v>
      </c>
      <c r="H4425" t="n">
        <v>9.6</v>
      </c>
      <c r="I4425" s="2" t="n">
        <v>474865</v>
      </c>
      <c r="J4425" t="n">
        <v>-25.9</v>
      </c>
      <c r="K4425" t="n">
        <v>88.5</v>
      </c>
      <c r="L4425" s="2" t="n">
        <v>355737</v>
      </c>
      <c r="M4425" t="n">
        <v>95.8</v>
      </c>
      <c r="N4425" t="inlineStr">
        <is>
          <t>20240814801078</t>
        </is>
      </c>
      <c r="O4425">
        <f>HYPERLINK("https://dart.fss.or.kr/dsaf001/main.do?rcpNo=20240814801078", "공시열람")</f>
        <v/>
      </c>
    </row>
    <row r="4426">
      <c r="A4426" t="inlineStr">
        <is>
          <t>2024-08-14</t>
        </is>
      </c>
      <c r="B4426" t="inlineStr">
        <is>
          <t>삼성화재해상보험</t>
        </is>
      </c>
      <c r="C4426" t="inlineStr">
        <is>
          <t>000810</t>
        </is>
      </c>
      <c r="D4426" t="inlineStr">
        <is>
          <t>연결</t>
        </is>
      </c>
      <c r="E4426" t="inlineStr">
        <is>
          <t>2024Q2</t>
        </is>
      </c>
      <c r="F4426" s="2" t="n">
        <v>5526845</v>
      </c>
      <c r="G4426" t="n">
        <v>0.4</v>
      </c>
      <c r="H4426" t="n">
        <v>9</v>
      </c>
      <c r="I4426" s="2" t="n">
        <v>782269</v>
      </c>
      <c r="J4426" t="n">
        <v>-12.8</v>
      </c>
      <c r="K4426" t="n">
        <v>4.9</v>
      </c>
      <c r="L4426" s="2" t="n">
        <v>612411</v>
      </c>
      <c r="M4426" t="n">
        <v>1.7</v>
      </c>
      <c r="N4426" t="inlineStr">
        <is>
          <t>20240814800038</t>
        </is>
      </c>
      <c r="O4426">
        <f>HYPERLINK("https://dart.fss.or.kr/dsaf001/main.do?rcpNo=20240814800038", "공시열람")</f>
        <v/>
      </c>
    </row>
    <row r="4427">
      <c r="A4427" t="inlineStr">
        <is>
          <t>2024-08-13</t>
        </is>
      </c>
      <c r="B4427" t="inlineStr">
        <is>
          <t>수성웹툰</t>
        </is>
      </c>
      <c r="C4427" t="inlineStr">
        <is>
          <t>084180</t>
        </is>
      </c>
      <c r="D4427" t="inlineStr">
        <is>
          <t>연결</t>
        </is>
      </c>
      <c r="E4427" t="inlineStr">
        <is>
          <t>2024Q2</t>
        </is>
      </c>
      <c r="F4427" s="2" t="n">
        <v>11491</v>
      </c>
      <c r="G4427" t="inlineStr"/>
      <c r="H4427" t="inlineStr"/>
      <c r="I4427" s="2" t="n">
        <v>-1017</v>
      </c>
      <c r="J4427" t="inlineStr"/>
      <c r="K4427" t="inlineStr"/>
      <c r="L4427" s="2" t="n">
        <v>1308</v>
      </c>
      <c r="M4427" t="inlineStr"/>
      <c r="N4427" t="inlineStr">
        <is>
          <t>20240813900982</t>
        </is>
      </c>
      <c r="O4427">
        <f>HYPERLINK("https://dart.fss.or.kr/dsaf001/main.do?rcpNo=20240813900982", "공시열람")</f>
        <v/>
      </c>
    </row>
    <row r="4428">
      <c r="A4428" t="inlineStr">
        <is>
          <t>2024-08-13</t>
        </is>
      </c>
      <c r="B4428" t="inlineStr">
        <is>
          <t>GKL</t>
        </is>
      </c>
      <c r="C4428" t="inlineStr">
        <is>
          <t>114090</t>
        </is>
      </c>
      <c r="D4428" t="inlineStr">
        <is>
          <t>연결</t>
        </is>
      </c>
      <c r="E4428" t="inlineStr">
        <is>
          <t>2024Q2</t>
        </is>
      </c>
      <c r="F4428" s="2" t="n">
        <v>98829</v>
      </c>
      <c r="G4428" t="inlineStr"/>
      <c r="H4428" t="inlineStr"/>
      <c r="I4428" s="2" t="n">
        <v>13209</v>
      </c>
      <c r="J4428" t="n">
        <v>-4.6</v>
      </c>
      <c r="K4428" t="inlineStr"/>
      <c r="L4428" s="2" t="n">
        <v>11326</v>
      </c>
      <c r="M4428" t="inlineStr"/>
      <c r="N4428" t="inlineStr">
        <is>
          <t>20240813800911</t>
        </is>
      </c>
      <c r="O4428">
        <f>HYPERLINK("https://dart.fss.or.kr/dsaf001/main.do?rcpNo=20240813800911", "공시열람")</f>
        <v/>
      </c>
    </row>
    <row r="4429">
      <c r="A4429" t="inlineStr">
        <is>
          <t>2024-08-13</t>
        </is>
      </c>
      <c r="B4429" t="inlineStr">
        <is>
          <t>더블유게임즈</t>
        </is>
      </c>
      <c r="C4429" t="inlineStr">
        <is>
          <t>192080</t>
        </is>
      </c>
      <c r="D4429" t="inlineStr">
        <is>
          <t>별도</t>
        </is>
      </c>
      <c r="E4429" t="inlineStr">
        <is>
          <t>2024Q2</t>
        </is>
      </c>
      <c r="F4429" s="2" t="n">
        <v>44631</v>
      </c>
      <c r="G4429" t="inlineStr"/>
      <c r="H4429" t="inlineStr"/>
      <c r="I4429" s="2" t="n">
        <v>17505</v>
      </c>
      <c r="J4429" t="inlineStr"/>
      <c r="K4429" t="inlineStr"/>
      <c r="L4429" s="2" t="n">
        <v>18642</v>
      </c>
      <c r="M4429" t="inlineStr"/>
      <c r="N4429" t="inlineStr">
        <is>
          <t>20240813800001</t>
        </is>
      </c>
      <c r="O4429">
        <f>HYPERLINK("https://dart.fss.or.kr/dsaf001/main.do?rcpNo=20240813800001", "공시열람")</f>
        <v/>
      </c>
    </row>
    <row r="4430">
      <c r="A4430" t="inlineStr">
        <is>
          <t>2024-08-13</t>
        </is>
      </c>
      <c r="B4430" t="inlineStr">
        <is>
          <t>더블유게임즈</t>
        </is>
      </c>
      <c r="C4430" t="inlineStr">
        <is>
          <t>192080</t>
        </is>
      </c>
      <c r="D4430" t="inlineStr">
        <is>
          <t>연결</t>
        </is>
      </c>
      <c r="E4430" t="inlineStr">
        <is>
          <t>2024Q2</t>
        </is>
      </c>
      <c r="F4430" s="2" t="n">
        <v>163135</v>
      </c>
      <c r="G4430" t="inlineStr"/>
      <c r="H4430" t="inlineStr"/>
      <c r="I4430" s="2" t="n">
        <v>67072</v>
      </c>
      <c r="J4430" t="inlineStr"/>
      <c r="K4430" t="inlineStr"/>
      <c r="L4430" s="2" t="n">
        <v>64156</v>
      </c>
      <c r="M4430" t="inlineStr"/>
      <c r="N4430" t="inlineStr">
        <is>
          <t>20240813800002</t>
        </is>
      </c>
      <c r="O4430">
        <f>HYPERLINK("https://dart.fss.or.kr/dsaf001/main.do?rcpNo=20240813800002", "공시열람")</f>
        <v/>
      </c>
    </row>
    <row r="4431">
      <c r="A4431" t="inlineStr">
        <is>
          <t>2024-08-13</t>
        </is>
      </c>
      <c r="B4431" t="inlineStr">
        <is>
          <t>CJ제일제당</t>
        </is>
      </c>
      <c r="C4431" t="inlineStr">
        <is>
          <t>097950</t>
        </is>
      </c>
      <c r="D4431" t="inlineStr">
        <is>
          <t>연결</t>
        </is>
      </c>
      <c r="E4431" t="inlineStr">
        <is>
          <t>2024Q2</t>
        </is>
      </c>
      <c r="F4431" s="2" t="n">
        <v>7238674</v>
      </c>
      <c r="G4431" t="n">
        <v>0.3</v>
      </c>
      <c r="H4431" t="n">
        <v>0.3</v>
      </c>
      <c r="I4431" s="2" t="n">
        <v>383560</v>
      </c>
      <c r="J4431" t="n">
        <v>2</v>
      </c>
      <c r="K4431" t="n">
        <v>11.3</v>
      </c>
      <c r="L4431" s="2" t="n">
        <v>147818</v>
      </c>
      <c r="M4431" t="n">
        <v>16</v>
      </c>
      <c r="N4431" t="inlineStr">
        <is>
          <t>20240813800029</t>
        </is>
      </c>
      <c r="O4431">
        <f>HYPERLINK("https://dart.fss.or.kr/dsaf001/main.do?rcpNo=20240813800029", "공시열람")</f>
        <v/>
      </c>
    </row>
    <row r="4432">
      <c r="A4432" t="inlineStr">
        <is>
          <t>2024-08-13</t>
        </is>
      </c>
      <c r="B4432" t="inlineStr">
        <is>
          <t>에스피지</t>
        </is>
      </c>
      <c r="C4432" t="inlineStr">
        <is>
          <t>058610</t>
        </is>
      </c>
      <c r="D4432" t="inlineStr">
        <is>
          <t>연결</t>
        </is>
      </c>
      <c r="E4432" t="inlineStr">
        <is>
          <t>2024Q2</t>
        </is>
      </c>
      <c r="F4432" s="2" t="n">
        <v>100369</v>
      </c>
      <c r="G4432" t="inlineStr"/>
      <c r="H4432" t="inlineStr"/>
      <c r="I4432" s="2" t="n">
        <v>3464</v>
      </c>
      <c r="J4432" t="inlineStr"/>
      <c r="K4432" t="inlineStr"/>
      <c r="L4432" s="2" t="n">
        <v>4071</v>
      </c>
      <c r="M4432" t="inlineStr"/>
      <c r="N4432" t="inlineStr">
        <is>
          <t>20240813900233</t>
        </is>
      </c>
      <c r="O4432">
        <f>HYPERLINK("https://dart.fss.or.kr/dsaf001/main.do?rcpNo=20240813900233", "공시열람")</f>
        <v/>
      </c>
    </row>
    <row r="4433">
      <c r="A4433" t="inlineStr">
        <is>
          <t>2024-08-13</t>
        </is>
      </c>
      <c r="B4433" t="inlineStr">
        <is>
          <t>CJ씨푸드</t>
        </is>
      </c>
      <c r="C4433" t="inlineStr">
        <is>
          <t>011150</t>
        </is>
      </c>
      <c r="D4433" t="inlineStr">
        <is>
          <t>연결</t>
        </is>
      </c>
      <c r="E4433" t="inlineStr">
        <is>
          <t>2024Q2</t>
        </is>
      </c>
      <c r="F4433" s="2" t="n">
        <v>47497</v>
      </c>
      <c r="G4433" t="n">
        <v>-9.5</v>
      </c>
      <c r="H4433" t="n">
        <v>40.5</v>
      </c>
      <c r="I4433" s="2" t="n">
        <v>-171</v>
      </c>
      <c r="J4433" t="inlineStr"/>
      <c r="K4433" t="inlineStr"/>
      <c r="L4433" s="2" t="n">
        <v>74</v>
      </c>
      <c r="M4433" t="inlineStr"/>
      <c r="N4433" t="inlineStr">
        <is>
          <t>20240813800253</t>
        </is>
      </c>
      <c r="O4433">
        <f>HYPERLINK("https://dart.fss.or.kr/dsaf001/main.do?rcpNo=20240813800253", "공시열람")</f>
        <v/>
      </c>
    </row>
    <row r="4434">
      <c r="A4434" t="inlineStr">
        <is>
          <t>2024-08-13</t>
        </is>
      </c>
      <c r="B4434" t="inlineStr">
        <is>
          <t>쏘카</t>
        </is>
      </c>
      <c r="C4434" t="inlineStr">
        <is>
          <t>403550</t>
        </is>
      </c>
      <c r="D4434" t="inlineStr">
        <is>
          <t>연결</t>
        </is>
      </c>
      <c r="E4434" t="inlineStr">
        <is>
          <t>2024Q2</t>
        </is>
      </c>
      <c r="F4434" s="2" t="n">
        <v>101762</v>
      </c>
      <c r="G4434" t="n">
        <v>12.4</v>
      </c>
      <c r="H4434" t="n">
        <v>-2</v>
      </c>
      <c r="I4434" s="2" t="n">
        <v>-6653</v>
      </c>
      <c r="J4434" t="n">
        <v>38.2</v>
      </c>
      <c r="K4434" t="inlineStr"/>
      <c r="L4434" s="2" t="n">
        <v>-11589</v>
      </c>
      <c r="M4434" t="n">
        <v>-119.7</v>
      </c>
      <c r="N4434" t="inlineStr">
        <is>
          <t>20240813800515</t>
        </is>
      </c>
      <c r="O4434">
        <f>HYPERLINK("https://dart.fss.or.kr/dsaf001/main.do?rcpNo=20240813800515", "공시열람")</f>
        <v/>
      </c>
    </row>
    <row r="4435">
      <c r="A4435" t="inlineStr">
        <is>
          <t>2024-08-13</t>
        </is>
      </c>
      <c r="B4435" t="inlineStr">
        <is>
          <t>이마트</t>
        </is>
      </c>
      <c r="C4435" t="inlineStr">
        <is>
          <t>139480</t>
        </is>
      </c>
      <c r="D4435" t="inlineStr">
        <is>
          <t>연결</t>
        </is>
      </c>
      <c r="E4435" t="inlineStr">
        <is>
          <t>2024Q2</t>
        </is>
      </c>
      <c r="F4435" s="2" t="n">
        <v>7056000</v>
      </c>
      <c r="G4435" t="n">
        <v>-2.1</v>
      </c>
      <c r="H4435" t="n">
        <v>-3</v>
      </c>
      <c r="I4435" s="2" t="n">
        <v>-34600</v>
      </c>
      <c r="J4435" t="inlineStr"/>
      <c r="K4435" t="n">
        <v>34.7</v>
      </c>
      <c r="L4435" s="2" t="n">
        <v>-111900</v>
      </c>
      <c r="M4435" t="n">
        <v>-8.4</v>
      </c>
      <c r="N4435" t="inlineStr">
        <is>
          <t>20240813800266</t>
        </is>
      </c>
      <c r="O4435">
        <f>HYPERLINK("https://dart.fss.or.kr/dsaf001/main.do?rcpNo=20240813800266", "공시열람")</f>
        <v/>
      </c>
    </row>
    <row r="4436">
      <c r="A4436" t="inlineStr">
        <is>
          <t>2024-08-13</t>
        </is>
      </c>
      <c r="B4436" t="inlineStr">
        <is>
          <t>미투온</t>
        </is>
      </c>
      <c r="C4436" t="inlineStr">
        <is>
          <t>201490</t>
        </is>
      </c>
      <c r="D4436" t="inlineStr">
        <is>
          <t>연결</t>
        </is>
      </c>
      <c r="E4436" t="inlineStr">
        <is>
          <t>2024Q2</t>
        </is>
      </c>
      <c r="F4436" s="2" t="n">
        <v>24558</v>
      </c>
      <c r="G4436" t="inlineStr"/>
      <c r="H4436" t="inlineStr"/>
      <c r="I4436" s="2" t="n">
        <v>4727</v>
      </c>
      <c r="J4436" t="inlineStr"/>
      <c r="K4436" t="inlineStr"/>
      <c r="L4436" s="2" t="n">
        <v>4942</v>
      </c>
      <c r="M4436" t="inlineStr"/>
      <c r="N4436" t="inlineStr">
        <is>
          <t>20240813900822</t>
        </is>
      </c>
      <c r="O4436">
        <f>HYPERLINK("https://dart.fss.or.kr/dsaf001/main.do?rcpNo=20240813900822", "공시열람")</f>
        <v/>
      </c>
    </row>
    <row r="4437">
      <c r="A4437" t="inlineStr">
        <is>
          <t>2024-08-13</t>
        </is>
      </c>
      <c r="B4437" t="inlineStr">
        <is>
          <t>고스트스튜디오</t>
        </is>
      </c>
      <c r="C4437" t="inlineStr">
        <is>
          <t>950190</t>
        </is>
      </c>
      <c r="D4437" t="inlineStr">
        <is>
          <t>연결</t>
        </is>
      </c>
      <c r="E4437" t="inlineStr">
        <is>
          <t>2024Q2</t>
        </is>
      </c>
      <c r="F4437" s="2" t="n">
        <v>22364</v>
      </c>
      <c r="G4437" t="inlineStr"/>
      <c r="H4437" t="inlineStr"/>
      <c r="I4437" s="2" t="n">
        <v>5715</v>
      </c>
      <c r="J4437" t="inlineStr"/>
      <c r="K4437" t="inlineStr"/>
      <c r="L4437" s="2" t="n">
        <v>5812</v>
      </c>
      <c r="M4437" t="inlineStr"/>
      <c r="N4437" t="inlineStr">
        <is>
          <t>20240813900814</t>
        </is>
      </c>
      <c r="O4437">
        <f>HYPERLINK("https://dart.fss.or.kr/dsaf001/main.do?rcpNo=20240813900814", "공시열람")</f>
        <v/>
      </c>
    </row>
    <row r="4438">
      <c r="A4438" t="inlineStr">
        <is>
          <t>2024-08-13</t>
        </is>
      </c>
      <c r="B4438" t="inlineStr">
        <is>
          <t>케이티알파</t>
        </is>
      </c>
      <c r="C4438" t="inlineStr">
        <is>
          <t>036030</t>
        </is>
      </c>
      <c r="D4438" t="inlineStr">
        <is>
          <t>별도</t>
        </is>
      </c>
      <c r="E4438" t="inlineStr">
        <is>
          <t>2024Q2</t>
        </is>
      </c>
      <c r="F4438" s="2" t="n">
        <v>107860</v>
      </c>
      <c r="G4438" t="inlineStr"/>
      <c r="H4438" t="inlineStr"/>
      <c r="I4438" s="2" t="n">
        <v>8735</v>
      </c>
      <c r="J4438" t="inlineStr"/>
      <c r="K4438" t="inlineStr"/>
      <c r="L4438" s="2" t="n">
        <v>2756</v>
      </c>
      <c r="M4438" t="inlineStr"/>
      <c r="N4438" t="inlineStr">
        <is>
          <t>20240813900640</t>
        </is>
      </c>
      <c r="O4438">
        <f>HYPERLINK("https://dart.fss.or.kr/dsaf001/main.do?rcpNo=20240813900640", "공시열람")</f>
        <v/>
      </c>
    </row>
    <row r="4439">
      <c r="A4439" t="inlineStr">
        <is>
          <t>2024-08-13</t>
        </is>
      </c>
      <c r="B4439" t="inlineStr">
        <is>
          <t>한국가스공사</t>
        </is>
      </c>
      <c r="C4439" t="inlineStr">
        <is>
          <t>036460</t>
        </is>
      </c>
      <c r="D4439" t="inlineStr">
        <is>
          <t>별도</t>
        </is>
      </c>
      <c r="E4439" t="inlineStr">
        <is>
          <t>2024Q2</t>
        </is>
      </c>
      <c r="F4439" s="2" t="inlineStr"/>
      <c r="G4439" t="inlineStr"/>
      <c r="H4439" t="inlineStr"/>
      <c r="I4439" s="2" t="inlineStr"/>
      <c r="J4439" t="inlineStr"/>
      <c r="K4439" t="inlineStr"/>
      <c r="L4439" s="2" t="inlineStr"/>
      <c r="M4439" t="inlineStr"/>
      <c r="N4439" t="inlineStr">
        <is>
          <t>20240813800618</t>
        </is>
      </c>
      <c r="O4439">
        <f>HYPERLINK("https://dart.fss.or.kr/dsaf001/main.do?rcpNo=20240813800618", "공시열람")</f>
        <v/>
      </c>
    </row>
    <row r="4440">
      <c r="A4440" t="inlineStr">
        <is>
          <t>2024-08-13</t>
        </is>
      </c>
      <c r="B4440" t="inlineStr">
        <is>
          <t>옵티시스</t>
        </is>
      </c>
      <c r="C4440" t="inlineStr">
        <is>
          <t>109080</t>
        </is>
      </c>
      <c r="D4440" t="inlineStr">
        <is>
          <t>별도</t>
        </is>
      </c>
      <c r="E4440" t="inlineStr">
        <is>
          <t>2024Q2</t>
        </is>
      </c>
      <c r="F4440" s="2" t="n">
        <v>5644</v>
      </c>
      <c r="G4440" t="inlineStr"/>
      <c r="H4440" t="inlineStr"/>
      <c r="I4440" s="2" t="n">
        <v>745</v>
      </c>
      <c r="J4440" t="inlineStr"/>
      <c r="K4440" t="inlineStr"/>
      <c r="L4440" s="2" t="n">
        <v>1173</v>
      </c>
      <c r="M4440" t="inlineStr"/>
      <c r="N4440" t="inlineStr">
        <is>
          <t>20240813900574</t>
        </is>
      </c>
      <c r="O4440">
        <f>HYPERLINK("https://dart.fss.or.kr/dsaf001/main.do?rcpNo=20240813900574", "공시열람")</f>
        <v/>
      </c>
    </row>
    <row r="4441">
      <c r="A4441" t="inlineStr">
        <is>
          <t>2024-08-13</t>
        </is>
      </c>
      <c r="B4441" t="inlineStr">
        <is>
          <t>에이치피오</t>
        </is>
      </c>
      <c r="C4441" t="inlineStr">
        <is>
          <t>357230</t>
        </is>
      </c>
      <c r="D4441" t="inlineStr">
        <is>
          <t>연결</t>
        </is>
      </c>
      <c r="E4441" t="inlineStr">
        <is>
          <t>2024Q2</t>
        </is>
      </c>
      <c r="F4441" s="2" t="n">
        <v>62588</v>
      </c>
      <c r="G4441" t="inlineStr"/>
      <c r="H4441" t="inlineStr"/>
      <c r="I4441" s="2" t="n">
        <v>2678</v>
      </c>
      <c r="J4441" t="inlineStr"/>
      <c r="K4441" t="inlineStr"/>
      <c r="L4441" s="2" t="n">
        <v>1885</v>
      </c>
      <c r="M4441" t="inlineStr"/>
      <c r="N4441" t="inlineStr">
        <is>
          <t>20240813901063</t>
        </is>
      </c>
      <c r="O4441">
        <f>HYPERLINK("https://dart.fss.or.kr/dsaf001/main.do?rcpNo=20240813901063", "공시열람")</f>
        <v/>
      </c>
    </row>
    <row r="4442">
      <c r="A4442" t="inlineStr">
        <is>
          <t>2024-08-13</t>
        </is>
      </c>
      <c r="B4442" t="inlineStr">
        <is>
          <t>이마트</t>
        </is>
      </c>
      <c r="C4442" t="inlineStr">
        <is>
          <t>139480</t>
        </is>
      </c>
      <c r="D4442" t="inlineStr">
        <is>
          <t>별도</t>
        </is>
      </c>
      <c r="E4442" t="inlineStr">
        <is>
          <t>2024Q2</t>
        </is>
      </c>
      <c r="F4442" s="2" t="n">
        <v>1325900</v>
      </c>
      <c r="G4442" t="n">
        <v>11.9</v>
      </c>
      <c r="H4442" t="n">
        <v>0.7</v>
      </c>
      <c r="I4442" s="2" t="inlineStr"/>
      <c r="J4442" t="inlineStr"/>
      <c r="K4442" t="inlineStr"/>
      <c r="L4442" s="2" t="inlineStr"/>
      <c r="M4442" t="inlineStr"/>
      <c r="N4442" t="inlineStr">
        <is>
          <t>20240813800270</t>
        </is>
      </c>
      <c r="O4442">
        <f>HYPERLINK("https://dart.fss.or.kr/dsaf001/main.do?rcpNo=20240813800270", "공시열람")</f>
        <v/>
      </c>
    </row>
    <row r="4443">
      <c r="A4443" t="inlineStr">
        <is>
          <t>2024-08-12</t>
        </is>
      </c>
      <c r="B4443" t="inlineStr">
        <is>
          <t>서울바이오시스</t>
        </is>
      </c>
      <c r="C4443" t="inlineStr">
        <is>
          <t>092190</t>
        </is>
      </c>
      <c r="D4443" t="inlineStr">
        <is>
          <t>연결</t>
        </is>
      </c>
      <c r="E4443" t="inlineStr">
        <is>
          <t>2024Q2</t>
        </is>
      </c>
      <c r="F4443" s="2" t="n">
        <v>188345</v>
      </c>
      <c r="G4443" t="inlineStr"/>
      <c r="H4443" t="inlineStr"/>
      <c r="I4443" s="2" t="n">
        <v>6284</v>
      </c>
      <c r="J4443" t="inlineStr"/>
      <c r="K4443" t="inlineStr"/>
      <c r="L4443" s="2" t="n">
        <v>42128</v>
      </c>
      <c r="M4443" t="inlineStr"/>
      <c r="N4443" t="inlineStr">
        <is>
          <t>20240812900268</t>
        </is>
      </c>
      <c r="O4443">
        <f>HYPERLINK("https://dart.fss.or.kr/dsaf001/main.do?rcpNo=20240812900268", "공시열람")</f>
        <v/>
      </c>
    </row>
    <row r="4444">
      <c r="A4444" t="inlineStr">
        <is>
          <t>2024-08-12</t>
        </is>
      </c>
      <c r="B4444" t="inlineStr">
        <is>
          <t>아비코전자</t>
        </is>
      </c>
      <c r="C4444" t="inlineStr">
        <is>
          <t>036010</t>
        </is>
      </c>
      <c r="D4444" t="inlineStr">
        <is>
          <t>연결</t>
        </is>
      </c>
      <c r="E4444" t="inlineStr">
        <is>
          <t>2024Q2</t>
        </is>
      </c>
      <c r="F4444" s="2" t="n">
        <v>32061</v>
      </c>
      <c r="G4444" t="inlineStr"/>
      <c r="H4444" t="inlineStr"/>
      <c r="I4444" s="2" t="n">
        <v>-734</v>
      </c>
      <c r="J4444" t="inlineStr"/>
      <c r="K4444" t="inlineStr"/>
      <c r="L4444" s="2" t="n">
        <v>-188</v>
      </c>
      <c r="M4444" t="inlineStr"/>
      <c r="N4444" t="inlineStr">
        <is>
          <t>20240812900342</t>
        </is>
      </c>
      <c r="O4444">
        <f>HYPERLINK("https://dart.fss.or.kr/dsaf001/main.do?rcpNo=20240812900342", "공시열람")</f>
        <v/>
      </c>
    </row>
    <row r="4445">
      <c r="A4445" t="inlineStr">
        <is>
          <t>2024-08-12</t>
        </is>
      </c>
      <c r="B4445" t="inlineStr">
        <is>
          <t>KT지니뮤직</t>
        </is>
      </c>
      <c r="C4445" t="inlineStr">
        <is>
          <t>043610</t>
        </is>
      </c>
      <c r="D4445" t="inlineStr">
        <is>
          <t>연결</t>
        </is>
      </c>
      <c r="E4445" t="inlineStr">
        <is>
          <t>2024Q2</t>
        </is>
      </c>
      <c r="F4445" s="2" t="n">
        <v>73709</v>
      </c>
      <c r="G4445" t="inlineStr"/>
      <c r="H4445" t="inlineStr"/>
      <c r="I4445" s="2" t="n">
        <v>4602</v>
      </c>
      <c r="J4445" t="inlineStr"/>
      <c r="K4445" t="inlineStr"/>
      <c r="L4445" s="2" t="n">
        <v>-579</v>
      </c>
      <c r="M4445" t="inlineStr"/>
      <c r="N4445" t="inlineStr">
        <is>
          <t>20240812900700</t>
        </is>
      </c>
      <c r="O4445">
        <f>HYPERLINK("https://dart.fss.or.kr/dsaf001/main.do?rcpNo=20240812900700", "공시열람")</f>
        <v/>
      </c>
    </row>
    <row r="4446">
      <c r="A4446" t="inlineStr">
        <is>
          <t>2024-08-12</t>
        </is>
      </c>
      <c r="B4446" t="inlineStr">
        <is>
          <t>LX홀딩스</t>
        </is>
      </c>
      <c r="C4446" t="inlineStr">
        <is>
          <t>383800</t>
        </is>
      </c>
      <c r="D4446" t="inlineStr">
        <is>
          <t>연결</t>
        </is>
      </c>
      <c r="E4446" t="inlineStr">
        <is>
          <t>2024Q2</t>
        </is>
      </c>
      <c r="F4446" s="2" t="n">
        <v>10646</v>
      </c>
      <c r="G4446" t="n">
        <v>16</v>
      </c>
      <c r="H4446" t="n">
        <v>-2.1</v>
      </c>
      <c r="I4446" s="2" t="n">
        <v>58660</v>
      </c>
      <c r="J4446" t="n">
        <v>20.6</v>
      </c>
      <c r="K4446" t="n">
        <v>172</v>
      </c>
      <c r="L4446" s="2" t="n">
        <v>59738</v>
      </c>
      <c r="M4446" t="n">
        <v>168.2</v>
      </c>
      <c r="N4446" t="inlineStr">
        <is>
          <t>20240812800703</t>
        </is>
      </c>
      <c r="O4446">
        <f>HYPERLINK("https://dart.fss.or.kr/dsaf001/main.do?rcpNo=20240812800703", "공시열람")</f>
        <v/>
      </c>
    </row>
    <row r="4447">
      <c r="A4447" t="inlineStr">
        <is>
          <t>2024-08-12</t>
        </is>
      </c>
      <c r="B4447" t="inlineStr">
        <is>
          <t>경동나비엔</t>
        </is>
      </c>
      <c r="C4447" t="inlineStr">
        <is>
          <t>009450</t>
        </is>
      </c>
      <c r="D4447" t="inlineStr">
        <is>
          <t>연결</t>
        </is>
      </c>
      <c r="E4447" t="inlineStr">
        <is>
          <t>2024Q2</t>
        </is>
      </c>
      <c r="F4447" s="2" t="n">
        <v>307577</v>
      </c>
      <c r="G4447" t="n">
        <v>-4.8</v>
      </c>
      <c r="H4447" t="n">
        <v>19.6</v>
      </c>
      <c r="I4447" s="2" t="n">
        <v>29465</v>
      </c>
      <c r="J4447" t="n">
        <v>-9.5</v>
      </c>
      <c r="K4447" t="n">
        <v>181</v>
      </c>
      <c r="L4447" s="2" t="n">
        <v>28489</v>
      </c>
      <c r="M4447" t="n">
        <v>154.7</v>
      </c>
      <c r="N4447" t="inlineStr">
        <is>
          <t>20240812800315</t>
        </is>
      </c>
      <c r="O4447">
        <f>HYPERLINK("https://dart.fss.or.kr/dsaf001/main.do?rcpNo=20240812800315", "공시열람")</f>
        <v/>
      </c>
    </row>
    <row r="4448">
      <c r="A4448" t="inlineStr">
        <is>
          <t>2024-08-12</t>
        </is>
      </c>
      <c r="B4448" t="inlineStr">
        <is>
          <t>광동제약</t>
        </is>
      </c>
      <c r="C4448" t="inlineStr">
        <is>
          <t>009290</t>
        </is>
      </c>
      <c r="D4448" t="inlineStr">
        <is>
          <t>연결</t>
        </is>
      </c>
      <c r="E4448" t="inlineStr">
        <is>
          <t>2024Q2</t>
        </is>
      </c>
      <c r="F4448" s="2" t="n">
        <v>412813</v>
      </c>
      <c r="G4448" t="n">
        <v>0.1</v>
      </c>
      <c r="H4448" t="n">
        <v>10</v>
      </c>
      <c r="I4448" s="2" t="n">
        <v>5042</v>
      </c>
      <c r="J4448" t="n">
        <v>-70.40000000000001</v>
      </c>
      <c r="K4448" t="n">
        <v>-57.7</v>
      </c>
      <c r="L4448" s="2" t="n">
        <v>1698</v>
      </c>
      <c r="M4448" t="n">
        <v>-81.09999999999999</v>
      </c>
      <c r="N4448" t="inlineStr">
        <is>
          <t>20240812800660</t>
        </is>
      </c>
      <c r="O4448">
        <f>HYPERLINK("https://dart.fss.or.kr/dsaf001/main.do?rcpNo=20240812800660", "공시열람")</f>
        <v/>
      </c>
    </row>
    <row r="4449">
      <c r="A4449" t="inlineStr">
        <is>
          <t>2024-08-12</t>
        </is>
      </c>
      <c r="B4449" t="inlineStr">
        <is>
          <t>아이크래프트</t>
        </is>
      </c>
      <c r="C4449" t="inlineStr">
        <is>
          <t>052460</t>
        </is>
      </c>
      <c r="D4449" t="inlineStr">
        <is>
          <t>연결</t>
        </is>
      </c>
      <c r="E4449" t="inlineStr">
        <is>
          <t>2024Q2</t>
        </is>
      </c>
      <c r="F4449" s="2" t="n">
        <v>19740</v>
      </c>
      <c r="G4449" t="inlineStr"/>
      <c r="H4449" t="inlineStr"/>
      <c r="I4449" s="2" t="n">
        <v>-1584</v>
      </c>
      <c r="J4449" t="inlineStr"/>
      <c r="K4449" t="inlineStr"/>
      <c r="L4449" s="2" t="n">
        <v>-2062</v>
      </c>
      <c r="M4449" t="inlineStr"/>
      <c r="N4449" t="inlineStr">
        <is>
          <t>20240812900552</t>
        </is>
      </c>
      <c r="O4449">
        <f>HYPERLINK("https://dart.fss.or.kr/dsaf001/main.do?rcpNo=20240812900552", "공시열람")</f>
        <v/>
      </c>
    </row>
    <row r="4450">
      <c r="A4450" t="inlineStr">
        <is>
          <t>2024-08-12</t>
        </is>
      </c>
      <c r="B4450" t="inlineStr">
        <is>
          <t>아이크래프트</t>
        </is>
      </c>
      <c r="C4450" t="inlineStr">
        <is>
          <t>052460</t>
        </is>
      </c>
      <c r="D4450" t="inlineStr">
        <is>
          <t>별도</t>
        </is>
      </c>
      <c r="E4450" t="inlineStr">
        <is>
          <t>2024Q2</t>
        </is>
      </c>
      <c r="F4450" s="2" t="n">
        <v>16585</v>
      </c>
      <c r="G4450" t="inlineStr"/>
      <c r="H4450" t="inlineStr"/>
      <c r="I4450" s="2" t="n">
        <v>-2090</v>
      </c>
      <c r="J4450" t="inlineStr"/>
      <c r="K4450" t="inlineStr"/>
      <c r="L4450" s="2" t="n">
        <v>-2290</v>
      </c>
      <c r="M4450" t="inlineStr"/>
      <c r="N4450" t="inlineStr">
        <is>
          <t>20240812900546</t>
        </is>
      </c>
      <c r="O4450">
        <f>HYPERLINK("https://dart.fss.or.kr/dsaf001/main.do?rcpNo=20240812900546", "공시열람")</f>
        <v/>
      </c>
    </row>
    <row r="4451">
      <c r="A4451" t="inlineStr">
        <is>
          <t>2024-08-12</t>
        </is>
      </c>
      <c r="B4451" t="inlineStr">
        <is>
          <t>코스메카코리아</t>
        </is>
      </c>
      <c r="C4451" t="inlineStr">
        <is>
          <t>241710</t>
        </is>
      </c>
      <c r="D4451" t="inlineStr">
        <is>
          <t>연결</t>
        </is>
      </c>
      <c r="E4451" t="inlineStr">
        <is>
          <t>2024Q2</t>
        </is>
      </c>
      <c r="F4451" s="2" t="n">
        <v>143770</v>
      </c>
      <c r="G4451" t="inlineStr"/>
      <c r="H4451" t="inlineStr"/>
      <c r="I4451" s="2" t="n">
        <v>18094</v>
      </c>
      <c r="J4451" t="inlineStr"/>
      <c r="K4451" t="inlineStr"/>
      <c r="L4451" s="2" t="n">
        <v>16309</v>
      </c>
      <c r="M4451" t="inlineStr"/>
      <c r="N4451" t="inlineStr">
        <is>
          <t>20240812900516</t>
        </is>
      </c>
      <c r="O4451">
        <f>HYPERLINK("https://dart.fss.or.kr/dsaf001/main.do?rcpNo=20240812900516", "공시열람")</f>
        <v/>
      </c>
    </row>
    <row r="4452">
      <c r="A4452" t="inlineStr">
        <is>
          <t>2024-08-12</t>
        </is>
      </c>
      <c r="B4452" t="inlineStr">
        <is>
          <t>서울반도체</t>
        </is>
      </c>
      <c r="C4452" t="inlineStr">
        <is>
          <t>046890</t>
        </is>
      </c>
      <c r="D4452" t="inlineStr">
        <is>
          <t>연결</t>
        </is>
      </c>
      <c r="E4452" t="inlineStr">
        <is>
          <t>2024Q2</t>
        </is>
      </c>
      <c r="F4452" s="2" t="n">
        <v>283014</v>
      </c>
      <c r="G4452" t="inlineStr"/>
      <c r="H4452" t="inlineStr"/>
      <c r="I4452" s="2" t="n">
        <v>4035</v>
      </c>
      <c r="J4452" t="inlineStr"/>
      <c r="K4452" t="inlineStr"/>
      <c r="L4452" s="2" t="n">
        <v>8619</v>
      </c>
      <c r="M4452" t="inlineStr"/>
      <c r="N4452" t="inlineStr">
        <is>
          <t>20240812900271</t>
        </is>
      </c>
      <c r="O4452">
        <f>HYPERLINK("https://dart.fss.or.kr/dsaf001/main.do?rcpNo=20240812900271", "공시열람")</f>
        <v/>
      </c>
    </row>
    <row r="4453">
      <c r="A4453" t="inlineStr">
        <is>
          <t>2024-08-12</t>
        </is>
      </c>
      <c r="B4453" t="inlineStr">
        <is>
          <t>심텍홀딩스</t>
        </is>
      </c>
      <c r="C4453" t="inlineStr">
        <is>
          <t>036710</t>
        </is>
      </c>
      <c r="D4453" t="inlineStr">
        <is>
          <t>연결</t>
        </is>
      </c>
      <c r="E4453" t="inlineStr">
        <is>
          <t>2024Q2</t>
        </is>
      </c>
      <c r="F4453" s="2" t="n">
        <v>317863</v>
      </c>
      <c r="G4453" t="inlineStr"/>
      <c r="H4453" t="inlineStr"/>
      <c r="I4453" s="2" t="n">
        <v>-16225</v>
      </c>
      <c r="J4453" t="inlineStr"/>
      <c r="K4453" t="inlineStr"/>
      <c r="L4453" s="2" t="n">
        <v>-35683</v>
      </c>
      <c r="M4453" t="inlineStr"/>
      <c r="N4453" t="inlineStr">
        <is>
          <t>20240812900479</t>
        </is>
      </c>
      <c r="O4453">
        <f>HYPERLINK("https://dart.fss.or.kr/dsaf001/main.do?rcpNo=20240812900479", "공시열람")</f>
        <v/>
      </c>
    </row>
    <row r="4454">
      <c r="A4454" t="inlineStr">
        <is>
          <t>2024-08-12</t>
        </is>
      </c>
      <c r="B4454" t="inlineStr">
        <is>
          <t>크래프톤</t>
        </is>
      </c>
      <c r="C4454" t="inlineStr">
        <is>
          <t>259960</t>
        </is>
      </c>
      <c r="D4454" t="inlineStr">
        <is>
          <t>연결</t>
        </is>
      </c>
      <c r="E4454" t="inlineStr">
        <is>
          <t>2024Q2</t>
        </is>
      </c>
      <c r="F4454" s="2" t="n">
        <v>707000</v>
      </c>
      <c r="G4454" t="n">
        <v>6.2</v>
      </c>
      <c r="H4454" t="n">
        <v>82.7</v>
      </c>
      <c r="I4454" s="2" t="n">
        <v>332100</v>
      </c>
      <c r="J4454" t="n">
        <v>7</v>
      </c>
      <c r="K4454" t="n">
        <v>152.6</v>
      </c>
      <c r="L4454" s="2" t="n">
        <v>341400</v>
      </c>
      <c r="M4454" t="n">
        <v>165.7</v>
      </c>
      <c r="N4454" t="inlineStr">
        <is>
          <t>20240812800365</t>
        </is>
      </c>
      <c r="O4454">
        <f>HYPERLINK("https://dart.fss.or.kr/dsaf001/main.do?rcpNo=20240812800365", "공시열람")</f>
        <v/>
      </c>
    </row>
    <row r="4455">
      <c r="A4455" t="inlineStr">
        <is>
          <t>2024-08-12</t>
        </is>
      </c>
      <c r="B4455" t="inlineStr">
        <is>
          <t>SK네트웍스</t>
        </is>
      </c>
      <c r="C4455" t="inlineStr">
        <is>
          <t>001740</t>
        </is>
      </c>
      <c r="D4455" t="inlineStr">
        <is>
          <t>연결</t>
        </is>
      </c>
      <c r="E4455" t="inlineStr">
        <is>
          <t>2024Q2</t>
        </is>
      </c>
      <c r="F4455" s="2" t="n">
        <v>1689973</v>
      </c>
      <c r="G4455" t="n">
        <v>-18.6</v>
      </c>
      <c r="H4455" t="n">
        <v>0.6</v>
      </c>
      <c r="I4455" s="2" t="n">
        <v>29082</v>
      </c>
      <c r="J4455" t="n">
        <v>48.9</v>
      </c>
      <c r="K4455" t="n">
        <v>14.8</v>
      </c>
      <c r="L4455" s="2" t="n">
        <v>21245</v>
      </c>
      <c r="M4455" t="n">
        <v>115.3</v>
      </c>
      <c r="N4455" t="inlineStr">
        <is>
          <t>20240812800377</t>
        </is>
      </c>
      <c r="O4455">
        <f>HYPERLINK("https://dart.fss.or.kr/dsaf001/main.do?rcpNo=20240812800377", "공시열람")</f>
        <v/>
      </c>
    </row>
    <row r="4456">
      <c r="A4456" t="inlineStr">
        <is>
          <t>2024-08-12</t>
        </is>
      </c>
      <c r="B4456" t="inlineStr">
        <is>
          <t>잉글우드랩</t>
        </is>
      </c>
      <c r="C4456" t="inlineStr">
        <is>
          <t>950140</t>
        </is>
      </c>
      <c r="D4456" t="inlineStr">
        <is>
          <t>연결</t>
        </is>
      </c>
      <c r="E4456" t="inlineStr">
        <is>
          <t>2024Q2</t>
        </is>
      </c>
      <c r="F4456" s="2" t="n">
        <v>45973</v>
      </c>
      <c r="G4456" t="inlineStr"/>
      <c r="H4456" t="inlineStr"/>
      <c r="I4456" s="2" t="n">
        <v>4311</v>
      </c>
      <c r="J4456" t="inlineStr"/>
      <c r="K4456" t="inlineStr"/>
      <c r="L4456" s="2" t="n">
        <v>4646</v>
      </c>
      <c r="M4456" t="inlineStr"/>
      <c r="N4456" t="inlineStr">
        <is>
          <t>20240812900381</t>
        </is>
      </c>
      <c r="O4456">
        <f>HYPERLINK("https://dart.fss.or.kr/dsaf001/main.do?rcpNo=20240812900381", "공시열람")</f>
        <v/>
      </c>
    </row>
    <row r="4457">
      <c r="A4457" t="inlineStr">
        <is>
          <t>2024-08-12</t>
        </is>
      </c>
      <c r="B4457" t="inlineStr">
        <is>
          <t>GKL</t>
        </is>
      </c>
      <c r="C4457" t="inlineStr">
        <is>
          <t>114090</t>
        </is>
      </c>
      <c r="D4457" t="inlineStr">
        <is>
          <t>연결</t>
        </is>
      </c>
      <c r="E4457" t="inlineStr">
        <is>
          <t>2024Q2</t>
        </is>
      </c>
      <c r="F4457" s="2" t="n">
        <v>98829</v>
      </c>
      <c r="G4457" t="inlineStr"/>
      <c r="H4457" t="inlineStr"/>
      <c r="I4457" s="2" t="n">
        <v>13209</v>
      </c>
      <c r="J4457" t="n">
        <v>-4.6</v>
      </c>
      <c r="K4457" t="inlineStr"/>
      <c r="L4457" s="2" t="n">
        <v>11326</v>
      </c>
      <c r="M4457" t="inlineStr"/>
      <c r="N4457" t="inlineStr">
        <is>
          <t>20240812800391</t>
        </is>
      </c>
      <c r="O4457">
        <f>HYPERLINK("https://dart.fss.or.kr/dsaf001/main.do?rcpNo=20240812800391", "공시열람")</f>
        <v/>
      </c>
    </row>
    <row r="4458">
      <c r="A4458" t="inlineStr">
        <is>
          <t>2024-08-12</t>
        </is>
      </c>
      <c r="B4458" t="inlineStr">
        <is>
          <t>KT나스미디어</t>
        </is>
      </c>
      <c r="C4458" t="inlineStr">
        <is>
          <t>089600</t>
        </is>
      </c>
      <c r="D4458" t="inlineStr">
        <is>
          <t>별도</t>
        </is>
      </c>
      <c r="E4458" t="inlineStr">
        <is>
          <t>2024Q2</t>
        </is>
      </c>
      <c r="F4458" s="2" t="n">
        <v>25975</v>
      </c>
      <c r="G4458" t="inlineStr"/>
      <c r="H4458" t="inlineStr"/>
      <c r="I4458" s="2" t="n">
        <v>5889</v>
      </c>
      <c r="J4458" t="inlineStr"/>
      <c r="K4458" t="inlineStr"/>
      <c r="L4458" s="2" t="n">
        <v>6012</v>
      </c>
      <c r="M4458" t="inlineStr"/>
      <c r="N4458" t="inlineStr">
        <is>
          <t>20240812900412</t>
        </is>
      </c>
      <c r="O4458">
        <f>HYPERLINK("https://dart.fss.or.kr/dsaf001/main.do?rcpNo=20240812900412", "공시열람")</f>
        <v/>
      </c>
    </row>
    <row r="4459">
      <c r="A4459" t="inlineStr">
        <is>
          <t>2024-08-12</t>
        </is>
      </c>
      <c r="B4459" t="inlineStr">
        <is>
          <t>동양생명</t>
        </is>
      </c>
      <c r="C4459" t="inlineStr">
        <is>
          <t>082640</t>
        </is>
      </c>
      <c r="D4459" t="inlineStr">
        <is>
          <t>별도</t>
        </is>
      </c>
      <c r="E4459" t="inlineStr">
        <is>
          <t>2024Q2</t>
        </is>
      </c>
      <c r="F4459" s="2" t="n">
        <v>892777</v>
      </c>
      <c r="G4459" t="n">
        <v>-6.16</v>
      </c>
      <c r="H4459" t="n">
        <v>30.15</v>
      </c>
      <c r="I4459" s="2" t="n">
        <v>114596</v>
      </c>
      <c r="J4459" t="n">
        <v>8.609999999999999</v>
      </c>
      <c r="K4459" t="n">
        <v>115.08</v>
      </c>
      <c r="L4459" s="2" t="n">
        <v>86857</v>
      </c>
      <c r="M4459" t="n">
        <v>98.51000000000001</v>
      </c>
      <c r="N4459" t="inlineStr">
        <is>
          <t>20240812800115</t>
        </is>
      </c>
      <c r="O4459">
        <f>HYPERLINK("https://dart.fss.or.kr/dsaf001/main.do?rcpNo=20240812800115", "공시열람")</f>
        <v/>
      </c>
    </row>
    <row r="4460">
      <c r="A4460" t="inlineStr">
        <is>
          <t>2024-08-12</t>
        </is>
      </c>
      <c r="B4460" t="inlineStr">
        <is>
          <t>동양생명</t>
        </is>
      </c>
      <c r="C4460" t="inlineStr">
        <is>
          <t>082640</t>
        </is>
      </c>
      <c r="D4460" t="inlineStr">
        <is>
          <t>연결</t>
        </is>
      </c>
      <c r="E4460" t="inlineStr">
        <is>
          <t>2024Q2</t>
        </is>
      </c>
      <c r="F4460" s="2" t="n">
        <v>897935</v>
      </c>
      <c r="G4460" t="n">
        <v>-6.59</v>
      </c>
      <c r="H4460" t="n">
        <v>29.43</v>
      </c>
      <c r="I4460" s="2" t="n">
        <v>113449</v>
      </c>
      <c r="J4460" t="n">
        <v>13.78</v>
      </c>
      <c r="K4460" t="n">
        <v>141.52</v>
      </c>
      <c r="L4460" s="2" t="n">
        <v>85682</v>
      </c>
      <c r="M4460" t="n">
        <v>130.48</v>
      </c>
      <c r="N4460" t="inlineStr">
        <is>
          <t>20240812800116</t>
        </is>
      </c>
      <c r="O4460">
        <f>HYPERLINK("https://dart.fss.or.kr/dsaf001/main.do?rcpNo=20240812800116", "공시열람")</f>
        <v/>
      </c>
    </row>
    <row r="4461">
      <c r="A4461" t="inlineStr">
        <is>
          <t>2024-08-12</t>
        </is>
      </c>
      <c r="B4461" t="inlineStr">
        <is>
          <t>코스맥스</t>
        </is>
      </c>
      <c r="C4461" t="inlineStr">
        <is>
          <t>192820</t>
        </is>
      </c>
      <c r="D4461" t="inlineStr">
        <is>
          <t>연결</t>
        </is>
      </c>
      <c r="E4461" t="inlineStr">
        <is>
          <t>2024Q2</t>
        </is>
      </c>
      <c r="F4461" s="2" t="n">
        <v>551453</v>
      </c>
      <c r="G4461" t="n">
        <v>4.7</v>
      </c>
      <c r="H4461" t="n">
        <v>15.1</v>
      </c>
      <c r="I4461" s="2" t="n">
        <v>46712</v>
      </c>
      <c r="J4461" t="n">
        <v>2.8</v>
      </c>
      <c r="K4461" t="n">
        <v>1.4</v>
      </c>
      <c r="L4461" s="2" t="n">
        <v>35297</v>
      </c>
      <c r="M4461" t="n">
        <v>28.9</v>
      </c>
      <c r="N4461" t="inlineStr">
        <is>
          <t>20240812800213</t>
        </is>
      </c>
      <c r="O4461">
        <f>HYPERLINK("https://dart.fss.or.kr/dsaf001/main.do?rcpNo=20240812800213", "공시열람")</f>
        <v/>
      </c>
    </row>
    <row r="4462">
      <c r="A4462" t="inlineStr">
        <is>
          <t>2024-08-12</t>
        </is>
      </c>
      <c r="B4462" t="inlineStr">
        <is>
          <t>아이쓰리시스템</t>
        </is>
      </c>
      <c r="C4462" t="inlineStr">
        <is>
          <t>214430</t>
        </is>
      </c>
      <c r="D4462" t="inlineStr">
        <is>
          <t>별도</t>
        </is>
      </c>
      <c r="E4462" t="inlineStr">
        <is>
          <t>2024Q2</t>
        </is>
      </c>
      <c r="F4462" s="2" t="n">
        <v>29927</v>
      </c>
      <c r="G4462" t="inlineStr"/>
      <c r="H4462" t="inlineStr"/>
      <c r="I4462" s="2" t="n">
        <v>4086</v>
      </c>
      <c r="J4462" t="inlineStr"/>
      <c r="K4462" t="inlineStr"/>
      <c r="L4462" s="2" t="n">
        <v>3913</v>
      </c>
      <c r="M4462" t="inlineStr"/>
      <c r="N4462" t="inlineStr">
        <is>
          <t>20240812900247</t>
        </is>
      </c>
      <c r="O4462">
        <f>HYPERLINK("https://dart.fss.or.kr/dsaf001/main.do?rcpNo=20240812900247", "공시열람")</f>
        <v/>
      </c>
    </row>
    <row r="4463">
      <c r="A4463" t="inlineStr">
        <is>
          <t>2024-08-12</t>
        </is>
      </c>
      <c r="B4463" t="inlineStr">
        <is>
          <t>KT나스미디어</t>
        </is>
      </c>
      <c r="C4463" t="inlineStr">
        <is>
          <t>089600</t>
        </is>
      </c>
      <c r="D4463" t="inlineStr">
        <is>
          <t>연결</t>
        </is>
      </c>
      <c r="E4463" t="inlineStr">
        <is>
          <t>2024Q2</t>
        </is>
      </c>
      <c r="F4463" s="2" t="n">
        <v>35916</v>
      </c>
      <c r="G4463" t="inlineStr"/>
      <c r="H4463" t="inlineStr"/>
      <c r="I4463" s="2" t="n">
        <v>6615</v>
      </c>
      <c r="J4463" t="inlineStr"/>
      <c r="K4463" t="inlineStr"/>
      <c r="L4463" s="2" t="n">
        <v>6904</v>
      </c>
      <c r="M4463" t="inlineStr"/>
      <c r="N4463" t="inlineStr">
        <is>
          <t>20240812900423</t>
        </is>
      </c>
      <c r="O4463">
        <f>HYPERLINK("https://dart.fss.or.kr/dsaf001/main.do?rcpNo=20240812900423", "공시열람")</f>
        <v/>
      </c>
    </row>
    <row r="4464">
      <c r="A4464" t="inlineStr">
        <is>
          <t>2024-08-12</t>
        </is>
      </c>
      <c r="B4464" t="inlineStr">
        <is>
          <t>이스트소프트</t>
        </is>
      </c>
      <c r="C4464" t="inlineStr">
        <is>
          <t>047560</t>
        </is>
      </c>
      <c r="D4464" t="inlineStr">
        <is>
          <t>연결</t>
        </is>
      </c>
      <c r="E4464" t="inlineStr">
        <is>
          <t>2024Q2</t>
        </is>
      </c>
      <c r="F4464" s="2" t="n">
        <v>27815</v>
      </c>
      <c r="G4464" t="inlineStr"/>
      <c r="H4464" t="inlineStr"/>
      <c r="I4464" s="2" t="n">
        <v>-2220</v>
      </c>
      <c r="J4464" t="inlineStr"/>
      <c r="K4464" t="inlineStr"/>
      <c r="L4464" s="2" t="n">
        <v>-2747</v>
      </c>
      <c r="M4464" t="inlineStr"/>
      <c r="N4464" t="inlineStr">
        <is>
          <t>20240812900301</t>
        </is>
      </c>
      <c r="O4464">
        <f>HYPERLINK("https://dart.fss.or.kr/dsaf001/main.do?rcpNo=20240812900301", "공시열람")</f>
        <v/>
      </c>
    </row>
    <row r="4465">
      <c r="A4465" t="inlineStr">
        <is>
          <t>2024-08-12</t>
        </is>
      </c>
      <c r="B4465" t="inlineStr">
        <is>
          <t>원익QnC</t>
        </is>
      </c>
      <c r="C4465" t="inlineStr">
        <is>
          <t>074600</t>
        </is>
      </c>
      <c r="D4465" t="inlineStr">
        <is>
          <t>연결</t>
        </is>
      </c>
      <c r="E4465" t="inlineStr">
        <is>
          <t>2024Q2</t>
        </is>
      </c>
      <c r="F4465" s="2" t="n">
        <v>232978</v>
      </c>
      <c r="G4465" t="inlineStr"/>
      <c r="H4465" t="inlineStr"/>
      <c r="I4465" s="2" t="n">
        <v>36316</v>
      </c>
      <c r="J4465" t="inlineStr"/>
      <c r="K4465" t="inlineStr"/>
      <c r="L4465" s="2" t="n">
        <v>20138</v>
      </c>
      <c r="M4465" t="inlineStr"/>
      <c r="N4465" t="inlineStr">
        <is>
          <t>20240812900474</t>
        </is>
      </c>
      <c r="O4465">
        <f>HYPERLINK("https://dart.fss.or.kr/dsaf001/main.do?rcpNo=20240812900474", "공시열람")</f>
        <v/>
      </c>
    </row>
    <row r="4466">
      <c r="A4466" t="inlineStr">
        <is>
          <t>2024-08-09</t>
        </is>
      </c>
      <c r="B4466" t="inlineStr">
        <is>
          <t>한샘</t>
        </is>
      </c>
      <c r="C4466" t="inlineStr">
        <is>
          <t>009240</t>
        </is>
      </c>
      <c r="D4466" t="inlineStr">
        <is>
          <t>연결</t>
        </is>
      </c>
      <c r="E4466" t="inlineStr">
        <is>
          <t>2024Q2</t>
        </is>
      </c>
      <c r="F4466" s="2" t="n">
        <v>477996</v>
      </c>
      <c r="G4466" t="n">
        <v>-1.6</v>
      </c>
      <c r="H4466" t="n">
        <v>-7.1</v>
      </c>
      <c r="I4466" s="2" t="n">
        <v>7090</v>
      </c>
      <c r="J4466" t="n">
        <v>-45.4</v>
      </c>
      <c r="K4466" t="n">
        <v>478.3</v>
      </c>
      <c r="L4466" s="2" t="n">
        <v>13541</v>
      </c>
      <c r="M4466" t="inlineStr"/>
      <c r="N4466" t="inlineStr">
        <is>
          <t>20240809800642</t>
        </is>
      </c>
      <c r="O4466">
        <f>HYPERLINK("https://dart.fss.or.kr/dsaf001/main.do?rcpNo=20240809800642", "공시열람")</f>
        <v/>
      </c>
    </row>
    <row r="4467">
      <c r="A4467" t="inlineStr">
        <is>
          <t>2024-08-09</t>
        </is>
      </c>
      <c r="B4467" t="inlineStr">
        <is>
          <t>NAVER</t>
        </is>
      </c>
      <c r="C4467" t="inlineStr">
        <is>
          <t>035420</t>
        </is>
      </c>
      <c r="D4467" t="inlineStr">
        <is>
          <t>연결</t>
        </is>
      </c>
      <c r="E4467" t="inlineStr">
        <is>
          <t>2024Q2</t>
        </is>
      </c>
      <c r="F4467" s="2" t="n">
        <v>2610500</v>
      </c>
      <c r="G4467" t="n">
        <v>3.3</v>
      </c>
      <c r="H4467" t="n">
        <v>8.4</v>
      </c>
      <c r="I4467" s="2" t="n">
        <v>472700</v>
      </c>
      <c r="J4467" t="n">
        <v>7.6</v>
      </c>
      <c r="K4467" t="n">
        <v>26.8</v>
      </c>
      <c r="L4467" s="2" t="n">
        <v>332100</v>
      </c>
      <c r="M4467" t="n">
        <v>15.8</v>
      </c>
      <c r="N4467" t="inlineStr">
        <is>
          <t>20240809800001</t>
        </is>
      </c>
      <c r="O4467">
        <f>HYPERLINK("https://dart.fss.or.kr/dsaf001/main.do?rcpNo=20240809800001", "공시열람")</f>
        <v/>
      </c>
    </row>
    <row r="4468">
      <c r="A4468" t="inlineStr">
        <is>
          <t>2024-08-09</t>
        </is>
      </c>
      <c r="B4468" t="inlineStr">
        <is>
          <t>케이티</t>
        </is>
      </c>
      <c r="C4468" t="inlineStr">
        <is>
          <t>030200</t>
        </is>
      </c>
      <c r="D4468" t="inlineStr">
        <is>
          <t>연결</t>
        </is>
      </c>
      <c r="E4468" t="inlineStr">
        <is>
          <t>2024Q2</t>
        </is>
      </c>
      <c r="F4468" s="2" t="n">
        <v>6546400</v>
      </c>
      <c r="G4468" t="n">
        <v>-1.6</v>
      </c>
      <c r="H4468" t="n">
        <v>0</v>
      </c>
      <c r="I4468" s="2" t="n">
        <v>494000</v>
      </c>
      <c r="J4468" t="n">
        <v>-2.5</v>
      </c>
      <c r="K4468" t="n">
        <v>-14.3</v>
      </c>
      <c r="L4468" s="2" t="n">
        <v>410500</v>
      </c>
      <c r="M4468" t="n">
        <v>-5.1</v>
      </c>
      <c r="N4468" t="inlineStr">
        <is>
          <t>20240809800110</t>
        </is>
      </c>
      <c r="O4468">
        <f>HYPERLINK("https://dart.fss.or.kr/dsaf001/main.do?rcpNo=20240809800110", "공시열람")</f>
        <v/>
      </c>
    </row>
    <row r="4469">
      <c r="A4469" t="inlineStr">
        <is>
          <t>2024-08-09</t>
        </is>
      </c>
      <c r="B4469" t="inlineStr">
        <is>
          <t>와이지엔터테인먼트</t>
        </is>
      </c>
      <c r="C4469" t="inlineStr">
        <is>
          <t>122870</t>
        </is>
      </c>
      <c r="D4469" t="inlineStr">
        <is>
          <t>연결</t>
        </is>
      </c>
      <c r="E4469" t="inlineStr">
        <is>
          <t>2024Q2</t>
        </is>
      </c>
      <c r="F4469" s="2" t="n">
        <v>90011</v>
      </c>
      <c r="G4469" t="inlineStr"/>
      <c r="H4469" t="inlineStr"/>
      <c r="I4469" s="2" t="n">
        <v>-10976</v>
      </c>
      <c r="J4469" t="inlineStr"/>
      <c r="K4469" t="inlineStr"/>
      <c r="L4469" s="2" t="n">
        <v>-338</v>
      </c>
      <c r="M4469" t="inlineStr"/>
      <c r="N4469" t="inlineStr">
        <is>
          <t>20240809900246</t>
        </is>
      </c>
      <c r="O4469">
        <f>HYPERLINK("https://dart.fss.or.kr/dsaf001/main.do?rcpNo=20240809900246", "공시열람")</f>
        <v/>
      </c>
    </row>
    <row r="4470">
      <c r="A4470" t="inlineStr">
        <is>
          <t>2024-08-09</t>
        </is>
      </c>
      <c r="B4470" t="inlineStr">
        <is>
          <t>아진전자부품</t>
        </is>
      </c>
      <c r="C4470" t="inlineStr">
        <is>
          <t>009320</t>
        </is>
      </c>
      <c r="D4470" t="inlineStr">
        <is>
          <t>별도</t>
        </is>
      </c>
      <c r="E4470" t="inlineStr">
        <is>
          <t>2024Q2</t>
        </is>
      </c>
      <c r="F4470" s="2" t="n">
        <v>32694</v>
      </c>
      <c r="G4470" t="n">
        <v>10.9</v>
      </c>
      <c r="H4470" t="n">
        <v>15.8</v>
      </c>
      <c r="I4470" s="2" t="n">
        <v>1389</v>
      </c>
      <c r="J4470" t="n">
        <v>313.4</v>
      </c>
      <c r="K4470" t="inlineStr"/>
      <c r="L4470" s="2" t="n">
        <v>513</v>
      </c>
      <c r="M4470" t="n">
        <v>14</v>
      </c>
      <c r="N4470" t="inlineStr">
        <is>
          <t>20240809800199</t>
        </is>
      </c>
      <c r="O4470">
        <f>HYPERLINK("https://dart.fss.or.kr/dsaf001/main.do?rcpNo=20240809800199", "공시열람")</f>
        <v/>
      </c>
    </row>
    <row r="4471">
      <c r="A4471" t="inlineStr">
        <is>
          <t>2024-08-09</t>
        </is>
      </c>
      <c r="B4471" t="inlineStr">
        <is>
          <t>대웅제약</t>
        </is>
      </c>
      <c r="C4471" t="inlineStr">
        <is>
          <t>069620</t>
        </is>
      </c>
      <c r="D4471" t="inlineStr">
        <is>
          <t>별도</t>
        </is>
      </c>
      <c r="E4471" t="inlineStr">
        <is>
          <t>2024Q2</t>
        </is>
      </c>
      <c r="F4471" s="2" t="n">
        <v>325533</v>
      </c>
      <c r="G4471" t="n">
        <v>9.76</v>
      </c>
      <c r="H4471" t="n">
        <v>6.01</v>
      </c>
      <c r="I4471" s="2" t="n">
        <v>49602</v>
      </c>
      <c r="J4471" t="n">
        <v>58.83</v>
      </c>
      <c r="K4471" t="n">
        <v>37.07</v>
      </c>
      <c r="L4471" s="2" t="n">
        <v>6578</v>
      </c>
      <c r="M4471" t="n">
        <v>-77.09999999999999</v>
      </c>
      <c r="N4471" t="inlineStr">
        <is>
          <t>20240809800155</t>
        </is>
      </c>
      <c r="O4471">
        <f>HYPERLINK("https://dart.fss.or.kr/dsaf001/main.do?rcpNo=20240809800155", "공시열람")</f>
        <v/>
      </c>
    </row>
    <row r="4472">
      <c r="A4472" t="inlineStr">
        <is>
          <t>2024-08-09</t>
        </is>
      </c>
      <c r="B4472" t="inlineStr">
        <is>
          <t>메디톡스</t>
        </is>
      </c>
      <c r="C4472" t="inlineStr">
        <is>
          <t>086900</t>
        </is>
      </c>
      <c r="D4472" t="inlineStr">
        <is>
          <t>연결</t>
        </is>
      </c>
      <c r="E4472" t="inlineStr">
        <is>
          <t>2024Q2</t>
        </is>
      </c>
      <c r="F4472" s="2" t="n">
        <v>65006</v>
      </c>
      <c r="G4472" t="inlineStr"/>
      <c r="H4472" t="inlineStr"/>
      <c r="I4472" s="2" t="n">
        <v>14332</v>
      </c>
      <c r="J4472" t="inlineStr"/>
      <c r="K4472" t="inlineStr"/>
      <c r="L4472" s="2" t="n">
        <v>11329</v>
      </c>
      <c r="M4472" t="inlineStr"/>
      <c r="N4472" t="inlineStr">
        <is>
          <t>20240809900134</t>
        </is>
      </c>
      <c r="O4472">
        <f>HYPERLINK("https://dart.fss.or.kr/dsaf001/main.do?rcpNo=20240809900134", "공시열람")</f>
        <v/>
      </c>
    </row>
    <row r="4473">
      <c r="A4473" t="inlineStr">
        <is>
          <t>2024-08-09</t>
        </is>
      </c>
      <c r="B4473" t="inlineStr">
        <is>
          <t>CJ대한통운</t>
        </is>
      </c>
      <c r="C4473" t="inlineStr">
        <is>
          <t>000120</t>
        </is>
      </c>
      <c r="D4473" t="inlineStr">
        <is>
          <t>연결</t>
        </is>
      </c>
      <c r="E4473" t="inlineStr">
        <is>
          <t>2024Q2</t>
        </is>
      </c>
      <c r="F4473" s="2" t="n">
        <v>3059182</v>
      </c>
      <c r="G4473" t="n">
        <v>4.7</v>
      </c>
      <c r="H4473" t="n">
        <v>3.3</v>
      </c>
      <c r="I4473" s="2" t="n">
        <v>125361</v>
      </c>
      <c r="J4473" t="n">
        <v>14.6</v>
      </c>
      <c r="K4473" t="n">
        <v>11.5</v>
      </c>
      <c r="L4473" s="2" t="n">
        <v>61307</v>
      </c>
      <c r="M4473" t="n">
        <v>2</v>
      </c>
      <c r="N4473" t="inlineStr">
        <is>
          <t>20240809800113</t>
        </is>
      </c>
      <c r="O4473">
        <f>HYPERLINK("https://dart.fss.or.kr/dsaf001/main.do?rcpNo=20240809800113", "공시열람")</f>
        <v/>
      </c>
    </row>
    <row r="4474">
      <c r="A4474" t="inlineStr">
        <is>
          <t>2024-08-09</t>
        </is>
      </c>
      <c r="B4474" t="inlineStr">
        <is>
          <t>케이티</t>
        </is>
      </c>
      <c r="C4474" t="inlineStr">
        <is>
          <t>030200</t>
        </is>
      </c>
      <c r="D4474" t="inlineStr">
        <is>
          <t>별도</t>
        </is>
      </c>
      <c r="E4474" t="inlineStr">
        <is>
          <t>2024Q2</t>
        </is>
      </c>
      <c r="F4474" s="2" t="n">
        <v>4548300</v>
      </c>
      <c r="G4474" t="n">
        <v>-3.1</v>
      </c>
      <c r="H4474" t="n">
        <v>1.4</v>
      </c>
      <c r="I4474" s="2" t="n">
        <v>358800</v>
      </c>
      <c r="J4474" t="n">
        <v>-8.9</v>
      </c>
      <c r="K4474" t="n">
        <v>-12</v>
      </c>
      <c r="L4474" s="2" t="n">
        <v>314500</v>
      </c>
      <c r="M4474" t="n">
        <v>3.1</v>
      </c>
      <c r="N4474" t="inlineStr">
        <is>
          <t>20240809800112</t>
        </is>
      </c>
      <c r="O4474">
        <f>HYPERLINK("https://dart.fss.or.kr/dsaf001/main.do?rcpNo=20240809800112", "공시열람")</f>
        <v/>
      </c>
    </row>
    <row r="4475">
      <c r="A4475" t="inlineStr">
        <is>
          <t>2024-08-09</t>
        </is>
      </c>
      <c r="B4475" t="inlineStr">
        <is>
          <t>비씨엔씨</t>
        </is>
      </c>
      <c r="C4475" t="inlineStr">
        <is>
          <t>146320</t>
        </is>
      </c>
      <c r="D4475" t="inlineStr">
        <is>
          <t>별도</t>
        </is>
      </c>
      <c r="E4475" t="inlineStr">
        <is>
          <t>2024Q2</t>
        </is>
      </c>
      <c r="F4475" s="2" t="n">
        <v>18841</v>
      </c>
      <c r="G4475" t="inlineStr"/>
      <c r="H4475" t="inlineStr"/>
      <c r="I4475" s="2" t="n">
        <v>-479</v>
      </c>
      <c r="J4475" t="inlineStr"/>
      <c r="K4475" t="inlineStr"/>
      <c r="L4475" s="2" t="n">
        <v>-392</v>
      </c>
      <c r="M4475" t="inlineStr"/>
      <c r="N4475" t="inlineStr">
        <is>
          <t>20240809900659</t>
        </is>
      </c>
      <c r="O4475">
        <f>HYPERLINK("https://dart.fss.or.kr/dsaf001/main.do?rcpNo=20240809900659", "공시열람")</f>
        <v/>
      </c>
    </row>
    <row r="4476">
      <c r="A4476" t="inlineStr">
        <is>
          <t>2024-08-09</t>
        </is>
      </c>
      <c r="B4476" t="inlineStr">
        <is>
          <t>파라다이스</t>
        </is>
      </c>
      <c r="C4476" t="inlineStr">
        <is>
          <t>034230</t>
        </is>
      </c>
      <c r="D4476" t="inlineStr">
        <is>
          <t>연결</t>
        </is>
      </c>
      <c r="E4476" t="inlineStr">
        <is>
          <t>2024Q2</t>
        </is>
      </c>
      <c r="F4476" s="2" t="n">
        <v>273264</v>
      </c>
      <c r="G4476" t="n">
        <v>3.2</v>
      </c>
      <c r="H4476" t="n">
        <v>-0.7</v>
      </c>
      <c r="I4476" s="2" t="n">
        <v>32009</v>
      </c>
      <c r="J4476" t="n">
        <v>-33.9</v>
      </c>
      <c r="K4476" t="n">
        <v>-41.7</v>
      </c>
      <c r="L4476" s="2" t="n">
        <v>17568</v>
      </c>
      <c r="M4476" t="n">
        <v>-52.8</v>
      </c>
      <c r="N4476" t="inlineStr">
        <is>
          <t>20240809800093</t>
        </is>
      </c>
      <c r="O4476">
        <f>HYPERLINK("https://dart.fss.or.kr/dsaf001/main.do?rcpNo=20240809800093", "공시열람")</f>
        <v/>
      </c>
    </row>
    <row r="4477">
      <c r="A4477" t="inlineStr">
        <is>
          <t>2024-08-09</t>
        </is>
      </c>
      <c r="B4477" t="inlineStr">
        <is>
          <t>휴온스</t>
        </is>
      </c>
      <c r="C4477" t="inlineStr">
        <is>
          <t>243070</t>
        </is>
      </c>
      <c r="D4477" t="inlineStr">
        <is>
          <t>연결</t>
        </is>
      </c>
      <c r="E4477" t="inlineStr">
        <is>
          <t>2024Q2</t>
        </is>
      </c>
      <c r="F4477" s="2" t="n">
        <v>148981</v>
      </c>
      <c r="G4477" t="inlineStr"/>
      <c r="H4477" t="inlineStr"/>
      <c r="I4477" s="2" t="n">
        <v>9309</v>
      </c>
      <c r="J4477" t="inlineStr"/>
      <c r="K4477" t="inlineStr"/>
      <c r="L4477" s="2" t="n">
        <v>8089</v>
      </c>
      <c r="M4477" t="inlineStr"/>
      <c r="N4477" t="inlineStr">
        <is>
          <t>20240809900099</t>
        </is>
      </c>
      <c r="O4477">
        <f>HYPERLINK("https://dart.fss.or.kr/dsaf001/main.do?rcpNo=20240809900099", "공시열람")</f>
        <v/>
      </c>
    </row>
    <row r="4478">
      <c r="A4478" t="inlineStr">
        <is>
          <t>2024-08-09</t>
        </is>
      </c>
      <c r="B4478" t="inlineStr">
        <is>
          <t>한국콜마</t>
        </is>
      </c>
      <c r="C4478" t="inlineStr">
        <is>
          <t>161890</t>
        </is>
      </c>
      <c r="D4478" t="inlineStr">
        <is>
          <t>연결</t>
        </is>
      </c>
      <c r="E4478" t="inlineStr">
        <is>
          <t>2024Q2</t>
        </is>
      </c>
      <c r="F4478" s="2" t="n">
        <v>660271</v>
      </c>
      <c r="G4478" t="n">
        <v>14.87</v>
      </c>
      <c r="H4478" t="n">
        <v>10.09</v>
      </c>
      <c r="I4478" s="2" t="n">
        <v>71741</v>
      </c>
      <c r="J4478" t="n">
        <v>121.22</v>
      </c>
      <c r="K4478" t="n">
        <v>28.86</v>
      </c>
      <c r="L4478" s="2" t="n">
        <v>45165</v>
      </c>
      <c r="M4478" t="n">
        <v>5.91</v>
      </c>
      <c r="N4478" t="inlineStr">
        <is>
          <t>20240809800087</t>
        </is>
      </c>
      <c r="O4478">
        <f>HYPERLINK("https://dart.fss.or.kr/dsaf001/main.do?rcpNo=20240809800087", "공시열람")</f>
        <v/>
      </c>
    </row>
    <row r="4479">
      <c r="A4479" t="inlineStr">
        <is>
          <t>2024-08-09</t>
        </is>
      </c>
      <c r="B4479" t="inlineStr">
        <is>
          <t>한국콜마</t>
        </is>
      </c>
      <c r="C4479" t="inlineStr">
        <is>
          <t>161890</t>
        </is>
      </c>
      <c r="D4479" t="inlineStr">
        <is>
          <t>별도</t>
        </is>
      </c>
      <c r="E4479" t="inlineStr">
        <is>
          <t>2024Q2</t>
        </is>
      </c>
      <c r="F4479" s="2" t="n">
        <v>296999</v>
      </c>
      <c r="G4479" t="n">
        <v>19.86</v>
      </c>
      <c r="H4479" t="n">
        <v>16.74</v>
      </c>
      <c r="I4479" s="2" t="n">
        <v>44221</v>
      </c>
      <c r="J4479" t="n">
        <v>93.72</v>
      </c>
      <c r="K4479" t="n">
        <v>27.58</v>
      </c>
      <c r="L4479" s="2" t="n">
        <v>53135</v>
      </c>
      <c r="M4479" t="n">
        <v>102.23</v>
      </c>
      <c r="N4479" t="inlineStr">
        <is>
          <t>20240809800086</t>
        </is>
      </c>
      <c r="O4479">
        <f>HYPERLINK("https://dart.fss.or.kr/dsaf001/main.do?rcpNo=20240809800086", "공시열람")</f>
        <v/>
      </c>
    </row>
    <row r="4480">
      <c r="A4480" t="inlineStr">
        <is>
          <t>2024-08-09</t>
        </is>
      </c>
      <c r="B4480" t="inlineStr">
        <is>
          <t>성광벤드</t>
        </is>
      </c>
      <c r="C4480" t="inlineStr">
        <is>
          <t>014620</t>
        </is>
      </c>
      <c r="D4480" t="inlineStr">
        <is>
          <t>연결</t>
        </is>
      </c>
      <c r="E4480" t="inlineStr">
        <is>
          <t>2024Q2</t>
        </is>
      </c>
      <c r="F4480" s="2" t="n">
        <v>66887</v>
      </c>
      <c r="G4480" t="inlineStr"/>
      <c r="H4480" t="inlineStr"/>
      <c r="I4480" s="2" t="n">
        <v>20366</v>
      </c>
      <c r="J4480" t="inlineStr"/>
      <c r="K4480" t="inlineStr"/>
      <c r="L4480" s="2" t="n">
        <v>18059</v>
      </c>
      <c r="M4480" t="inlineStr"/>
      <c r="N4480" t="inlineStr">
        <is>
          <t>20240809900076</t>
        </is>
      </c>
      <c r="O4480">
        <f>HYPERLINK("https://dart.fss.or.kr/dsaf001/main.do?rcpNo=20240809900076", "공시열람")</f>
        <v/>
      </c>
    </row>
    <row r="4481">
      <c r="A4481" t="inlineStr">
        <is>
          <t>2024-08-09</t>
        </is>
      </c>
      <c r="B4481" t="inlineStr">
        <is>
          <t>컴투스홀딩스</t>
        </is>
      </c>
      <c r="C4481" t="inlineStr">
        <is>
          <t>063080</t>
        </is>
      </c>
      <c r="D4481" t="inlineStr">
        <is>
          <t>연결</t>
        </is>
      </c>
      <c r="E4481" t="inlineStr">
        <is>
          <t>2024Q2</t>
        </is>
      </c>
      <c r="F4481" s="2" t="n">
        <v>37937</v>
      </c>
      <c r="G4481" t="inlineStr"/>
      <c r="H4481" t="inlineStr"/>
      <c r="I4481" s="2" t="n">
        <v>-3963</v>
      </c>
      <c r="J4481" t="inlineStr"/>
      <c r="K4481" t="inlineStr"/>
      <c r="L4481" s="2" t="n">
        <v>-6096</v>
      </c>
      <c r="M4481" t="inlineStr"/>
      <c r="N4481" t="inlineStr">
        <is>
          <t>20240809900054</t>
        </is>
      </c>
      <c r="O4481">
        <f>HYPERLINK("https://dart.fss.or.kr/dsaf001/main.do?rcpNo=20240809900054", "공시열람")</f>
        <v/>
      </c>
    </row>
    <row r="4482">
      <c r="A4482" t="inlineStr">
        <is>
          <t>2024-08-09</t>
        </is>
      </c>
      <c r="B4482" t="inlineStr">
        <is>
          <t>컴투스</t>
        </is>
      </c>
      <c r="C4482" t="inlineStr">
        <is>
          <t>078340</t>
        </is>
      </c>
      <c r="D4482" t="inlineStr">
        <is>
          <t>연결</t>
        </is>
      </c>
      <c r="E4482" t="inlineStr">
        <is>
          <t>2024Q2</t>
        </is>
      </c>
      <c r="F4482" s="2" t="n">
        <v>173009</v>
      </c>
      <c r="G4482" t="inlineStr"/>
      <c r="H4482" t="inlineStr"/>
      <c r="I4482" s="2" t="n">
        <v>1374</v>
      </c>
      <c r="J4482" t="inlineStr"/>
      <c r="K4482" t="inlineStr"/>
      <c r="L4482" s="2" t="n">
        <v>505</v>
      </c>
      <c r="M4482" t="inlineStr"/>
      <c r="N4482" t="inlineStr">
        <is>
          <t>20240809900051</t>
        </is>
      </c>
      <c r="O4482">
        <f>HYPERLINK("https://dart.fss.or.kr/dsaf001/main.do?rcpNo=20240809900051", "공시열람")</f>
        <v/>
      </c>
    </row>
    <row r="4483">
      <c r="A4483" t="inlineStr">
        <is>
          <t>2024-08-09</t>
        </is>
      </c>
      <c r="B4483" t="inlineStr">
        <is>
          <t>NAVER</t>
        </is>
      </c>
      <c r="C4483" t="inlineStr">
        <is>
          <t>035420</t>
        </is>
      </c>
      <c r="D4483" t="inlineStr">
        <is>
          <t>별도</t>
        </is>
      </c>
      <c r="E4483" t="inlineStr">
        <is>
          <t>2024Q2</t>
        </is>
      </c>
      <c r="F4483" s="2" t="n">
        <v>1517000</v>
      </c>
      <c r="G4483" t="n">
        <v>6.7</v>
      </c>
      <c r="H4483" t="n">
        <v>7.1</v>
      </c>
      <c r="I4483" s="2" t="n">
        <v>497300</v>
      </c>
      <c r="J4483" t="n">
        <v>22.3</v>
      </c>
      <c r="K4483" t="n">
        <v>15</v>
      </c>
      <c r="L4483" s="2" t="n">
        <v>298400</v>
      </c>
      <c r="M4483" t="n">
        <v>-27.4</v>
      </c>
      <c r="N4483" t="inlineStr">
        <is>
          <t>20240809800002</t>
        </is>
      </c>
      <c r="O4483">
        <f>HYPERLINK("https://dart.fss.or.kr/dsaf001/main.do?rcpNo=20240809800002", "공시열람")</f>
        <v/>
      </c>
    </row>
    <row r="4484">
      <c r="A4484" t="inlineStr">
        <is>
          <t>2024-08-09</t>
        </is>
      </c>
      <c r="B4484" t="inlineStr">
        <is>
          <t>네오위즈</t>
        </is>
      </c>
      <c r="C4484" t="inlineStr">
        <is>
          <t>095660</t>
        </is>
      </c>
      <c r="D4484" t="inlineStr">
        <is>
          <t>연결</t>
        </is>
      </c>
      <c r="E4484" t="inlineStr">
        <is>
          <t>2024Q2</t>
        </is>
      </c>
      <c r="F4484" s="2" t="n">
        <v>87012</v>
      </c>
      <c r="G4484" t="inlineStr"/>
      <c r="H4484" t="inlineStr"/>
      <c r="I4484" s="2" t="n">
        <v>4743</v>
      </c>
      <c r="J4484" t="inlineStr"/>
      <c r="K4484" t="inlineStr"/>
      <c r="L4484" s="2" t="n">
        <v>7673</v>
      </c>
      <c r="M4484" t="inlineStr"/>
      <c r="N4484" t="inlineStr">
        <is>
          <t>20240809900049</t>
        </is>
      </c>
      <c r="O4484">
        <f>HYPERLINK("https://dart.fss.or.kr/dsaf001/main.do?rcpNo=20240809900049", "공시열람")</f>
        <v/>
      </c>
    </row>
    <row r="4485">
      <c r="A4485" t="inlineStr">
        <is>
          <t>2024-08-09</t>
        </is>
      </c>
      <c r="B4485" t="inlineStr">
        <is>
          <t>YG PLUS</t>
        </is>
      </c>
      <c r="C4485" t="inlineStr">
        <is>
          <t>037270</t>
        </is>
      </c>
      <c r="D4485" t="inlineStr">
        <is>
          <t>연결</t>
        </is>
      </c>
      <c r="E4485" t="inlineStr">
        <is>
          <t>2024Q2</t>
        </is>
      </c>
      <c r="F4485" s="2" t="n">
        <v>48093</v>
      </c>
      <c r="G4485" t="n">
        <v>16</v>
      </c>
      <c r="H4485" t="n">
        <v>-17.73</v>
      </c>
      <c r="I4485" s="2" t="n">
        <v>371</v>
      </c>
      <c r="J4485" t="inlineStr"/>
      <c r="K4485" t="n">
        <v>-95.59</v>
      </c>
      <c r="L4485" s="2" t="n">
        <v>2180</v>
      </c>
      <c r="M4485" t="n">
        <v>-71.48</v>
      </c>
      <c r="N4485" t="inlineStr">
        <is>
          <t>20240809800243</t>
        </is>
      </c>
      <c r="O4485">
        <f>HYPERLINK("https://dart.fss.or.kr/dsaf001/main.do?rcpNo=20240809800243", "공시열람")</f>
        <v/>
      </c>
    </row>
    <row r="4486">
      <c r="A4486" t="inlineStr">
        <is>
          <t>2024-08-09</t>
        </is>
      </c>
      <c r="B4486" t="inlineStr">
        <is>
          <t>바디텍메드</t>
        </is>
      </c>
      <c r="C4486" t="inlineStr">
        <is>
          <t>206640</t>
        </is>
      </c>
      <c r="D4486" t="inlineStr">
        <is>
          <t>연결</t>
        </is>
      </c>
      <c r="E4486" t="inlineStr">
        <is>
          <t>2024Q2</t>
        </is>
      </c>
      <c r="F4486" s="2" t="n">
        <v>36248</v>
      </c>
      <c r="G4486" t="inlineStr"/>
      <c r="H4486" t="inlineStr"/>
      <c r="I4486" s="2" t="n">
        <v>9263</v>
      </c>
      <c r="J4486" t="inlineStr"/>
      <c r="K4486" t="inlineStr"/>
      <c r="L4486" s="2" t="n">
        <v>9798</v>
      </c>
      <c r="M4486" t="inlineStr"/>
      <c r="N4486" t="inlineStr">
        <is>
          <t>20240809900186</t>
        </is>
      </c>
      <c r="O4486">
        <f>HYPERLINK("https://dart.fss.or.kr/dsaf001/main.do?rcpNo=20240809900186", "공시열람")</f>
        <v/>
      </c>
    </row>
    <row r="4487">
      <c r="A4487" t="inlineStr">
        <is>
          <t>2024-08-09</t>
        </is>
      </c>
      <c r="B4487" t="inlineStr">
        <is>
          <t>한화손해보험</t>
        </is>
      </c>
      <c r="C4487" t="inlineStr">
        <is>
          <t>000370</t>
        </is>
      </c>
      <c r="D4487" t="inlineStr">
        <is>
          <t>별도</t>
        </is>
      </c>
      <c r="E4487" t="inlineStr">
        <is>
          <t>2024Q2</t>
        </is>
      </c>
      <c r="F4487" s="2" t="n">
        <v>1482812</v>
      </c>
      <c r="G4487" t="n">
        <v>1.8</v>
      </c>
      <c r="H4487" t="n">
        <v>7.3</v>
      </c>
      <c r="I4487" s="2" t="n">
        <v>163667</v>
      </c>
      <c r="J4487" t="n">
        <v>-5.1</v>
      </c>
      <c r="K4487" t="n">
        <v>21.7</v>
      </c>
      <c r="L4487" s="2" t="n">
        <v>129870</v>
      </c>
      <c r="M4487" t="n">
        <v>26.2</v>
      </c>
      <c r="N4487" t="inlineStr">
        <is>
          <t>20240809800264</t>
        </is>
      </c>
      <c r="O4487">
        <f>HYPERLINK("https://dart.fss.or.kr/dsaf001/main.do?rcpNo=20240809800264", "공시열람")</f>
        <v/>
      </c>
    </row>
    <row r="4488">
      <c r="A4488" t="inlineStr">
        <is>
          <t>2024-08-09</t>
        </is>
      </c>
      <c r="B4488" t="inlineStr">
        <is>
          <t>코웨이</t>
        </is>
      </c>
      <c r="C4488" t="inlineStr">
        <is>
          <t>021240</t>
        </is>
      </c>
      <c r="D4488" t="inlineStr">
        <is>
          <t>연결</t>
        </is>
      </c>
      <c r="E4488" t="inlineStr">
        <is>
          <t>2024Q2</t>
        </is>
      </c>
      <c r="F4488" s="2" t="n">
        <v>1082259</v>
      </c>
      <c r="G4488" t="inlineStr"/>
      <c r="H4488" t="inlineStr"/>
      <c r="I4488" s="2" t="n">
        <v>211195</v>
      </c>
      <c r="J4488" t="inlineStr"/>
      <c r="K4488" t="inlineStr"/>
      <c r="L4488" s="2" t="n">
        <v>154184</v>
      </c>
      <c r="M4488" t="inlineStr"/>
      <c r="N4488" t="inlineStr">
        <is>
          <t>20240809800412</t>
        </is>
      </c>
      <c r="O4488">
        <f>HYPERLINK("https://dart.fss.or.kr/dsaf001/main.do?rcpNo=20240809800412", "공시열람")</f>
        <v/>
      </c>
    </row>
    <row r="4489">
      <c r="A4489" t="inlineStr">
        <is>
          <t>2024-08-09</t>
        </is>
      </c>
      <c r="B4489" t="inlineStr">
        <is>
          <t>코오롱글로벌</t>
        </is>
      </c>
      <c r="C4489" t="inlineStr">
        <is>
          <t>003070</t>
        </is>
      </c>
      <c r="D4489" t="inlineStr">
        <is>
          <t>연결</t>
        </is>
      </c>
      <c r="E4489" t="inlineStr">
        <is>
          <t>2024Q2</t>
        </is>
      </c>
      <c r="F4489" s="2" t="n">
        <v>796328</v>
      </c>
      <c r="G4489" t="n">
        <v>13.4</v>
      </c>
      <c r="H4489" t="n">
        <v>11.3</v>
      </c>
      <c r="I4489" s="2" t="n">
        <v>-365</v>
      </c>
      <c r="J4489" t="inlineStr"/>
      <c r="K4489" t="inlineStr"/>
      <c r="L4489" s="2" t="n">
        <v>-25189</v>
      </c>
      <c r="M4489" t="inlineStr"/>
      <c r="N4489" t="inlineStr">
        <is>
          <t>20240809800609</t>
        </is>
      </c>
      <c r="O4489">
        <f>HYPERLINK("https://dart.fss.or.kr/dsaf001/main.do?rcpNo=20240809800609", "공시열람")</f>
        <v/>
      </c>
    </row>
    <row r="4490">
      <c r="A4490" t="inlineStr">
        <is>
          <t>2024-08-09</t>
        </is>
      </c>
      <c r="B4490" t="inlineStr">
        <is>
          <t>콜마홀딩스</t>
        </is>
      </c>
      <c r="C4490" t="inlineStr">
        <is>
          <t>024720</t>
        </is>
      </c>
      <c r="D4490" t="inlineStr">
        <is>
          <t>연결</t>
        </is>
      </c>
      <c r="E4490" t="inlineStr">
        <is>
          <t>2024Q2</t>
        </is>
      </c>
      <c r="F4490" s="2" t="n">
        <v>180189</v>
      </c>
      <c r="G4490" t="n">
        <v>2.17</v>
      </c>
      <c r="H4490" t="n">
        <v>5.64</v>
      </c>
      <c r="I4490" s="2" t="n">
        <v>14207</v>
      </c>
      <c r="J4490" t="n">
        <v>60.95</v>
      </c>
      <c r="K4490" t="n">
        <v>-12.39</v>
      </c>
      <c r="L4490" s="2" t="n">
        <v>10752</v>
      </c>
      <c r="M4490" t="n">
        <v>-18.38</v>
      </c>
      <c r="N4490" t="inlineStr">
        <is>
          <t>20240809800619</t>
        </is>
      </c>
      <c r="O4490">
        <f>HYPERLINK("https://dart.fss.or.kr/dsaf001/main.do?rcpNo=20240809800619", "공시열람")</f>
        <v/>
      </c>
    </row>
    <row r="4491">
      <c r="A4491" t="inlineStr">
        <is>
          <t>2024-08-09</t>
        </is>
      </c>
      <c r="B4491" t="inlineStr">
        <is>
          <t>콜마홀딩스</t>
        </is>
      </c>
      <c r="C4491" t="inlineStr">
        <is>
          <t>024720</t>
        </is>
      </c>
      <c r="D4491" t="inlineStr">
        <is>
          <t>별도</t>
        </is>
      </c>
      <c r="E4491" t="inlineStr">
        <is>
          <t>2024Q2</t>
        </is>
      </c>
      <c r="F4491" s="2" t="n">
        <v>7855</v>
      </c>
      <c r="G4491" t="n">
        <v>-52.76</v>
      </c>
      <c r="H4491" t="n">
        <v>10.98</v>
      </c>
      <c r="I4491" s="2" t="n">
        <v>-1552</v>
      </c>
      <c r="J4491" t="inlineStr"/>
      <c r="K4491" t="n">
        <v>16.65</v>
      </c>
      <c r="L4491" s="2" t="n">
        <v>1135</v>
      </c>
      <c r="M4491" t="inlineStr"/>
      <c r="N4491" t="inlineStr">
        <is>
          <t>20240809800574</t>
        </is>
      </c>
      <c r="O4491">
        <f>HYPERLINK("https://dart.fss.or.kr/dsaf001/main.do?rcpNo=20240809800574", "공시열람")</f>
        <v/>
      </c>
    </row>
    <row r="4492">
      <c r="A4492" t="inlineStr">
        <is>
          <t>2024-08-09</t>
        </is>
      </c>
      <c r="B4492" t="inlineStr">
        <is>
          <t>SG세계물산</t>
        </is>
      </c>
      <c r="C4492" t="inlineStr">
        <is>
          <t>004060</t>
        </is>
      </c>
      <c r="D4492" t="inlineStr">
        <is>
          <t>연결</t>
        </is>
      </c>
      <c r="E4492" t="inlineStr">
        <is>
          <t>2024Q2</t>
        </is>
      </c>
      <c r="F4492" s="2" t="n">
        <v>31784</v>
      </c>
      <c r="G4492" t="inlineStr"/>
      <c r="H4492" t="inlineStr"/>
      <c r="I4492" s="2" t="n">
        <v>-808</v>
      </c>
      <c r="J4492" t="inlineStr"/>
      <c r="K4492" t="inlineStr"/>
      <c r="L4492" s="2" t="n">
        <v>6404</v>
      </c>
      <c r="M4492" t="inlineStr"/>
      <c r="N4492" t="inlineStr">
        <is>
          <t>20240809800508</t>
        </is>
      </c>
      <c r="O4492">
        <f>HYPERLINK("https://dart.fss.or.kr/dsaf001/main.do?rcpNo=20240809800508", "공시열람")</f>
        <v/>
      </c>
    </row>
    <row r="4493">
      <c r="A4493" t="inlineStr">
        <is>
          <t>2024-08-09</t>
        </is>
      </c>
      <c r="B4493" t="inlineStr">
        <is>
          <t>비엠티</t>
        </is>
      </c>
      <c r="C4493" t="inlineStr">
        <is>
          <t>086670</t>
        </is>
      </c>
      <c r="D4493" t="inlineStr">
        <is>
          <t>연결</t>
        </is>
      </c>
      <c r="E4493" t="inlineStr">
        <is>
          <t>2024Q2</t>
        </is>
      </c>
      <c r="F4493" s="2" t="n">
        <v>32566</v>
      </c>
      <c r="G4493" t="inlineStr"/>
      <c r="H4493" t="inlineStr"/>
      <c r="I4493" s="2" t="n">
        <v>1384</v>
      </c>
      <c r="J4493" t="inlineStr"/>
      <c r="K4493" t="inlineStr"/>
      <c r="L4493" s="2" t="n">
        <v>-1266</v>
      </c>
      <c r="M4493" t="inlineStr"/>
      <c r="N4493" t="inlineStr">
        <is>
          <t>20240809900462</t>
        </is>
      </c>
      <c r="O4493">
        <f>HYPERLINK("https://dart.fss.or.kr/dsaf001/main.do?rcpNo=20240809900462", "공시열람")</f>
        <v/>
      </c>
    </row>
    <row r="4494">
      <c r="A4494" t="inlineStr">
        <is>
          <t>2024-08-09</t>
        </is>
      </c>
      <c r="B4494" t="inlineStr">
        <is>
          <t>현대지에프홀딩스</t>
        </is>
      </c>
      <c r="C4494" t="inlineStr">
        <is>
          <t>005440</t>
        </is>
      </c>
      <c r="D4494" t="inlineStr">
        <is>
          <t>연결</t>
        </is>
      </c>
      <c r="E4494" t="inlineStr">
        <is>
          <t>2024Q2</t>
        </is>
      </c>
      <c r="F4494" s="2" t="n">
        <v>2081600</v>
      </c>
      <c r="G4494" t="n">
        <v>78.2</v>
      </c>
      <c r="H4494" t="n">
        <v>295</v>
      </c>
      <c r="I4494" s="2" t="n">
        <v>74400</v>
      </c>
      <c r="J4494" t="n">
        <v>102.2</v>
      </c>
      <c r="K4494" t="n">
        <v>566.6</v>
      </c>
      <c r="L4494" s="2" t="n">
        <v>492200</v>
      </c>
      <c r="M4494" t="n">
        <v>3098.5</v>
      </c>
      <c r="N4494" t="inlineStr">
        <is>
          <t>20240809800255</t>
        </is>
      </c>
      <c r="O4494">
        <f>HYPERLINK("https://dart.fss.or.kr/dsaf001/main.do?rcpNo=20240809800255", "공시열람")</f>
        <v/>
      </c>
    </row>
    <row r="4495">
      <c r="A4495" t="inlineStr">
        <is>
          <t>2024-08-09</t>
        </is>
      </c>
      <c r="B4495" t="inlineStr">
        <is>
          <t>한국가스공사</t>
        </is>
      </c>
      <c r="C4495" t="inlineStr">
        <is>
          <t>036460</t>
        </is>
      </c>
      <c r="D4495" t="inlineStr">
        <is>
          <t>연결</t>
        </is>
      </c>
      <c r="E4495" t="inlineStr">
        <is>
          <t>2024Q2</t>
        </is>
      </c>
      <c r="F4495" s="2" t="n">
        <v>7489813</v>
      </c>
      <c r="G4495" t="n">
        <v>-41.5</v>
      </c>
      <c r="H4495" t="n">
        <v>-7.8</v>
      </c>
      <c r="I4495" s="2" t="n">
        <v>465718</v>
      </c>
      <c r="J4495" t="n">
        <v>-49.5</v>
      </c>
      <c r="K4495" t="n">
        <v>127.1</v>
      </c>
      <c r="L4495" s="2" t="n">
        <v>253308</v>
      </c>
      <c r="M4495" t="inlineStr"/>
      <c r="N4495" t="inlineStr">
        <is>
          <t>20240809800416</t>
        </is>
      </c>
      <c r="O4495">
        <f>HYPERLINK("https://dart.fss.or.kr/dsaf001/main.do?rcpNo=20240809800416", "공시열람")</f>
        <v/>
      </c>
    </row>
    <row r="4496">
      <c r="A4496" t="inlineStr">
        <is>
          <t>2024-08-09</t>
        </is>
      </c>
      <c r="B4496" t="inlineStr">
        <is>
          <t>비엠티</t>
        </is>
      </c>
      <c r="C4496" t="inlineStr">
        <is>
          <t>086670</t>
        </is>
      </c>
      <c r="D4496" t="inlineStr">
        <is>
          <t>별도</t>
        </is>
      </c>
      <c r="E4496" t="inlineStr">
        <is>
          <t>2024Q2</t>
        </is>
      </c>
      <c r="F4496" s="2" t="n">
        <v>32241</v>
      </c>
      <c r="G4496" t="inlineStr"/>
      <c r="H4496" t="inlineStr"/>
      <c r="I4496" s="2" t="n">
        <v>1520</v>
      </c>
      <c r="J4496" t="inlineStr"/>
      <c r="K4496" t="inlineStr"/>
      <c r="L4496" s="2" t="n">
        <v>-2103</v>
      </c>
      <c r="M4496" t="inlineStr"/>
      <c r="N4496" t="inlineStr">
        <is>
          <t>20240809900458</t>
        </is>
      </c>
      <c r="O4496">
        <f>HYPERLINK("https://dart.fss.or.kr/dsaf001/main.do?rcpNo=20240809900458", "공시열람")</f>
        <v/>
      </c>
    </row>
    <row r="4497">
      <c r="A4497" t="inlineStr">
        <is>
          <t>2024-08-09</t>
        </is>
      </c>
      <c r="B4497" t="inlineStr">
        <is>
          <t>씨젠</t>
        </is>
      </c>
      <c r="C4497" t="inlineStr">
        <is>
          <t>096530</t>
        </is>
      </c>
      <c r="D4497" t="inlineStr">
        <is>
          <t>연결</t>
        </is>
      </c>
      <c r="E4497" t="inlineStr">
        <is>
          <t>2024Q2</t>
        </is>
      </c>
      <c r="F4497" s="2" t="n">
        <v>100140</v>
      </c>
      <c r="G4497" t="inlineStr"/>
      <c r="H4497" t="inlineStr"/>
      <c r="I4497" s="2" t="n">
        <v>-1136</v>
      </c>
      <c r="J4497" t="inlineStr"/>
      <c r="K4497" t="inlineStr"/>
      <c r="L4497" s="2" t="n">
        <v>24061</v>
      </c>
      <c r="M4497" t="inlineStr"/>
      <c r="N4497" t="inlineStr">
        <is>
          <t>20240809900389</t>
        </is>
      </c>
      <c r="O4497">
        <f>HYPERLINK("https://dart.fss.or.kr/dsaf001/main.do?rcpNo=20240809900389", "공시열람")</f>
        <v/>
      </c>
    </row>
    <row r="4498">
      <c r="A4498" t="inlineStr">
        <is>
          <t>2024-08-09</t>
        </is>
      </c>
      <c r="B4498" t="inlineStr">
        <is>
          <t>코오롱인더</t>
        </is>
      </c>
      <c r="C4498" t="inlineStr">
        <is>
          <t>120110</t>
        </is>
      </c>
      <c r="D4498" t="inlineStr">
        <is>
          <t>연결</t>
        </is>
      </c>
      <c r="E4498" t="inlineStr">
        <is>
          <t>2024Q2</t>
        </is>
      </c>
      <c r="F4498" s="2" t="n">
        <v>1283978</v>
      </c>
      <c r="G4498" t="n">
        <v>10.57</v>
      </c>
      <c r="H4498" t="n">
        <v>-0.27</v>
      </c>
      <c r="I4498" s="2" t="n">
        <v>59430</v>
      </c>
      <c r="J4498" t="n">
        <v>93.92</v>
      </c>
      <c r="K4498" t="n">
        <v>-21.37</v>
      </c>
      <c r="L4498" s="2" t="n">
        <v>43919</v>
      </c>
      <c r="M4498" t="n">
        <v>17.36</v>
      </c>
      <c r="N4498" t="inlineStr">
        <is>
          <t>20240809800404</t>
        </is>
      </c>
      <c r="O4498">
        <f>HYPERLINK("https://dart.fss.or.kr/dsaf001/main.do?rcpNo=20240809800404", "공시열람")</f>
        <v/>
      </c>
    </row>
    <row r="4499">
      <c r="A4499" t="inlineStr">
        <is>
          <t>2024-08-09</t>
        </is>
      </c>
      <c r="B4499" t="inlineStr">
        <is>
          <t>SK디앤디</t>
        </is>
      </c>
      <c r="C4499" t="inlineStr">
        <is>
          <t>210980</t>
        </is>
      </c>
      <c r="D4499" t="inlineStr">
        <is>
          <t>연결</t>
        </is>
      </c>
      <c r="E4499" t="inlineStr">
        <is>
          <t>2024Q2</t>
        </is>
      </c>
      <c r="F4499" s="2" t="n">
        <v>71900</v>
      </c>
      <c r="G4499" t="n">
        <v>42</v>
      </c>
      <c r="H4499" t="n">
        <v>-72.09999999999999</v>
      </c>
      <c r="I4499" s="2" t="n">
        <v>2600</v>
      </c>
      <c r="J4499" t="inlineStr"/>
      <c r="K4499" t="n">
        <v>-98.7</v>
      </c>
      <c r="L4499" s="2" t="n">
        <v>9800</v>
      </c>
      <c r="M4499" t="n">
        <v>-93.59999999999999</v>
      </c>
      <c r="N4499" t="inlineStr">
        <is>
          <t>20240809800340</t>
        </is>
      </c>
      <c r="O4499">
        <f>HYPERLINK("https://dart.fss.or.kr/dsaf001/main.do?rcpNo=20240809800340", "공시열람")</f>
        <v/>
      </c>
    </row>
    <row r="4500">
      <c r="A4500" t="inlineStr">
        <is>
          <t>2024-08-09</t>
        </is>
      </c>
      <c r="B4500" t="inlineStr">
        <is>
          <t>태광</t>
        </is>
      </c>
      <c r="C4500" t="inlineStr">
        <is>
          <t>023160</t>
        </is>
      </c>
      <c r="D4500" t="inlineStr">
        <is>
          <t>연결</t>
        </is>
      </c>
      <c r="E4500" t="inlineStr">
        <is>
          <t>2024Q2</t>
        </is>
      </c>
      <c r="F4500" s="2" t="n">
        <v>65538</v>
      </c>
      <c r="G4500" t="inlineStr"/>
      <c r="H4500" t="inlineStr"/>
      <c r="I4500" s="2" t="n">
        <v>9817</v>
      </c>
      <c r="J4500" t="inlineStr"/>
      <c r="K4500" t="inlineStr"/>
      <c r="L4500" s="2" t="n">
        <v>10448</v>
      </c>
      <c r="M4500" t="inlineStr"/>
      <c r="N4500" t="inlineStr">
        <is>
          <t>20240809900290</t>
        </is>
      </c>
      <c r="O4500">
        <f>HYPERLINK("https://dart.fss.or.kr/dsaf001/main.do?rcpNo=20240809900290", "공시열람")</f>
        <v/>
      </c>
    </row>
    <row r="4501">
      <c r="A4501" t="inlineStr">
        <is>
          <t>2024-08-09</t>
        </is>
      </c>
      <c r="B4501" t="inlineStr">
        <is>
          <t>빅텍</t>
        </is>
      </c>
      <c r="C4501" t="inlineStr">
        <is>
          <t>065450</t>
        </is>
      </c>
      <c r="D4501" t="inlineStr">
        <is>
          <t>연결</t>
        </is>
      </c>
      <c r="E4501" t="inlineStr">
        <is>
          <t>2024Q2</t>
        </is>
      </c>
      <c r="F4501" s="2" t="n">
        <v>13196</v>
      </c>
      <c r="G4501" t="inlineStr"/>
      <c r="H4501" t="inlineStr"/>
      <c r="I4501" s="2" t="n">
        <v>-350</v>
      </c>
      <c r="J4501" t="inlineStr"/>
      <c r="K4501" t="inlineStr"/>
      <c r="L4501" s="2" t="n">
        <v>-1171</v>
      </c>
      <c r="M4501" t="inlineStr"/>
      <c r="N4501" t="inlineStr">
        <is>
          <t>20240809900305</t>
        </is>
      </c>
      <c r="O4501">
        <f>HYPERLINK("https://dart.fss.or.kr/dsaf001/main.do?rcpNo=20240809900305", "공시열람")</f>
        <v/>
      </c>
    </row>
    <row r="4502">
      <c r="A4502" t="inlineStr">
        <is>
          <t>2024-08-09</t>
        </is>
      </c>
      <c r="B4502" t="inlineStr">
        <is>
          <t>현대에버다임</t>
        </is>
      </c>
      <c r="C4502" t="inlineStr">
        <is>
          <t>041440</t>
        </is>
      </c>
      <c r="D4502" t="inlineStr">
        <is>
          <t>연결</t>
        </is>
      </c>
      <c r="E4502" t="inlineStr">
        <is>
          <t>2024Q2</t>
        </is>
      </c>
      <c r="F4502" s="2" t="n">
        <v>70852</v>
      </c>
      <c r="G4502" t="inlineStr"/>
      <c r="H4502" t="inlineStr"/>
      <c r="I4502" s="2" t="n">
        <v>436</v>
      </c>
      <c r="J4502" t="inlineStr"/>
      <c r="K4502" t="inlineStr"/>
      <c r="L4502" s="2" t="n">
        <v>1914</v>
      </c>
      <c r="M4502" t="inlineStr"/>
      <c r="N4502" t="inlineStr">
        <is>
          <t>20240809900283</t>
        </is>
      </c>
      <c r="O4502">
        <f>HYPERLINK("https://dart.fss.or.kr/dsaf001/main.do?rcpNo=20240809900283", "공시열람")</f>
        <v/>
      </c>
    </row>
    <row r="4503">
      <c r="A4503" t="inlineStr">
        <is>
          <t>2024-08-08</t>
        </is>
      </c>
      <c r="B4503" t="inlineStr">
        <is>
          <t>텔레칩스</t>
        </is>
      </c>
      <c r="C4503" t="inlineStr">
        <is>
          <t>054450</t>
        </is>
      </c>
      <c r="D4503" t="inlineStr">
        <is>
          <t>연결</t>
        </is>
      </c>
      <c r="E4503" t="inlineStr">
        <is>
          <t>2024Q2</t>
        </is>
      </c>
      <c r="F4503" s="2" t="n">
        <v>45998</v>
      </c>
      <c r="G4503" t="inlineStr"/>
      <c r="H4503" t="inlineStr"/>
      <c r="I4503" s="2" t="n">
        <v>1068</v>
      </c>
      <c r="J4503" t="inlineStr"/>
      <c r="K4503" t="inlineStr"/>
      <c r="L4503" s="2" t="n">
        <v>-15628</v>
      </c>
      <c r="M4503" t="inlineStr"/>
      <c r="N4503" t="inlineStr">
        <is>
          <t>20240808900393</t>
        </is>
      </c>
      <c r="O4503">
        <f>HYPERLINK("https://dart.fss.or.kr/dsaf001/main.do?rcpNo=20240808900393", "공시열람")</f>
        <v/>
      </c>
    </row>
    <row r="4504">
      <c r="A4504" t="inlineStr">
        <is>
          <t>2024-08-08</t>
        </is>
      </c>
      <c r="B4504" t="inlineStr">
        <is>
          <t>레이언스</t>
        </is>
      </c>
      <c r="C4504" t="inlineStr">
        <is>
          <t>228850</t>
        </is>
      </c>
      <c r="D4504" t="inlineStr">
        <is>
          <t>연결</t>
        </is>
      </c>
      <c r="E4504" t="inlineStr">
        <is>
          <t>2024Q2</t>
        </is>
      </c>
      <c r="F4504" s="2" t="n">
        <v>32939</v>
      </c>
      <c r="G4504" t="inlineStr"/>
      <c r="H4504" t="inlineStr"/>
      <c r="I4504" s="2" t="n">
        <v>2249</v>
      </c>
      <c r="J4504" t="inlineStr"/>
      <c r="K4504" t="inlineStr"/>
      <c r="L4504" s="2" t="n">
        <v>2750</v>
      </c>
      <c r="M4504" t="inlineStr"/>
      <c r="N4504" t="inlineStr">
        <is>
          <t>20240808900425</t>
        </is>
      </c>
      <c r="O4504">
        <f>HYPERLINK("https://dart.fss.or.kr/dsaf001/main.do?rcpNo=20240808900425", "공시열람")</f>
        <v/>
      </c>
    </row>
    <row r="4505">
      <c r="A4505" t="inlineStr">
        <is>
          <t>2024-08-08</t>
        </is>
      </c>
      <c r="B4505" t="inlineStr">
        <is>
          <t>바텍</t>
        </is>
      </c>
      <c r="C4505" t="inlineStr">
        <is>
          <t>043150</t>
        </is>
      </c>
      <c r="D4505" t="inlineStr">
        <is>
          <t>연결</t>
        </is>
      </c>
      <c r="E4505" t="inlineStr">
        <is>
          <t>2024Q2</t>
        </is>
      </c>
      <c r="F4505" s="2" t="n">
        <v>101980</v>
      </c>
      <c r="G4505" t="inlineStr"/>
      <c r="H4505" t="inlineStr"/>
      <c r="I4505" s="2" t="n">
        <v>16844</v>
      </c>
      <c r="J4505" t="inlineStr"/>
      <c r="K4505" t="inlineStr"/>
      <c r="L4505" s="2" t="n">
        <v>15065</v>
      </c>
      <c r="M4505" t="inlineStr"/>
      <c r="N4505" t="inlineStr">
        <is>
          <t>20240808900417</t>
        </is>
      </c>
      <c r="O4505">
        <f>HYPERLINK("https://dart.fss.or.kr/dsaf001/main.do?rcpNo=20240808900417", "공시열람")</f>
        <v/>
      </c>
    </row>
    <row r="4506">
      <c r="A4506" t="inlineStr">
        <is>
          <t>2024-08-08</t>
        </is>
      </c>
      <c r="B4506" t="inlineStr">
        <is>
          <t>넷마블</t>
        </is>
      </c>
      <c r="C4506" t="inlineStr">
        <is>
          <t>251270</t>
        </is>
      </c>
      <c r="D4506" t="inlineStr">
        <is>
          <t>연결</t>
        </is>
      </c>
      <c r="E4506" t="inlineStr">
        <is>
          <t>2024Q2</t>
        </is>
      </c>
      <c r="F4506" s="2" t="n">
        <v>782100</v>
      </c>
      <c r="G4506" t="n">
        <v>33.6</v>
      </c>
      <c r="H4506" t="n">
        <v>29.6</v>
      </c>
      <c r="I4506" s="2" t="n">
        <v>111200</v>
      </c>
      <c r="J4506" t="n">
        <v>2905.4</v>
      </c>
      <c r="K4506" t="inlineStr"/>
      <c r="L4506" s="2" t="n">
        <v>162300</v>
      </c>
      <c r="M4506" t="inlineStr"/>
      <c r="N4506" t="inlineStr">
        <is>
          <t>20240808800410</t>
        </is>
      </c>
      <c r="O4506">
        <f>HYPERLINK("https://dart.fss.or.kr/dsaf001/main.do?rcpNo=20240808800410", "공시열람")</f>
        <v/>
      </c>
    </row>
    <row r="4507">
      <c r="A4507" t="inlineStr">
        <is>
          <t>2024-08-08</t>
        </is>
      </c>
      <c r="B4507" t="inlineStr">
        <is>
          <t>삼성증권</t>
        </is>
      </c>
      <c r="C4507" t="inlineStr">
        <is>
          <t>016360</t>
        </is>
      </c>
      <c r="D4507" t="inlineStr">
        <is>
          <t>연결</t>
        </is>
      </c>
      <c r="E4507" t="inlineStr">
        <is>
          <t>2024Q2</t>
        </is>
      </c>
      <c r="F4507" s="2" t="n">
        <v>3071237</v>
      </c>
      <c r="G4507" t="inlineStr"/>
      <c r="H4507" t="inlineStr"/>
      <c r="I4507" s="2" t="n">
        <v>339175</v>
      </c>
      <c r="J4507" t="inlineStr"/>
      <c r="K4507" t="inlineStr"/>
      <c r="L4507" s="2" t="n">
        <v>257868</v>
      </c>
      <c r="M4507" t="inlineStr"/>
      <c r="N4507" t="inlineStr">
        <is>
          <t>20240808800415</t>
        </is>
      </c>
      <c r="O4507">
        <f>HYPERLINK("https://dart.fss.or.kr/dsaf001/main.do?rcpNo=20240808800415", "공시열람")</f>
        <v/>
      </c>
    </row>
    <row r="4508">
      <c r="A4508" t="inlineStr">
        <is>
          <t>2024-08-08</t>
        </is>
      </c>
      <c r="B4508" t="inlineStr">
        <is>
          <t>진에어</t>
        </is>
      </c>
      <c r="C4508" t="inlineStr">
        <is>
          <t>272450</t>
        </is>
      </c>
      <c r="D4508" t="inlineStr">
        <is>
          <t>별도</t>
        </is>
      </c>
      <c r="E4508" t="inlineStr">
        <is>
          <t>2024Q2</t>
        </is>
      </c>
      <c r="F4508" s="2" t="n">
        <v>308157</v>
      </c>
      <c r="G4508" t="n">
        <v>-28.4</v>
      </c>
      <c r="H4508" t="n">
        <v>19</v>
      </c>
      <c r="I4508" s="2" t="n">
        <v>904</v>
      </c>
      <c r="J4508" t="n">
        <v>-99.09999999999999</v>
      </c>
      <c r="K4508" t="n">
        <v>-94.90000000000001</v>
      </c>
      <c r="L4508" s="2" t="n">
        <v>-5866</v>
      </c>
      <c r="M4508" t="inlineStr"/>
      <c r="N4508" t="inlineStr">
        <is>
          <t>20240808800426</t>
        </is>
      </c>
      <c r="O4508">
        <f>HYPERLINK("https://dart.fss.or.kr/dsaf001/main.do?rcpNo=20240808800426", "공시열람")</f>
        <v/>
      </c>
    </row>
    <row r="4509">
      <c r="A4509" t="inlineStr">
        <is>
          <t>2024-08-08</t>
        </is>
      </c>
      <c r="B4509" t="inlineStr">
        <is>
          <t>한국전력공사</t>
        </is>
      </c>
      <c r="C4509" t="inlineStr">
        <is>
          <t>015760</t>
        </is>
      </c>
      <c r="D4509" t="inlineStr">
        <is>
          <t>연결</t>
        </is>
      </c>
      <c r="E4509" t="inlineStr">
        <is>
          <t>2024Q2</t>
        </is>
      </c>
      <c r="F4509" s="2" t="n">
        <v>20473707</v>
      </c>
      <c r="G4509" t="n">
        <v>-12.1</v>
      </c>
      <c r="H4509" t="n">
        <v>4.3</v>
      </c>
      <c r="I4509" s="2" t="n">
        <v>1250262</v>
      </c>
      <c r="J4509" t="n">
        <v>-3.8</v>
      </c>
      <c r="K4509" t="inlineStr"/>
      <c r="L4509" s="2" t="n">
        <v>114418</v>
      </c>
      <c r="M4509" t="inlineStr"/>
      <c r="N4509" t="inlineStr">
        <is>
          <t>20240808800413</t>
        </is>
      </c>
      <c r="O4509">
        <f>HYPERLINK("https://dart.fss.or.kr/dsaf001/main.do?rcpNo=20240808800413", "공시열람")</f>
        <v/>
      </c>
    </row>
    <row r="4510">
      <c r="A4510" t="inlineStr">
        <is>
          <t>2024-08-08</t>
        </is>
      </c>
      <c r="B4510" t="inlineStr">
        <is>
          <t>롯데케미칼</t>
        </is>
      </c>
      <c r="C4510" t="inlineStr">
        <is>
          <t>011170</t>
        </is>
      </c>
      <c r="D4510" t="inlineStr">
        <is>
          <t>연결</t>
        </is>
      </c>
      <c r="E4510" t="inlineStr">
        <is>
          <t>2024Q2</t>
        </is>
      </c>
      <c r="F4510" s="2" t="n">
        <v>5248012</v>
      </c>
      <c r="G4510" t="n">
        <v>3.2</v>
      </c>
      <c r="H4510" t="n">
        <v>3.4</v>
      </c>
      <c r="I4510" s="2" t="n">
        <v>-111163</v>
      </c>
      <c r="J4510" t="n">
        <v>17.8</v>
      </c>
      <c r="K4510" t="n">
        <v>-60.8</v>
      </c>
      <c r="L4510" s="2" t="n">
        <v>-107134</v>
      </c>
      <c r="M4510" t="n">
        <v>24.4</v>
      </c>
      <c r="N4510" t="inlineStr">
        <is>
          <t>20240808800375</t>
        </is>
      </c>
      <c r="O4510">
        <f>HYPERLINK("https://dart.fss.or.kr/dsaf001/main.do?rcpNo=20240808800375", "공시열람")</f>
        <v/>
      </c>
    </row>
    <row r="4511">
      <c r="A4511" t="inlineStr">
        <is>
          <t>2024-08-08</t>
        </is>
      </c>
      <c r="B4511" t="inlineStr">
        <is>
          <t>현대그린푸드</t>
        </is>
      </c>
      <c r="C4511" t="inlineStr">
        <is>
          <t>453340</t>
        </is>
      </c>
      <c r="D4511" t="inlineStr">
        <is>
          <t>연결</t>
        </is>
      </c>
      <c r="E4511" t="inlineStr">
        <is>
          <t>2024Q2</t>
        </is>
      </c>
      <c r="F4511" s="2" t="n">
        <v>542400</v>
      </c>
      <c r="G4511" t="n">
        <v>-3.05</v>
      </c>
      <c r="H4511" t="n">
        <v>4.21</v>
      </c>
      <c r="I4511" s="2" t="n">
        <v>32500</v>
      </c>
      <c r="J4511" t="n">
        <v>4.3</v>
      </c>
      <c r="K4511" t="n">
        <v>16.41</v>
      </c>
      <c r="L4511" s="2" t="n">
        <v>23600</v>
      </c>
      <c r="M4511" t="n">
        <v>13.48</v>
      </c>
      <c r="N4511" t="inlineStr">
        <is>
          <t>20240808800449</t>
        </is>
      </c>
      <c r="O4511">
        <f>HYPERLINK("https://dart.fss.or.kr/dsaf001/main.do?rcpNo=20240808800449", "공시열람")</f>
        <v/>
      </c>
    </row>
    <row r="4512">
      <c r="A4512" t="inlineStr">
        <is>
          <t>2024-08-08</t>
        </is>
      </c>
      <c r="B4512" t="inlineStr">
        <is>
          <t>CJ CGV</t>
        </is>
      </c>
      <c r="C4512" t="inlineStr">
        <is>
          <t>079160</t>
        </is>
      </c>
      <c r="D4512" t="inlineStr">
        <is>
          <t>연결</t>
        </is>
      </c>
      <c r="E4512" t="inlineStr">
        <is>
          <t>2024Q2</t>
        </is>
      </c>
      <c r="F4512" s="2" t="n">
        <v>429940</v>
      </c>
      <c r="G4512" t="n">
        <v>9.4</v>
      </c>
      <c r="H4512" t="n">
        <v>7.6</v>
      </c>
      <c r="I4512" s="2" t="n">
        <v>22345</v>
      </c>
      <c r="J4512" t="n">
        <v>392.1</v>
      </c>
      <c r="K4512" t="n">
        <v>36.4</v>
      </c>
      <c r="L4512" s="2" t="n">
        <v>-6706</v>
      </c>
      <c r="M4512" t="n">
        <v>88.40000000000001</v>
      </c>
      <c r="N4512" t="inlineStr">
        <is>
          <t>20240808800427</t>
        </is>
      </c>
      <c r="O4512">
        <f>HYPERLINK("https://dart.fss.or.kr/dsaf001/main.do?rcpNo=20240808800427", "공시열람")</f>
        <v/>
      </c>
    </row>
    <row r="4513">
      <c r="A4513" t="inlineStr">
        <is>
          <t>2024-08-08</t>
        </is>
      </c>
      <c r="B4513" t="inlineStr">
        <is>
          <t>한국앤컴퍼니</t>
        </is>
      </c>
      <c r="C4513" t="inlineStr">
        <is>
          <t>000240</t>
        </is>
      </c>
      <c r="D4513" t="inlineStr">
        <is>
          <t>연결</t>
        </is>
      </c>
      <c r="E4513" t="inlineStr">
        <is>
          <t>2024Q2</t>
        </is>
      </c>
      <c r="F4513" s="2" t="n">
        <v>363523</v>
      </c>
      <c r="G4513" t="inlineStr"/>
      <c r="H4513" t="inlineStr"/>
      <c r="I4513" s="2" t="n">
        <v>124768</v>
      </c>
      <c r="J4513" t="inlineStr"/>
      <c r="K4513" t="inlineStr"/>
      <c r="L4513" s="2" t="n">
        <v>108476</v>
      </c>
      <c r="M4513" t="inlineStr"/>
      <c r="N4513" t="inlineStr">
        <is>
          <t>20240808800451</t>
        </is>
      </c>
      <c r="O4513">
        <f>HYPERLINK("https://dart.fss.or.kr/dsaf001/main.do?rcpNo=20240808800451", "공시열람")</f>
        <v/>
      </c>
    </row>
    <row r="4514">
      <c r="A4514" t="inlineStr">
        <is>
          <t>2024-08-08</t>
        </is>
      </c>
      <c r="B4514" t="inlineStr">
        <is>
          <t>대신증권</t>
        </is>
      </c>
      <c r="C4514" t="inlineStr">
        <is>
          <t>003540</t>
        </is>
      </c>
      <c r="D4514" t="inlineStr">
        <is>
          <t>연결</t>
        </is>
      </c>
      <c r="E4514" t="inlineStr">
        <is>
          <t>2024Q2</t>
        </is>
      </c>
      <c r="F4514" s="2" t="n">
        <v>940627</v>
      </c>
      <c r="G4514" t="n">
        <v>-12.6</v>
      </c>
      <c r="H4514" t="n">
        <v>26.4</v>
      </c>
      <c r="I4514" s="2" t="n">
        <v>36231</v>
      </c>
      <c r="J4514" t="n">
        <v>-50.4</v>
      </c>
      <c r="K4514" t="n">
        <v>-61.7</v>
      </c>
      <c r="L4514" s="2" t="n">
        <v>52103</v>
      </c>
      <c r="M4514" t="n">
        <v>-26.4</v>
      </c>
      <c r="N4514" t="inlineStr">
        <is>
          <t>20240808800455</t>
        </is>
      </c>
      <c r="O4514">
        <f>HYPERLINK("https://dart.fss.or.kr/dsaf001/main.do?rcpNo=20240808800455", "공시열람")</f>
        <v/>
      </c>
    </row>
    <row r="4515">
      <c r="A4515" t="inlineStr">
        <is>
          <t>2024-08-08</t>
        </is>
      </c>
      <c r="B4515" t="inlineStr">
        <is>
          <t>신성이엔지</t>
        </is>
      </c>
      <c r="C4515" t="inlineStr">
        <is>
          <t>011930</t>
        </is>
      </c>
      <c r="D4515" t="inlineStr">
        <is>
          <t>연결</t>
        </is>
      </c>
      <c r="E4515" t="inlineStr">
        <is>
          <t>2024Q2</t>
        </is>
      </c>
      <c r="F4515" s="2" t="n">
        <v>145278</v>
      </c>
      <c r="G4515" t="inlineStr"/>
      <c r="H4515" t="inlineStr"/>
      <c r="I4515" s="2" t="n">
        <v>-2564</v>
      </c>
      <c r="J4515" t="inlineStr"/>
      <c r="K4515" t="inlineStr"/>
      <c r="L4515" s="2" t="n">
        <v>-6285</v>
      </c>
      <c r="M4515" t="inlineStr"/>
      <c r="N4515" t="inlineStr">
        <is>
          <t>20240808800457</t>
        </is>
      </c>
      <c r="O4515">
        <f>HYPERLINK("https://dart.fss.or.kr/dsaf001/main.do?rcpNo=20240808800457", "공시열람")</f>
        <v/>
      </c>
    </row>
    <row r="4516">
      <c r="A4516" t="inlineStr">
        <is>
          <t>2024-08-08</t>
        </is>
      </c>
      <c r="B4516" t="inlineStr">
        <is>
          <t>지역난방공사</t>
        </is>
      </c>
      <c r="C4516" t="inlineStr">
        <is>
          <t>071320</t>
        </is>
      </c>
      <c r="D4516" t="inlineStr">
        <is>
          <t>연결</t>
        </is>
      </c>
      <c r="E4516" t="inlineStr">
        <is>
          <t>2024Q2</t>
        </is>
      </c>
      <c r="F4516" s="2" t="n">
        <v>532347</v>
      </c>
      <c r="G4516" t="inlineStr"/>
      <c r="H4516" t="inlineStr"/>
      <c r="I4516" s="2" t="n">
        <v>-23353</v>
      </c>
      <c r="J4516" t="inlineStr"/>
      <c r="K4516" t="inlineStr"/>
      <c r="L4516" s="2" t="n">
        <v>-31597</v>
      </c>
      <c r="M4516" t="inlineStr"/>
      <c r="N4516" t="inlineStr">
        <is>
          <t>20240808800494</t>
        </is>
      </c>
      <c r="O4516">
        <f>HYPERLINK("https://dart.fss.or.kr/dsaf001/main.do?rcpNo=20240808800494", "공시열람")</f>
        <v/>
      </c>
    </row>
    <row r="4517">
      <c r="A4517" t="inlineStr">
        <is>
          <t>2024-08-08</t>
        </is>
      </c>
      <c r="B4517" t="inlineStr">
        <is>
          <t>KZ정밀</t>
        </is>
      </c>
      <c r="C4517" t="inlineStr">
        <is>
          <t>036560</t>
        </is>
      </c>
      <c r="D4517" t="inlineStr">
        <is>
          <t>별도</t>
        </is>
      </c>
      <c r="E4517" t="inlineStr">
        <is>
          <t>2024Q2</t>
        </is>
      </c>
      <c r="F4517" s="2" t="n">
        <v>27105</v>
      </c>
      <c r="G4517" t="inlineStr"/>
      <c r="H4517" t="inlineStr"/>
      <c r="I4517" s="2" t="n">
        <v>4019</v>
      </c>
      <c r="J4517" t="inlineStr"/>
      <c r="K4517" t="inlineStr"/>
      <c r="L4517" s="2" t="n">
        <v>3922</v>
      </c>
      <c r="M4517" t="inlineStr"/>
      <c r="N4517" t="inlineStr">
        <is>
          <t>20240808900493</t>
        </is>
      </c>
      <c r="O4517">
        <f>HYPERLINK("https://dart.fss.or.kr/dsaf001/main.do?rcpNo=20240808900493", "공시열람")</f>
        <v/>
      </c>
    </row>
    <row r="4518">
      <c r="A4518" t="inlineStr">
        <is>
          <t>2024-08-08</t>
        </is>
      </c>
      <c r="B4518" t="inlineStr">
        <is>
          <t>덴티움</t>
        </is>
      </c>
      <c r="C4518" t="inlineStr">
        <is>
          <t>145720</t>
        </is>
      </c>
      <c r="D4518" t="inlineStr">
        <is>
          <t>연결</t>
        </is>
      </c>
      <c r="E4518" t="inlineStr">
        <is>
          <t>2024Q2</t>
        </is>
      </c>
      <c r="F4518" s="2" t="n">
        <v>111672</v>
      </c>
      <c r="G4518" t="n">
        <v>35</v>
      </c>
      <c r="H4518" t="n">
        <v>5</v>
      </c>
      <c r="I4518" s="2" t="n">
        <v>27705</v>
      </c>
      <c r="J4518" t="n">
        <v>44.1</v>
      </c>
      <c r="K4518" t="n">
        <v>-14.5</v>
      </c>
      <c r="L4518" s="2" t="n">
        <v>20467</v>
      </c>
      <c r="M4518" t="n">
        <v>1.5</v>
      </c>
      <c r="N4518" t="inlineStr">
        <is>
          <t>20240808800499</t>
        </is>
      </c>
      <c r="O4518">
        <f>HYPERLINK("https://dart.fss.or.kr/dsaf001/main.do?rcpNo=20240808800499", "공시열람")</f>
        <v/>
      </c>
    </row>
    <row r="4519">
      <c r="A4519" t="inlineStr">
        <is>
          <t>2024-08-08</t>
        </is>
      </c>
      <c r="B4519" t="inlineStr">
        <is>
          <t>아이마켓코리아</t>
        </is>
      </c>
      <c r="C4519" t="inlineStr">
        <is>
          <t>122900</t>
        </is>
      </c>
      <c r="D4519" t="inlineStr">
        <is>
          <t>연결</t>
        </is>
      </c>
      <c r="E4519" t="inlineStr">
        <is>
          <t>2024Q2</t>
        </is>
      </c>
      <c r="F4519" s="2" t="n">
        <v>816334</v>
      </c>
      <c r="G4519" t="n">
        <v>-9.51</v>
      </c>
      <c r="H4519" t="n">
        <v>-3.12</v>
      </c>
      <c r="I4519" s="2" t="n">
        <v>10243</v>
      </c>
      <c r="J4519" t="n">
        <v>-16.53</v>
      </c>
      <c r="K4519" t="n">
        <v>-25.2</v>
      </c>
      <c r="L4519" s="2" t="n">
        <v>8668</v>
      </c>
      <c r="M4519" t="n">
        <v>225.01</v>
      </c>
      <c r="N4519" t="inlineStr">
        <is>
          <t>20240808800577</t>
        </is>
      </c>
      <c r="O4519">
        <f>HYPERLINK("https://dart.fss.or.kr/dsaf001/main.do?rcpNo=20240808800577", "공시열람")</f>
        <v/>
      </c>
    </row>
    <row r="4520">
      <c r="A4520" t="inlineStr">
        <is>
          <t>2024-08-08</t>
        </is>
      </c>
      <c r="B4520" t="inlineStr">
        <is>
          <t>콘텐트리중앙</t>
        </is>
      </c>
      <c r="C4520" t="inlineStr">
        <is>
          <t>036420</t>
        </is>
      </c>
      <c r="D4520" t="inlineStr">
        <is>
          <t>연결</t>
        </is>
      </c>
      <c r="E4520" t="inlineStr">
        <is>
          <t>2024Q2</t>
        </is>
      </c>
      <c r="F4520" s="2" t="n">
        <v>226785</v>
      </c>
      <c r="G4520" t="inlineStr"/>
      <c r="H4520" t="inlineStr"/>
      <c r="I4520" s="2" t="n">
        <v>-6519</v>
      </c>
      <c r="J4520" t="inlineStr"/>
      <c r="K4520" t="inlineStr"/>
      <c r="L4520" s="2" t="n">
        <v>-25542</v>
      </c>
      <c r="M4520" t="inlineStr"/>
      <c r="N4520" t="inlineStr">
        <is>
          <t>20240808800383</t>
        </is>
      </c>
      <c r="O4520">
        <f>HYPERLINK("https://dart.fss.or.kr/dsaf001/main.do?rcpNo=20240808800383", "공시열람")</f>
        <v/>
      </c>
    </row>
    <row r="4521">
      <c r="A4521" t="inlineStr">
        <is>
          <t>2024-08-08</t>
        </is>
      </c>
      <c r="B4521" t="inlineStr">
        <is>
          <t>씨에스윈드</t>
        </is>
      </c>
      <c r="C4521" t="inlineStr">
        <is>
          <t>112610</t>
        </is>
      </c>
      <c r="D4521" t="inlineStr">
        <is>
          <t>연결</t>
        </is>
      </c>
      <c r="E4521" t="inlineStr">
        <is>
          <t>2024Q2</t>
        </is>
      </c>
      <c r="F4521" s="2" t="n">
        <v>857831</v>
      </c>
      <c r="G4521" t="n">
        <v>16.4</v>
      </c>
      <c r="H4521" t="n">
        <v>106.4</v>
      </c>
      <c r="I4521" s="2" t="n">
        <v>130290</v>
      </c>
      <c r="J4521" t="inlineStr"/>
      <c r="K4521" t="n">
        <v>211.5</v>
      </c>
      <c r="L4521" s="2" t="n">
        <v>106027</v>
      </c>
      <c r="M4521" t="n">
        <v>404.8</v>
      </c>
      <c r="N4521" t="inlineStr">
        <is>
          <t>20240808800138</t>
        </is>
      </c>
      <c r="O4521">
        <f>HYPERLINK("https://dart.fss.or.kr/dsaf001/main.do?rcpNo=20240808800138", "공시열람")</f>
        <v/>
      </c>
    </row>
    <row r="4522">
      <c r="A4522" t="inlineStr">
        <is>
          <t>2024-08-08</t>
        </is>
      </c>
      <c r="B4522" t="inlineStr">
        <is>
          <t>케이티앤지</t>
        </is>
      </c>
      <c r="C4522" t="inlineStr">
        <is>
          <t>033780</t>
        </is>
      </c>
      <c r="D4522" t="inlineStr">
        <is>
          <t>연결</t>
        </is>
      </c>
      <c r="E4522" t="inlineStr">
        <is>
          <t>2021Q4</t>
        </is>
      </c>
      <c r="F4522" s="2" t="n">
        <v>1423774</v>
      </c>
      <c r="G4522" t="inlineStr"/>
      <c r="H4522" t="inlineStr"/>
      <c r="I4522" s="2" t="n">
        <v>321477</v>
      </c>
      <c r="J4522" t="inlineStr"/>
      <c r="K4522" t="inlineStr"/>
      <c r="L4522" s="2" t="n">
        <v>318009</v>
      </c>
      <c r="M4522" t="inlineStr"/>
      <c r="N4522" t="inlineStr">
        <is>
          <t>20240808800354</t>
        </is>
      </c>
      <c r="O4522">
        <f>HYPERLINK("https://dart.fss.or.kr/dsaf001/main.do?rcpNo=20240808800354", "공시열람")</f>
        <v/>
      </c>
    </row>
    <row r="4523">
      <c r="A4523" t="inlineStr">
        <is>
          <t>2024-08-08</t>
        </is>
      </c>
      <c r="B4523" t="inlineStr">
        <is>
          <t>수성웹툰</t>
        </is>
      </c>
      <c r="C4523" t="inlineStr">
        <is>
          <t>084180</t>
        </is>
      </c>
      <c r="D4523" t="inlineStr">
        <is>
          <t>연결</t>
        </is>
      </c>
      <c r="E4523" t="inlineStr">
        <is>
          <t>2024Q2</t>
        </is>
      </c>
      <c r="F4523" s="2" t="n">
        <v>11491</v>
      </c>
      <c r="G4523" t="inlineStr"/>
      <c r="H4523" t="inlineStr"/>
      <c r="I4523" s="2" t="n">
        <v>-1017</v>
      </c>
      <c r="J4523" t="inlineStr"/>
      <c r="K4523" t="inlineStr"/>
      <c r="L4523" s="2" t="n">
        <v>3314</v>
      </c>
      <c r="M4523" t="inlineStr"/>
      <c r="N4523" t="inlineStr">
        <is>
          <t>20240808900187</t>
        </is>
      </c>
      <c r="O4523">
        <f>HYPERLINK("https://dart.fss.or.kr/dsaf001/main.do?rcpNo=20240808900187", "공시열람")</f>
        <v/>
      </c>
    </row>
    <row r="4524">
      <c r="A4524" t="inlineStr">
        <is>
          <t>2024-08-08</t>
        </is>
      </c>
      <c r="B4524" t="inlineStr">
        <is>
          <t>클래시스</t>
        </is>
      </c>
      <c r="C4524" t="inlineStr">
        <is>
          <t>214150</t>
        </is>
      </c>
      <c r="D4524" t="inlineStr">
        <is>
          <t>연결</t>
        </is>
      </c>
      <c r="E4524" t="inlineStr">
        <is>
          <t>2024Q2</t>
        </is>
      </c>
      <c r="F4524" s="2" t="n">
        <v>58742</v>
      </c>
      <c r="G4524" t="inlineStr"/>
      <c r="H4524" t="inlineStr"/>
      <c r="I4524" s="2" t="n">
        <v>31189</v>
      </c>
      <c r="J4524" t="inlineStr"/>
      <c r="K4524" t="inlineStr"/>
      <c r="L4524" s="2" t="n">
        <v>26581</v>
      </c>
      <c r="M4524" t="inlineStr"/>
      <c r="N4524" t="inlineStr">
        <is>
          <t>20240808900177</t>
        </is>
      </c>
      <c r="O4524">
        <f>HYPERLINK("https://dart.fss.or.kr/dsaf001/main.do?rcpNo=20240808900177", "공시열람")</f>
        <v/>
      </c>
    </row>
    <row r="4525">
      <c r="A4525" t="inlineStr">
        <is>
          <t>2024-08-08</t>
        </is>
      </c>
      <c r="B4525" t="inlineStr">
        <is>
          <t>한글과컴퓨터</t>
        </is>
      </c>
      <c r="C4525" t="inlineStr">
        <is>
          <t>030520</t>
        </is>
      </c>
      <c r="D4525" t="inlineStr">
        <is>
          <t>별도</t>
        </is>
      </c>
      <c r="E4525" t="inlineStr">
        <is>
          <t>2024Q2</t>
        </is>
      </c>
      <c r="F4525" s="2" t="n">
        <v>45473</v>
      </c>
      <c r="G4525" t="inlineStr"/>
      <c r="H4525" t="inlineStr"/>
      <c r="I4525" s="2" t="n">
        <v>17527</v>
      </c>
      <c r="J4525" t="inlineStr"/>
      <c r="K4525" t="inlineStr"/>
      <c r="L4525" s="2" t="n">
        <v>14487</v>
      </c>
      <c r="M4525" t="inlineStr"/>
      <c r="N4525" t="inlineStr">
        <is>
          <t>20240808900165</t>
        </is>
      </c>
      <c r="O4525">
        <f>HYPERLINK("https://dart.fss.or.kr/dsaf001/main.do?rcpNo=20240808900165", "공시열람")</f>
        <v/>
      </c>
    </row>
    <row r="4526">
      <c r="A4526" t="inlineStr">
        <is>
          <t>2024-08-08</t>
        </is>
      </c>
      <c r="B4526" t="inlineStr">
        <is>
          <t>한글과컴퓨터</t>
        </is>
      </c>
      <c r="C4526" t="inlineStr">
        <is>
          <t>030520</t>
        </is>
      </c>
      <c r="D4526" t="inlineStr">
        <is>
          <t>연결</t>
        </is>
      </c>
      <c r="E4526" t="inlineStr">
        <is>
          <t>2024Q2</t>
        </is>
      </c>
      <c r="F4526" s="2" t="n">
        <v>90519</v>
      </c>
      <c r="G4526" t="inlineStr"/>
      <c r="H4526" t="inlineStr"/>
      <c r="I4526" s="2" t="n">
        <v>19920</v>
      </c>
      <c r="J4526" t="inlineStr"/>
      <c r="K4526" t="inlineStr"/>
      <c r="L4526" s="2" t="n">
        <v>21195</v>
      </c>
      <c r="M4526" t="inlineStr"/>
      <c r="N4526" t="inlineStr">
        <is>
          <t>20240808900163</t>
        </is>
      </c>
      <c r="O4526">
        <f>HYPERLINK("https://dart.fss.or.kr/dsaf001/main.do?rcpNo=20240808900163", "공시열람")</f>
        <v/>
      </c>
    </row>
    <row r="4527">
      <c r="A4527" t="inlineStr">
        <is>
          <t>2024-08-08</t>
        </is>
      </c>
      <c r="B4527" t="inlineStr">
        <is>
          <t>메쎄이상</t>
        </is>
      </c>
      <c r="C4527" t="inlineStr">
        <is>
          <t>408920</t>
        </is>
      </c>
      <c r="D4527" t="inlineStr">
        <is>
          <t>연결</t>
        </is>
      </c>
      <c r="E4527" t="inlineStr">
        <is>
          <t>2024Q2</t>
        </is>
      </c>
      <c r="F4527" s="2" t="n">
        <v>13019</v>
      </c>
      <c r="G4527" t="inlineStr"/>
      <c r="H4527" t="inlineStr"/>
      <c r="I4527" s="2" t="n">
        <v>2963</v>
      </c>
      <c r="J4527" t="inlineStr"/>
      <c r="K4527" t="inlineStr"/>
      <c r="L4527" s="2" t="n">
        <v>2045</v>
      </c>
      <c r="M4527" t="inlineStr"/>
      <c r="N4527" t="inlineStr">
        <is>
          <t>20240808900169</t>
        </is>
      </c>
      <c r="O4527">
        <f>HYPERLINK("https://dart.fss.or.kr/dsaf001/main.do?rcpNo=20240808900169", "공시열람")</f>
        <v/>
      </c>
    </row>
    <row r="4528">
      <c r="A4528" t="inlineStr">
        <is>
          <t>2024-08-08</t>
        </is>
      </c>
      <c r="B4528" t="inlineStr">
        <is>
          <t>젝시믹스</t>
        </is>
      </c>
      <c r="C4528" t="inlineStr">
        <is>
          <t>337930</t>
        </is>
      </c>
      <c r="D4528" t="inlineStr">
        <is>
          <t>연결</t>
        </is>
      </c>
      <c r="E4528" t="inlineStr">
        <is>
          <t>2024Q2</t>
        </is>
      </c>
      <c r="F4528" s="2" t="n">
        <v>76363</v>
      </c>
      <c r="G4528" t="inlineStr"/>
      <c r="H4528" t="inlineStr"/>
      <c r="I4528" s="2" t="n">
        <v>12371</v>
      </c>
      <c r="J4528" t="inlineStr"/>
      <c r="K4528" t="inlineStr"/>
      <c r="L4528" s="2" t="n">
        <v>9186</v>
      </c>
      <c r="M4528" t="inlineStr"/>
      <c r="N4528" t="inlineStr">
        <is>
          <t>20240808900118</t>
        </is>
      </c>
      <c r="O4528">
        <f>HYPERLINK("https://dart.fss.or.kr/dsaf001/main.do?rcpNo=20240808900118", "공시열람")</f>
        <v/>
      </c>
    </row>
    <row r="4529">
      <c r="A4529" t="inlineStr">
        <is>
          <t>2024-08-08</t>
        </is>
      </c>
      <c r="B4529" t="inlineStr">
        <is>
          <t>젝시믹스</t>
        </is>
      </c>
      <c r="C4529" t="inlineStr">
        <is>
          <t>337930</t>
        </is>
      </c>
      <c r="D4529" t="inlineStr">
        <is>
          <t>별도</t>
        </is>
      </c>
      <c r="E4529" t="inlineStr">
        <is>
          <t>2024Q2</t>
        </is>
      </c>
      <c r="F4529" s="2" t="n">
        <v>70223</v>
      </c>
      <c r="G4529" t="inlineStr"/>
      <c r="H4529" t="inlineStr"/>
      <c r="I4529" s="2" t="n">
        <v>10826</v>
      </c>
      <c r="J4529" t="inlineStr"/>
      <c r="K4529" t="inlineStr"/>
      <c r="L4529" s="2" t="n">
        <v>8110</v>
      </c>
      <c r="M4529" t="inlineStr"/>
      <c r="N4529" t="inlineStr">
        <is>
          <t>20240808900126</t>
        </is>
      </c>
      <c r="O4529">
        <f>HYPERLINK("https://dart.fss.or.kr/dsaf001/main.do?rcpNo=20240808900126", "공시열람")</f>
        <v/>
      </c>
    </row>
    <row r="4530">
      <c r="A4530" t="inlineStr">
        <is>
          <t>2024-08-08</t>
        </is>
      </c>
      <c r="B4530" t="inlineStr">
        <is>
          <t>에스폴리텍</t>
        </is>
      </c>
      <c r="C4530" t="inlineStr">
        <is>
          <t>050760</t>
        </is>
      </c>
      <c r="D4530" t="inlineStr">
        <is>
          <t>별도</t>
        </is>
      </c>
      <c r="E4530" t="inlineStr">
        <is>
          <t>2024Q2</t>
        </is>
      </c>
      <c r="F4530" s="2" t="n">
        <v>20002</v>
      </c>
      <c r="G4530" t="inlineStr"/>
      <c r="H4530" t="inlineStr"/>
      <c r="I4530" s="2" t="n">
        <v>115</v>
      </c>
      <c r="J4530" t="inlineStr"/>
      <c r="K4530" t="inlineStr"/>
      <c r="L4530" s="2" t="n">
        <v>1395</v>
      </c>
      <c r="M4530" t="inlineStr"/>
      <c r="N4530" t="inlineStr">
        <is>
          <t>20240808900115</t>
        </is>
      </c>
      <c r="O4530">
        <f>HYPERLINK("https://dart.fss.or.kr/dsaf001/main.do?rcpNo=20240808900115", "공시열람")</f>
        <v/>
      </c>
    </row>
    <row r="4531">
      <c r="A4531" t="inlineStr">
        <is>
          <t>2024-08-08</t>
        </is>
      </c>
      <c r="B4531" t="inlineStr">
        <is>
          <t>예스티</t>
        </is>
      </c>
      <c r="C4531" t="inlineStr">
        <is>
          <t>122640</t>
        </is>
      </c>
      <c r="D4531" t="inlineStr">
        <is>
          <t>별도</t>
        </is>
      </c>
      <c r="E4531" t="inlineStr">
        <is>
          <t>2024Q2</t>
        </is>
      </c>
      <c r="F4531" s="2" t="n">
        <v>24922</v>
      </c>
      <c r="G4531" t="inlineStr"/>
      <c r="H4531" t="inlineStr"/>
      <c r="I4531" s="2" t="n">
        <v>3806</v>
      </c>
      <c r="J4531" t="inlineStr"/>
      <c r="K4531" t="inlineStr"/>
      <c r="L4531" s="2" t="n">
        <v>-5035</v>
      </c>
      <c r="M4531" t="inlineStr"/>
      <c r="N4531" t="inlineStr">
        <is>
          <t>20240808900086</t>
        </is>
      </c>
      <c r="O4531">
        <f>HYPERLINK("https://dart.fss.or.kr/dsaf001/main.do?rcpNo=20240808900086", "공시열람")</f>
        <v/>
      </c>
    </row>
    <row r="4532">
      <c r="A4532" t="inlineStr">
        <is>
          <t>2024-08-08</t>
        </is>
      </c>
      <c r="B4532" t="inlineStr">
        <is>
          <t>헥토파이낸셜</t>
        </is>
      </c>
      <c r="C4532" t="inlineStr">
        <is>
          <t>234340</t>
        </is>
      </c>
      <c r="D4532" t="inlineStr">
        <is>
          <t>연결</t>
        </is>
      </c>
      <c r="E4532" t="inlineStr">
        <is>
          <t>2024Q2</t>
        </is>
      </c>
      <c r="F4532" s="2" t="n">
        <v>38053</v>
      </c>
      <c r="G4532" t="inlineStr"/>
      <c r="H4532" t="inlineStr"/>
      <c r="I4532" s="2" t="n">
        <v>3570</v>
      </c>
      <c r="J4532" t="inlineStr"/>
      <c r="K4532" t="inlineStr"/>
      <c r="L4532" s="2" t="n">
        <v>3992</v>
      </c>
      <c r="M4532" t="inlineStr"/>
      <c r="N4532" t="inlineStr">
        <is>
          <t>20240808900063</t>
        </is>
      </c>
      <c r="O4532">
        <f>HYPERLINK("https://dart.fss.or.kr/dsaf001/main.do?rcpNo=20240808900063", "공시열람")</f>
        <v/>
      </c>
    </row>
    <row r="4533">
      <c r="A4533" t="inlineStr">
        <is>
          <t>2024-08-08</t>
        </is>
      </c>
      <c r="B4533" t="inlineStr">
        <is>
          <t>헥토파이낸셜</t>
        </is>
      </c>
      <c r="C4533" t="inlineStr">
        <is>
          <t>234340</t>
        </is>
      </c>
      <c r="D4533" t="inlineStr">
        <is>
          <t>별도</t>
        </is>
      </c>
      <c r="E4533" t="inlineStr">
        <is>
          <t>2024Q2</t>
        </is>
      </c>
      <c r="F4533" s="2" t="n">
        <v>34373</v>
      </c>
      <c r="G4533" t="inlineStr"/>
      <c r="H4533" t="inlineStr"/>
      <c r="I4533" s="2" t="n">
        <v>4151</v>
      </c>
      <c r="J4533" t="inlineStr"/>
      <c r="K4533" t="inlineStr"/>
      <c r="L4533" s="2" t="n">
        <v>4390</v>
      </c>
      <c r="M4533" t="inlineStr"/>
      <c r="N4533" t="inlineStr">
        <is>
          <t>20240808900061</t>
        </is>
      </c>
      <c r="O4533">
        <f>HYPERLINK("https://dart.fss.or.kr/dsaf001/main.do?rcpNo=20240808900061", "공시열람")</f>
        <v/>
      </c>
    </row>
    <row r="4534">
      <c r="A4534" t="inlineStr">
        <is>
          <t>2024-08-08</t>
        </is>
      </c>
      <c r="B4534" t="inlineStr">
        <is>
          <t>에스케이바이오팜</t>
        </is>
      </c>
      <c r="C4534" t="inlineStr">
        <is>
          <t>326030</t>
        </is>
      </c>
      <c r="D4534" t="inlineStr">
        <is>
          <t>연결</t>
        </is>
      </c>
      <c r="E4534" t="inlineStr">
        <is>
          <t>2024Q2</t>
        </is>
      </c>
      <c r="F4534" s="2" t="n">
        <v>133995</v>
      </c>
      <c r="G4534" t="n">
        <v>17.6</v>
      </c>
      <c r="H4534" t="n">
        <v>74</v>
      </c>
      <c r="I4534" s="2" t="n">
        <v>26046</v>
      </c>
      <c r="J4534" t="n">
        <v>153</v>
      </c>
      <c r="K4534" t="inlineStr"/>
      <c r="L4534" s="2" t="n">
        <v>24558</v>
      </c>
      <c r="M4534" t="inlineStr"/>
      <c r="N4534" t="inlineStr">
        <is>
          <t>20240808800073</t>
        </is>
      </c>
      <c r="O4534">
        <f>HYPERLINK("https://dart.fss.or.kr/dsaf001/main.do?rcpNo=20240808800073", "공시열람")</f>
        <v/>
      </c>
    </row>
    <row r="4535">
      <c r="A4535" t="inlineStr">
        <is>
          <t>2024-08-08</t>
        </is>
      </c>
      <c r="B4535" t="inlineStr">
        <is>
          <t>헥토이노베이션</t>
        </is>
      </c>
      <c r="C4535" t="inlineStr">
        <is>
          <t>214180</t>
        </is>
      </c>
      <c r="D4535" t="inlineStr">
        <is>
          <t>별도</t>
        </is>
      </c>
      <c r="E4535" t="inlineStr">
        <is>
          <t>2024Q2</t>
        </is>
      </c>
      <c r="F4535" s="2" t="n">
        <v>28309</v>
      </c>
      <c r="G4535" t="inlineStr"/>
      <c r="H4535" t="inlineStr"/>
      <c r="I4535" s="2" t="n">
        <v>8919</v>
      </c>
      <c r="J4535" t="inlineStr"/>
      <c r="K4535" t="inlineStr"/>
      <c r="L4535" s="2" t="n">
        <v>7806</v>
      </c>
      <c r="M4535" t="inlineStr"/>
      <c r="N4535" t="inlineStr">
        <is>
          <t>20240808900075</t>
        </is>
      </c>
      <c r="O4535">
        <f>HYPERLINK("https://dart.fss.or.kr/dsaf001/main.do?rcpNo=20240808900075", "공시열람")</f>
        <v/>
      </c>
    </row>
    <row r="4536">
      <c r="A4536" t="inlineStr">
        <is>
          <t>2024-08-08</t>
        </is>
      </c>
      <c r="B4536" t="inlineStr">
        <is>
          <t>헥토이노베이션</t>
        </is>
      </c>
      <c r="C4536" t="inlineStr">
        <is>
          <t>214180</t>
        </is>
      </c>
      <c r="D4536" t="inlineStr">
        <is>
          <t>연결</t>
        </is>
      </c>
      <c r="E4536" t="inlineStr">
        <is>
          <t>2024Q2</t>
        </is>
      </c>
      <c r="F4536" s="2" t="n">
        <v>77825</v>
      </c>
      <c r="G4536" t="inlineStr"/>
      <c r="H4536" t="inlineStr"/>
      <c r="I4536" s="2" t="n">
        <v>11227</v>
      </c>
      <c r="J4536" t="inlineStr"/>
      <c r="K4536" t="inlineStr"/>
      <c r="L4536" s="2" t="n">
        <v>10232</v>
      </c>
      <c r="M4536" t="inlineStr"/>
      <c r="N4536" t="inlineStr">
        <is>
          <t>20240808900064</t>
        </is>
      </c>
      <c r="O4536">
        <f>HYPERLINK("https://dart.fss.or.kr/dsaf001/main.do?rcpNo=20240808900064", "공시열람")</f>
        <v/>
      </c>
    </row>
    <row r="4537">
      <c r="A4537" t="inlineStr">
        <is>
          <t>2024-08-08</t>
        </is>
      </c>
      <c r="B4537" t="inlineStr">
        <is>
          <t>미래에셋증권</t>
        </is>
      </c>
      <c r="C4537" t="inlineStr">
        <is>
          <t>006800</t>
        </is>
      </c>
      <c r="D4537" t="inlineStr">
        <is>
          <t>연결</t>
        </is>
      </c>
      <c r="E4537" t="inlineStr">
        <is>
          <t>2024Q2</t>
        </is>
      </c>
      <c r="F4537" s="2" t="n">
        <v>4724691</v>
      </c>
      <c r="G4537" t="n">
        <v>-24.8</v>
      </c>
      <c r="H4537" t="n">
        <v>18.8</v>
      </c>
      <c r="I4537" s="2" t="n">
        <v>273289</v>
      </c>
      <c r="J4537" t="n">
        <v>1</v>
      </c>
      <c r="K4537" t="n">
        <v>74.40000000000001</v>
      </c>
      <c r="L4537" s="2" t="n">
        <v>201179</v>
      </c>
      <c r="M4537" t="n">
        <v>42.8</v>
      </c>
      <c r="N4537" t="inlineStr">
        <is>
          <t>20240808800065</t>
        </is>
      </c>
      <c r="O4537">
        <f>HYPERLINK("https://dart.fss.or.kr/dsaf001/main.do?rcpNo=20240808800065", "공시열람")</f>
        <v/>
      </c>
    </row>
    <row r="4538">
      <c r="A4538" t="inlineStr">
        <is>
          <t>2024-08-08</t>
        </is>
      </c>
      <c r="B4538" t="inlineStr">
        <is>
          <t>카카오</t>
        </is>
      </c>
      <c r="C4538" t="inlineStr">
        <is>
          <t>035720</t>
        </is>
      </c>
      <c r="D4538" t="inlineStr">
        <is>
          <t>별도</t>
        </is>
      </c>
      <c r="E4538" t="inlineStr">
        <is>
          <t>2024Q2</t>
        </is>
      </c>
      <c r="F4538" s="2" t="n">
        <v>644340</v>
      </c>
      <c r="G4538" t="n">
        <v>0.6</v>
      </c>
      <c r="H4538" t="n">
        <v>5.3</v>
      </c>
      <c r="I4538" s="2" t="n">
        <v>129980</v>
      </c>
      <c r="J4538" t="n">
        <v>-5.6</v>
      </c>
      <c r="K4538" t="n">
        <v>11.1</v>
      </c>
      <c r="L4538" s="2" t="n">
        <v>22389</v>
      </c>
      <c r="M4538" t="n">
        <v>-75.8</v>
      </c>
      <c r="N4538" t="inlineStr">
        <is>
          <t>20240808800005</t>
        </is>
      </c>
      <c r="O4538">
        <f>HYPERLINK("https://dart.fss.or.kr/dsaf001/main.do?rcpNo=20240808800005", "공시열람")</f>
        <v/>
      </c>
    </row>
    <row r="4539">
      <c r="A4539" t="inlineStr">
        <is>
          <t>2024-08-08</t>
        </is>
      </c>
      <c r="B4539" t="inlineStr">
        <is>
          <t>신세계푸드</t>
        </is>
      </c>
      <c r="C4539" t="inlineStr">
        <is>
          <t>031440</t>
        </is>
      </c>
      <c r="D4539" t="inlineStr">
        <is>
          <t>연결</t>
        </is>
      </c>
      <c r="E4539" t="inlineStr">
        <is>
          <t>2024Q2</t>
        </is>
      </c>
      <c r="F4539" s="2" t="n">
        <v>393946</v>
      </c>
      <c r="G4539" t="n">
        <v>3.2</v>
      </c>
      <c r="H4539" t="n">
        <v>6.5</v>
      </c>
      <c r="I4539" s="2" t="n">
        <v>9666</v>
      </c>
      <c r="J4539" t="n">
        <v>108.1</v>
      </c>
      <c r="K4539" t="n">
        <v>20.8</v>
      </c>
      <c r="L4539" s="2" t="n">
        <v>5090</v>
      </c>
      <c r="M4539" t="n">
        <v>-16.9</v>
      </c>
      <c r="N4539" t="inlineStr">
        <is>
          <t>20240808800335</t>
        </is>
      </c>
      <c r="O4539">
        <f>HYPERLINK("https://dart.fss.or.kr/dsaf001/main.do?rcpNo=20240808800335", "공시열람")</f>
        <v/>
      </c>
    </row>
    <row r="4540">
      <c r="A4540" t="inlineStr">
        <is>
          <t>2024-08-08</t>
        </is>
      </c>
      <c r="B4540" t="inlineStr">
        <is>
          <t>펄어비스</t>
        </is>
      </c>
      <c r="C4540" t="inlineStr">
        <is>
          <t>263750</t>
        </is>
      </c>
      <c r="D4540" t="inlineStr">
        <is>
          <t>연결</t>
        </is>
      </c>
      <c r="E4540" t="inlineStr">
        <is>
          <t>2024Q2</t>
        </is>
      </c>
      <c r="F4540" s="2" t="n">
        <v>81761</v>
      </c>
      <c r="G4540" t="inlineStr"/>
      <c r="H4540" t="inlineStr"/>
      <c r="I4540" s="2" t="n">
        <v>-5834</v>
      </c>
      <c r="J4540" t="inlineStr"/>
      <c r="K4540" t="inlineStr"/>
      <c r="L4540" s="2" t="n">
        <v>9131</v>
      </c>
      <c r="M4540" t="inlineStr"/>
      <c r="N4540" t="inlineStr">
        <is>
          <t>20240808900001</t>
        </is>
      </c>
      <c r="O4540">
        <f>HYPERLINK("https://dart.fss.or.kr/dsaf001/main.do?rcpNo=20240808900001", "공시열람")</f>
        <v/>
      </c>
    </row>
    <row r="4541">
      <c r="A4541" t="inlineStr">
        <is>
          <t>2024-08-08</t>
        </is>
      </c>
      <c r="B4541" t="inlineStr">
        <is>
          <t>이수앱지스</t>
        </is>
      </c>
      <c r="C4541" t="inlineStr">
        <is>
          <t>086890</t>
        </is>
      </c>
      <c r="D4541" t="inlineStr">
        <is>
          <t>별도</t>
        </is>
      </c>
      <c r="E4541" t="inlineStr">
        <is>
          <t>2024Q2</t>
        </is>
      </c>
      <c r="F4541" s="2" t="n">
        <v>14342</v>
      </c>
      <c r="G4541" t="inlineStr"/>
      <c r="H4541" t="inlineStr"/>
      <c r="I4541" s="2" t="n">
        <v>4768</v>
      </c>
      <c r="J4541" t="inlineStr"/>
      <c r="K4541" t="inlineStr"/>
      <c r="L4541" s="2" t="n">
        <v>2047</v>
      </c>
      <c r="M4541" t="inlineStr"/>
      <c r="N4541" t="inlineStr">
        <is>
          <t>20240808900182</t>
        </is>
      </c>
      <c r="O4541">
        <f>HYPERLINK("https://dart.fss.or.kr/dsaf001/main.do?rcpNo=20240808900182", "공시열람")</f>
        <v/>
      </c>
    </row>
    <row r="4542">
      <c r="A4542" t="inlineStr">
        <is>
          <t>2024-08-08</t>
        </is>
      </c>
      <c r="B4542" t="inlineStr">
        <is>
          <t>카카오</t>
        </is>
      </c>
      <c r="C4542" t="inlineStr">
        <is>
          <t>035720</t>
        </is>
      </c>
      <c r="D4542" t="inlineStr">
        <is>
          <t>연결</t>
        </is>
      </c>
      <c r="E4542" t="inlineStr">
        <is>
          <t>2024Q2</t>
        </is>
      </c>
      <c r="F4542" s="2" t="n">
        <v>2004898</v>
      </c>
      <c r="G4542" t="n">
        <v>0.8</v>
      </c>
      <c r="H4542" t="n">
        <v>4.2</v>
      </c>
      <c r="I4542" s="2" t="n">
        <v>133964</v>
      </c>
      <c r="J4542" t="n">
        <v>11.4</v>
      </c>
      <c r="K4542" t="n">
        <v>18.5</v>
      </c>
      <c r="L4542" s="2" t="n">
        <v>87149</v>
      </c>
      <c r="M4542" t="n">
        <v>59.1</v>
      </c>
      <c r="N4542" t="inlineStr">
        <is>
          <t>20240808800003</t>
        </is>
      </c>
      <c r="O4542">
        <f>HYPERLINK("https://dart.fss.or.kr/dsaf001/main.do?rcpNo=20240808800003", "공시열람")</f>
        <v/>
      </c>
    </row>
    <row r="4543">
      <c r="A4543" t="inlineStr">
        <is>
          <t>2024-08-08</t>
        </is>
      </c>
      <c r="B4543" t="inlineStr">
        <is>
          <t>클리오</t>
        </is>
      </c>
      <c r="C4543" t="inlineStr">
        <is>
          <t>237880</t>
        </is>
      </c>
      <c r="D4543" t="inlineStr">
        <is>
          <t>연결</t>
        </is>
      </c>
      <c r="E4543" t="inlineStr">
        <is>
          <t>2024Q2</t>
        </is>
      </c>
      <c r="F4543" s="2" t="n">
        <v>92581</v>
      </c>
      <c r="G4543" t="inlineStr"/>
      <c r="H4543" t="inlineStr"/>
      <c r="I4543" s="2" t="n">
        <v>9576</v>
      </c>
      <c r="J4543" t="inlineStr"/>
      <c r="K4543" t="inlineStr"/>
      <c r="L4543" s="2" t="n">
        <v>8969</v>
      </c>
      <c r="M4543" t="inlineStr"/>
      <c r="N4543" t="inlineStr">
        <is>
          <t>20240808900194</t>
        </is>
      </c>
      <c r="O4543">
        <f>HYPERLINK("https://dart.fss.or.kr/dsaf001/main.do?rcpNo=20240808900194", "공시열람")</f>
        <v/>
      </c>
    </row>
    <row r="4544">
      <c r="A4544" t="inlineStr">
        <is>
          <t>2024-08-08</t>
        </is>
      </c>
      <c r="B4544" t="inlineStr">
        <is>
          <t>원익머트리얼즈</t>
        </is>
      </c>
      <c r="C4544" t="inlineStr">
        <is>
          <t>104830</t>
        </is>
      </c>
      <c r="D4544" t="inlineStr">
        <is>
          <t>연결</t>
        </is>
      </c>
      <c r="E4544" t="inlineStr">
        <is>
          <t>2024Q2</t>
        </is>
      </c>
      <c r="F4544" s="2" t="n">
        <v>76483</v>
      </c>
      <c r="G4544" t="inlineStr"/>
      <c r="H4544" t="inlineStr"/>
      <c r="I4544" s="2" t="n">
        <v>15945</v>
      </c>
      <c r="J4544" t="inlineStr"/>
      <c r="K4544" t="inlineStr"/>
      <c r="L4544" s="2" t="n">
        <v>13902</v>
      </c>
      <c r="M4544" t="inlineStr"/>
      <c r="N4544" t="inlineStr">
        <is>
          <t>20240808900275</t>
        </is>
      </c>
      <c r="O4544">
        <f>HYPERLINK("https://dart.fss.or.kr/dsaf001/main.do?rcpNo=20240808900275", "공시열람")</f>
        <v/>
      </c>
    </row>
    <row r="4545">
      <c r="A4545" t="inlineStr">
        <is>
          <t>2024-08-08</t>
        </is>
      </c>
      <c r="B4545" t="inlineStr">
        <is>
          <t>한온시스템</t>
        </is>
      </c>
      <c r="C4545" t="inlineStr">
        <is>
          <t>018880</t>
        </is>
      </c>
      <c r="D4545" t="inlineStr">
        <is>
          <t>연결</t>
        </is>
      </c>
      <c r="E4545" t="inlineStr">
        <is>
          <t>2024Q2</t>
        </is>
      </c>
      <c r="F4545" s="2" t="n">
        <v>2559894</v>
      </c>
      <c r="G4545" t="inlineStr"/>
      <c r="H4545" t="inlineStr"/>
      <c r="I4545" s="2" t="n">
        <v>71581</v>
      </c>
      <c r="J4545" t="inlineStr"/>
      <c r="K4545" t="inlineStr"/>
      <c r="L4545" s="2" t="n">
        <v>-31204</v>
      </c>
      <c r="M4545" t="inlineStr"/>
      <c r="N4545" t="inlineStr">
        <is>
          <t>20240808800206</t>
        </is>
      </c>
      <c r="O4545">
        <f>HYPERLINK("https://dart.fss.or.kr/dsaf001/main.do?rcpNo=20240808800206", "공시열람")</f>
        <v/>
      </c>
    </row>
    <row r="4546">
      <c r="A4546" t="inlineStr">
        <is>
          <t>2024-08-08</t>
        </is>
      </c>
      <c r="B4546" t="inlineStr">
        <is>
          <t>한국공항</t>
        </is>
      </c>
      <c r="C4546" t="inlineStr">
        <is>
          <t>005430</t>
        </is>
      </c>
      <c r="D4546" t="inlineStr">
        <is>
          <t>연결</t>
        </is>
      </c>
      <c r="E4546" t="inlineStr">
        <is>
          <t>2024Q2</t>
        </is>
      </c>
      <c r="F4546" s="2" t="n">
        <v>150005</v>
      </c>
      <c r="G4546" t="n">
        <v>0.04</v>
      </c>
      <c r="H4546" t="n">
        <v>13.3</v>
      </c>
      <c r="I4546" s="2" t="n">
        <v>14253</v>
      </c>
      <c r="J4546" t="n">
        <v>-4.82</v>
      </c>
      <c r="K4546" t="n">
        <v>18.24</v>
      </c>
      <c r="L4546" s="2" t="n">
        <v>11405</v>
      </c>
      <c r="M4546" t="n">
        <v>7.24</v>
      </c>
      <c r="N4546" t="inlineStr">
        <is>
          <t>20240808800317</t>
        </is>
      </c>
      <c r="O4546">
        <f>HYPERLINK("https://dart.fss.or.kr/dsaf001/main.do?rcpNo=20240808800317", "공시열람")</f>
        <v/>
      </c>
    </row>
    <row r="4547">
      <c r="A4547" t="inlineStr">
        <is>
          <t>2024-08-08</t>
        </is>
      </c>
      <c r="B4547" t="inlineStr">
        <is>
          <t>LG</t>
        </is>
      </c>
      <c r="C4547" t="inlineStr">
        <is>
          <t>003550</t>
        </is>
      </c>
      <c r="D4547" t="inlineStr">
        <is>
          <t>연결</t>
        </is>
      </c>
      <c r="E4547" t="inlineStr">
        <is>
          <t>2024Q2</t>
        </is>
      </c>
      <c r="F4547" s="2" t="n">
        <v>1824042</v>
      </c>
      <c r="G4547" t="inlineStr"/>
      <c r="H4547" t="inlineStr"/>
      <c r="I4547" s="2" t="n">
        <v>309408</v>
      </c>
      <c r="J4547" t="inlineStr"/>
      <c r="K4547" t="inlineStr"/>
      <c r="L4547" s="2" t="n">
        <v>290431</v>
      </c>
      <c r="M4547" t="inlineStr"/>
      <c r="N4547" t="inlineStr">
        <is>
          <t>20240808800328</t>
        </is>
      </c>
      <c r="O4547">
        <f>HYPERLINK("https://dart.fss.or.kr/dsaf001/main.do?rcpNo=20240808800328", "공시열람")</f>
        <v/>
      </c>
    </row>
    <row r="4548">
      <c r="A4548" t="inlineStr">
        <is>
          <t>2024-08-08</t>
        </is>
      </c>
      <c r="B4548" t="inlineStr">
        <is>
          <t>한국타이어앤테크놀로지</t>
        </is>
      </c>
      <c r="C4548" t="inlineStr">
        <is>
          <t>161390</t>
        </is>
      </c>
      <c r="D4548" t="inlineStr">
        <is>
          <t>연결</t>
        </is>
      </c>
      <c r="E4548" t="inlineStr">
        <is>
          <t>2024Q2</t>
        </is>
      </c>
      <c r="F4548" s="2" t="n">
        <v>2317897</v>
      </c>
      <c r="G4548" t="n">
        <v>9</v>
      </c>
      <c r="H4548" t="n">
        <v>2.4</v>
      </c>
      <c r="I4548" s="2" t="n">
        <v>420038</v>
      </c>
      <c r="J4548" t="n">
        <v>5.3</v>
      </c>
      <c r="K4548" t="n">
        <v>69.2</v>
      </c>
      <c r="L4548" s="2" t="n">
        <v>323137</v>
      </c>
      <c r="M4548" t="n">
        <v>128.4</v>
      </c>
      <c r="N4548" t="inlineStr">
        <is>
          <t>20240808800326</t>
        </is>
      </c>
      <c r="O4548">
        <f>HYPERLINK("https://dart.fss.or.kr/dsaf001/main.do?rcpNo=20240808800326", "공시열람")</f>
        <v/>
      </c>
    </row>
    <row r="4549">
      <c r="A4549" t="inlineStr">
        <is>
          <t>2024-08-08</t>
        </is>
      </c>
      <c r="B4549" t="inlineStr">
        <is>
          <t>인바디</t>
        </is>
      </c>
      <c r="C4549" t="inlineStr">
        <is>
          <t>041830</t>
        </is>
      </c>
      <c r="D4549" t="inlineStr">
        <is>
          <t>연결</t>
        </is>
      </c>
      <c r="E4549" t="inlineStr">
        <is>
          <t>2024Q2</t>
        </is>
      </c>
      <c r="F4549" s="2" t="n">
        <v>50243</v>
      </c>
      <c r="G4549" t="inlineStr"/>
      <c r="H4549" t="inlineStr"/>
      <c r="I4549" s="2" t="n">
        <v>9413</v>
      </c>
      <c r="J4549" t="inlineStr"/>
      <c r="K4549" t="inlineStr"/>
      <c r="L4549" s="2" t="n">
        <v>8187</v>
      </c>
      <c r="M4549" t="inlineStr"/>
      <c r="N4549" t="inlineStr">
        <is>
          <t>20240808900327</t>
        </is>
      </c>
      <c r="O4549">
        <f>HYPERLINK("https://dart.fss.or.kr/dsaf001/main.do?rcpNo=20240808900327", "공시열람")</f>
        <v/>
      </c>
    </row>
    <row r="4550">
      <c r="A4550" t="inlineStr">
        <is>
          <t>2024-08-08</t>
        </is>
      </c>
      <c r="B4550" t="inlineStr">
        <is>
          <t>원익IPS</t>
        </is>
      </c>
      <c r="C4550" t="inlineStr">
        <is>
          <t>240810</t>
        </is>
      </c>
      <c r="D4550" t="inlineStr">
        <is>
          <t>연결</t>
        </is>
      </c>
      <c r="E4550" t="inlineStr">
        <is>
          <t>2024Q2</t>
        </is>
      </c>
      <c r="F4550" s="2" t="n">
        <v>154902</v>
      </c>
      <c r="G4550" t="inlineStr"/>
      <c r="H4550" t="inlineStr"/>
      <c r="I4550" s="2" t="n">
        <v>-3067</v>
      </c>
      <c r="J4550" t="inlineStr"/>
      <c r="K4550" t="inlineStr"/>
      <c r="L4550" s="2" t="n">
        <v>7048</v>
      </c>
      <c r="M4550" t="inlineStr"/>
      <c r="N4550" t="inlineStr">
        <is>
          <t>20240808900304</t>
        </is>
      </c>
      <c r="O4550">
        <f>HYPERLINK("https://dart.fss.or.kr/dsaf001/main.do?rcpNo=20240808900304", "공시열람")</f>
        <v/>
      </c>
    </row>
    <row r="4551">
      <c r="A4551" t="inlineStr">
        <is>
          <t>2024-08-08</t>
        </is>
      </c>
      <c r="B4551" t="inlineStr">
        <is>
          <t>싸이맥스</t>
        </is>
      </c>
      <c r="C4551" t="inlineStr">
        <is>
          <t>160980</t>
        </is>
      </c>
      <c r="D4551" t="inlineStr">
        <is>
          <t>연결</t>
        </is>
      </c>
      <c r="E4551" t="inlineStr">
        <is>
          <t>2024Q2</t>
        </is>
      </c>
      <c r="F4551" s="2" t="n">
        <v>38622</v>
      </c>
      <c r="G4551" t="inlineStr"/>
      <c r="H4551" t="inlineStr"/>
      <c r="I4551" s="2" t="n">
        <v>5636</v>
      </c>
      <c r="J4551" t="inlineStr"/>
      <c r="K4551" t="inlineStr"/>
      <c r="L4551" s="2" t="n">
        <v>3623</v>
      </c>
      <c r="M4551" t="inlineStr"/>
      <c r="N4551" t="inlineStr">
        <is>
          <t>20240808900303</t>
        </is>
      </c>
      <c r="O4551">
        <f>HYPERLINK("https://dart.fss.or.kr/dsaf001/main.do?rcpNo=20240808900303", "공시열람")</f>
        <v/>
      </c>
    </row>
    <row r="4552">
      <c r="A4552" t="inlineStr">
        <is>
          <t>2024-08-08</t>
        </is>
      </c>
      <c r="B4552" t="inlineStr">
        <is>
          <t>싸이맥스</t>
        </is>
      </c>
      <c r="C4552" t="inlineStr">
        <is>
          <t>160980</t>
        </is>
      </c>
      <c r="D4552" t="inlineStr">
        <is>
          <t>별도</t>
        </is>
      </c>
      <c r="E4552" t="inlineStr">
        <is>
          <t>2024Q2</t>
        </is>
      </c>
      <c r="F4552" s="2" t="n">
        <v>38568</v>
      </c>
      <c r="G4552" t="inlineStr"/>
      <c r="H4552" t="inlineStr"/>
      <c r="I4552" s="2" t="n">
        <v>5620</v>
      </c>
      <c r="J4552" t="inlineStr"/>
      <c r="K4552" t="inlineStr"/>
      <c r="L4552" s="2" t="n">
        <v>3647</v>
      </c>
      <c r="M4552" t="inlineStr"/>
      <c r="N4552" t="inlineStr">
        <is>
          <t>20240808900300</t>
        </is>
      </c>
      <c r="O4552">
        <f>HYPERLINK("https://dart.fss.or.kr/dsaf001/main.do?rcpNo=20240808900300", "공시열람")</f>
        <v/>
      </c>
    </row>
    <row r="4553">
      <c r="A4553" t="inlineStr">
        <is>
          <t>2024-08-08</t>
        </is>
      </c>
      <c r="B4553" t="inlineStr">
        <is>
          <t>에스폴리텍</t>
        </is>
      </c>
      <c r="C4553" t="inlineStr">
        <is>
          <t>050760</t>
        </is>
      </c>
      <c r="D4553" t="inlineStr">
        <is>
          <t>연결</t>
        </is>
      </c>
      <c r="E4553" t="inlineStr">
        <is>
          <t>2024Q2</t>
        </is>
      </c>
      <c r="F4553" s="2" t="n">
        <v>20288</v>
      </c>
      <c r="G4553" t="inlineStr"/>
      <c r="H4553" t="inlineStr"/>
      <c r="I4553" s="2" t="n">
        <v>85</v>
      </c>
      <c r="J4553" t="inlineStr"/>
      <c r="K4553" t="inlineStr"/>
      <c r="L4553" s="2" t="n">
        <v>1408</v>
      </c>
      <c r="M4553" t="inlineStr"/>
      <c r="N4553" t="inlineStr">
        <is>
          <t>20240808900110</t>
        </is>
      </c>
      <c r="O4553">
        <f>HYPERLINK("https://dart.fss.or.kr/dsaf001/main.do?rcpNo=20240808900110", "공시열람")</f>
        <v/>
      </c>
    </row>
    <row r="4554">
      <c r="A4554" t="inlineStr">
        <is>
          <t>2024-08-08</t>
        </is>
      </c>
      <c r="B4554" t="inlineStr">
        <is>
          <t>AP시스템</t>
        </is>
      </c>
      <c r="C4554" t="inlineStr">
        <is>
          <t>265520</t>
        </is>
      </c>
      <c r="D4554" t="inlineStr">
        <is>
          <t>연결</t>
        </is>
      </c>
      <c r="E4554" t="inlineStr">
        <is>
          <t>2024Q2</t>
        </is>
      </c>
      <c r="F4554" s="2" t="n">
        <v>129289</v>
      </c>
      <c r="G4554" t="inlineStr"/>
      <c r="H4554" t="inlineStr"/>
      <c r="I4554" s="2" t="n">
        <v>12649</v>
      </c>
      <c r="J4554" t="inlineStr"/>
      <c r="K4554" t="inlineStr"/>
      <c r="L4554" s="2" t="n">
        <v>15023</v>
      </c>
      <c r="M4554" t="inlineStr"/>
      <c r="N4554" t="inlineStr">
        <is>
          <t>20240808900261</t>
        </is>
      </c>
      <c r="O4554">
        <f>HYPERLINK("https://dart.fss.or.kr/dsaf001/main.do?rcpNo=20240808900261", "공시열람")</f>
        <v/>
      </c>
    </row>
    <row r="4555">
      <c r="A4555" t="inlineStr">
        <is>
          <t>2024-08-08</t>
        </is>
      </c>
      <c r="B4555" t="inlineStr">
        <is>
          <t>배럴</t>
        </is>
      </c>
      <c r="C4555" t="inlineStr">
        <is>
          <t>267790</t>
        </is>
      </c>
      <c r="D4555" t="inlineStr">
        <is>
          <t>연결</t>
        </is>
      </c>
      <c r="E4555" t="inlineStr">
        <is>
          <t>2024Q2</t>
        </is>
      </c>
      <c r="F4555" s="2" t="n">
        <v>17262</v>
      </c>
      <c r="G4555" t="inlineStr"/>
      <c r="H4555" t="inlineStr"/>
      <c r="I4555" s="2" t="n">
        <v>2658</v>
      </c>
      <c r="J4555" t="inlineStr"/>
      <c r="K4555" t="inlineStr"/>
      <c r="L4555" s="2" t="n">
        <v>1424</v>
      </c>
      <c r="M4555" t="inlineStr"/>
      <c r="N4555" t="inlineStr">
        <is>
          <t>20240808900256</t>
        </is>
      </c>
      <c r="O4555">
        <f>HYPERLINK("https://dart.fss.or.kr/dsaf001/main.do?rcpNo=20240808900256", "공시열람")</f>
        <v/>
      </c>
    </row>
    <row r="4556">
      <c r="A4556" t="inlineStr">
        <is>
          <t>2024-08-08</t>
        </is>
      </c>
      <c r="B4556" t="inlineStr">
        <is>
          <t>현대리바트</t>
        </is>
      </c>
      <c r="C4556" t="inlineStr">
        <is>
          <t>079430</t>
        </is>
      </c>
      <c r="D4556" t="inlineStr">
        <is>
          <t>연결</t>
        </is>
      </c>
      <c r="E4556" t="inlineStr">
        <is>
          <t>2024Q2</t>
        </is>
      </c>
      <c r="F4556" s="2" t="n">
        <v>496957</v>
      </c>
      <c r="G4556" t="n">
        <v>-1.6</v>
      </c>
      <c r="H4556" t="n">
        <v>24.7</v>
      </c>
      <c r="I4556" s="2" t="n">
        <v>8170</v>
      </c>
      <c r="J4556" t="n">
        <v>20.2</v>
      </c>
      <c r="K4556" t="n">
        <v>135</v>
      </c>
      <c r="L4556" s="2" t="n">
        <v>5749</v>
      </c>
      <c r="M4556" t="n">
        <v>186.3</v>
      </c>
      <c r="N4556" t="inlineStr">
        <is>
          <t>20240808800268</t>
        </is>
      </c>
      <c r="O4556">
        <f>HYPERLINK("https://dart.fss.or.kr/dsaf001/main.do?rcpNo=20240808800268", "공시열람")</f>
        <v/>
      </c>
    </row>
    <row r="4557">
      <c r="A4557" t="inlineStr">
        <is>
          <t>2024-08-08</t>
        </is>
      </c>
      <c r="B4557" t="inlineStr">
        <is>
          <t>CJ ENM</t>
        </is>
      </c>
      <c r="C4557" t="inlineStr">
        <is>
          <t>035760</t>
        </is>
      </c>
      <c r="D4557" t="inlineStr">
        <is>
          <t>연결</t>
        </is>
      </c>
      <c r="E4557" t="inlineStr">
        <is>
          <t>2024Q2</t>
        </is>
      </c>
      <c r="F4557" s="2" t="n">
        <v>1164731</v>
      </c>
      <c r="G4557" t="inlineStr"/>
      <c r="H4557" t="inlineStr"/>
      <c r="I4557" s="2" t="n">
        <v>35327</v>
      </c>
      <c r="J4557" t="inlineStr"/>
      <c r="K4557" t="inlineStr"/>
      <c r="L4557" s="2" t="n">
        <v>10150</v>
      </c>
      <c r="M4557" t="inlineStr"/>
      <c r="N4557" t="inlineStr">
        <is>
          <t>20240808900237</t>
        </is>
      </c>
      <c r="O4557">
        <f>HYPERLINK("https://dart.fss.or.kr/dsaf001/main.do?rcpNo=20240808900237", "공시열람")</f>
        <v/>
      </c>
    </row>
    <row r="4558">
      <c r="A4558" t="inlineStr">
        <is>
          <t>2024-08-08</t>
        </is>
      </c>
      <c r="B4558" t="inlineStr">
        <is>
          <t>티비에이치글로벌</t>
        </is>
      </c>
      <c r="C4558" t="inlineStr">
        <is>
          <t>084870</t>
        </is>
      </c>
      <c r="D4558" t="inlineStr">
        <is>
          <t>연결</t>
        </is>
      </c>
      <c r="E4558" t="inlineStr">
        <is>
          <t>2024Q2</t>
        </is>
      </c>
      <c r="F4558" s="2" t="n">
        <v>49889</v>
      </c>
      <c r="G4558" t="n">
        <v>22.6</v>
      </c>
      <c r="H4558" t="n">
        <v>-6.4</v>
      </c>
      <c r="I4558" s="2" t="n">
        <v>3026</v>
      </c>
      <c r="J4558" t="inlineStr"/>
      <c r="K4558" t="n">
        <v>-41.3</v>
      </c>
      <c r="L4558" s="2" t="n">
        <v>2080</v>
      </c>
      <c r="M4558" t="n">
        <v>-53.7</v>
      </c>
      <c r="N4558" t="inlineStr">
        <is>
          <t>20240808800238</t>
        </is>
      </c>
      <c r="O4558">
        <f>HYPERLINK("https://dart.fss.or.kr/dsaf001/main.do?rcpNo=20240808800238", "공시열람")</f>
        <v/>
      </c>
    </row>
    <row r="4559">
      <c r="A4559" t="inlineStr">
        <is>
          <t>2024-08-08</t>
        </is>
      </c>
      <c r="B4559" t="inlineStr">
        <is>
          <t>지누스</t>
        </is>
      </c>
      <c r="C4559" t="inlineStr">
        <is>
          <t>013890</t>
        </is>
      </c>
      <c r="D4559" t="inlineStr">
        <is>
          <t>연결</t>
        </is>
      </c>
      <c r="E4559" t="inlineStr">
        <is>
          <t>2024Q2</t>
        </is>
      </c>
      <c r="F4559" s="2" t="n">
        <v>206265</v>
      </c>
      <c r="G4559" t="inlineStr"/>
      <c r="H4559" t="inlineStr"/>
      <c r="I4559" s="2" t="n">
        <v>-14239</v>
      </c>
      <c r="J4559" t="inlineStr"/>
      <c r="K4559" t="inlineStr"/>
      <c r="L4559" s="2" t="n">
        <v>-10422</v>
      </c>
      <c r="M4559" t="inlineStr"/>
      <c r="N4559" t="inlineStr">
        <is>
          <t>20240808800227</t>
        </is>
      </c>
      <c r="O4559">
        <f>HYPERLINK("https://dart.fss.or.kr/dsaf001/main.do?rcpNo=20240808800227", "공시열람")</f>
        <v/>
      </c>
    </row>
    <row r="4560">
      <c r="A4560" t="inlineStr">
        <is>
          <t>2024-08-08</t>
        </is>
      </c>
      <c r="B4560" t="inlineStr">
        <is>
          <t>현대백화점</t>
        </is>
      </c>
      <c r="C4560" t="inlineStr">
        <is>
          <t>069960</t>
        </is>
      </c>
      <c r="D4560" t="inlineStr">
        <is>
          <t>연결</t>
        </is>
      </c>
      <c r="E4560" t="inlineStr">
        <is>
          <t>2024Q2</t>
        </is>
      </c>
      <c r="F4560" s="2" t="n">
        <v>1023800</v>
      </c>
      <c r="G4560" t="n">
        <v>7.6</v>
      </c>
      <c r="H4560" t="n">
        <v>5.5</v>
      </c>
      <c r="I4560" s="2" t="n">
        <v>42800</v>
      </c>
      <c r="J4560" t="n">
        <v>-37.8</v>
      </c>
      <c r="K4560" t="n">
        <v>-23</v>
      </c>
      <c r="L4560" s="2" t="n">
        <v>-145400</v>
      </c>
      <c r="M4560" t="inlineStr"/>
      <c r="N4560" t="inlineStr">
        <is>
          <t>20240808800277</t>
        </is>
      </c>
      <c r="O4560">
        <f>HYPERLINK("https://dart.fss.or.kr/dsaf001/main.do?rcpNo=20240808800277", "공시열람")</f>
        <v/>
      </c>
    </row>
    <row r="4561">
      <c r="A4561" t="inlineStr">
        <is>
          <t>2024-08-08</t>
        </is>
      </c>
      <c r="B4561" t="inlineStr">
        <is>
          <t>스튜디오드래곤</t>
        </is>
      </c>
      <c r="C4561" t="inlineStr">
        <is>
          <t>253450</t>
        </is>
      </c>
      <c r="D4561" t="inlineStr">
        <is>
          <t>연결</t>
        </is>
      </c>
      <c r="E4561" t="inlineStr">
        <is>
          <t>2024Q2</t>
        </is>
      </c>
      <c r="F4561" s="2" t="n">
        <v>137120</v>
      </c>
      <c r="G4561" t="inlineStr"/>
      <c r="H4561" t="inlineStr"/>
      <c r="I4561" s="2" t="n">
        <v>10454</v>
      </c>
      <c r="J4561" t="inlineStr"/>
      <c r="K4561" t="inlineStr"/>
      <c r="L4561" s="2" t="n">
        <v>8152</v>
      </c>
      <c r="M4561" t="inlineStr"/>
      <c r="N4561" t="inlineStr">
        <is>
          <t>20240808900219</t>
        </is>
      </c>
      <c r="O4561">
        <f>HYPERLINK("https://dart.fss.or.kr/dsaf001/main.do?rcpNo=20240808900219", "공시열람")</f>
        <v/>
      </c>
    </row>
    <row r="4562">
      <c r="A4562" t="inlineStr">
        <is>
          <t>2024-08-07</t>
        </is>
      </c>
      <c r="B4562" t="inlineStr">
        <is>
          <t>GS</t>
        </is>
      </c>
      <c r="C4562" t="inlineStr">
        <is>
          <t>078930</t>
        </is>
      </c>
      <c r="D4562" t="inlineStr">
        <is>
          <t>연결</t>
        </is>
      </c>
      <c r="E4562" t="inlineStr">
        <is>
          <t>2024Q2</t>
        </is>
      </c>
      <c r="F4562" s="2" t="n">
        <v>6203678</v>
      </c>
      <c r="G4562" t="n">
        <v>-1.36</v>
      </c>
      <c r="H4562" t="n">
        <v>1.01</v>
      </c>
      <c r="I4562" s="2" t="n">
        <v>798093</v>
      </c>
      <c r="J4562" t="n">
        <v>-21.47</v>
      </c>
      <c r="K4562" t="n">
        <v>12.11</v>
      </c>
      <c r="L4562" s="2" t="n">
        <v>275410</v>
      </c>
      <c r="M4562" t="n">
        <v>16.62</v>
      </c>
      <c r="N4562" t="inlineStr">
        <is>
          <t>20240807800272</t>
        </is>
      </c>
      <c r="O4562">
        <f>HYPERLINK("https://dart.fss.or.kr/dsaf001/main.do?rcpNo=20240807800272", "공시열람")</f>
        <v/>
      </c>
    </row>
    <row r="4563">
      <c r="A4563" t="inlineStr">
        <is>
          <t>2024-08-07</t>
        </is>
      </c>
      <c r="B4563" t="inlineStr">
        <is>
          <t>신세계</t>
        </is>
      </c>
      <c r="C4563" t="inlineStr">
        <is>
          <t>004170</t>
        </is>
      </c>
      <c r="D4563" t="inlineStr">
        <is>
          <t>별도</t>
        </is>
      </c>
      <c r="E4563" t="inlineStr">
        <is>
          <t>2024Q2</t>
        </is>
      </c>
      <c r="F4563" s="2" t="n">
        <v>145671</v>
      </c>
      <c r="G4563" t="n">
        <v>-6.4</v>
      </c>
      <c r="H4563" t="n">
        <v>-0.5</v>
      </c>
      <c r="I4563" s="2" t="inlineStr"/>
      <c r="J4563" t="inlineStr"/>
      <c r="K4563" t="inlineStr"/>
      <c r="L4563" s="2" t="inlineStr"/>
      <c r="M4563" t="inlineStr"/>
      <c r="N4563" t="inlineStr">
        <is>
          <t>20240807800241</t>
        </is>
      </c>
      <c r="O4563">
        <f>HYPERLINK("https://dart.fss.or.kr/dsaf001/main.do?rcpNo=20240807800241", "공시열람")</f>
        <v/>
      </c>
    </row>
    <row r="4564">
      <c r="A4564" t="inlineStr">
        <is>
          <t>2024-08-07</t>
        </is>
      </c>
      <c r="B4564" t="inlineStr">
        <is>
          <t>흥국에프엔비</t>
        </is>
      </c>
      <c r="C4564" t="inlineStr">
        <is>
          <t>189980</t>
        </is>
      </c>
      <c r="D4564" t="inlineStr">
        <is>
          <t>연결</t>
        </is>
      </c>
      <c r="E4564" t="inlineStr">
        <is>
          <t>2024Q2</t>
        </is>
      </c>
      <c r="F4564" s="2" t="n">
        <v>29393</v>
      </c>
      <c r="G4564" t="inlineStr"/>
      <c r="H4564" t="inlineStr"/>
      <c r="I4564" s="2" t="n">
        <v>3623</v>
      </c>
      <c r="J4564" t="inlineStr"/>
      <c r="K4564" t="inlineStr"/>
      <c r="L4564" s="2" t="n">
        <v>1949</v>
      </c>
      <c r="M4564" t="inlineStr"/>
      <c r="N4564" t="inlineStr">
        <is>
          <t>20240807900219</t>
        </is>
      </c>
      <c r="O4564">
        <f>HYPERLINK("https://dart.fss.or.kr/dsaf001/main.do?rcpNo=20240807900219", "공시열람")</f>
        <v/>
      </c>
    </row>
    <row r="4565">
      <c r="A4565" t="inlineStr">
        <is>
          <t>2024-08-07</t>
        </is>
      </c>
      <c r="B4565" t="inlineStr">
        <is>
          <t>신세계인터내셔날</t>
        </is>
      </c>
      <c r="C4565" t="inlineStr">
        <is>
          <t>031430</t>
        </is>
      </c>
      <c r="D4565" t="inlineStr">
        <is>
          <t>연결</t>
        </is>
      </c>
      <c r="E4565" t="inlineStr">
        <is>
          <t>2024Q2</t>
        </is>
      </c>
      <c r="F4565" s="2" t="n">
        <v>320892</v>
      </c>
      <c r="G4565" t="n">
        <v>3.7</v>
      </c>
      <c r="H4565" t="n">
        <v>-3.9</v>
      </c>
      <c r="I4565" s="2" t="n">
        <v>13275</v>
      </c>
      <c r="J4565" t="n">
        <v>18.7</v>
      </c>
      <c r="K4565" t="n">
        <v>-27.8</v>
      </c>
      <c r="L4565" s="2" t="n">
        <v>15553</v>
      </c>
      <c r="M4565" t="n">
        <v>-19.9</v>
      </c>
      <c r="N4565" t="inlineStr">
        <is>
          <t>20240807800247</t>
        </is>
      </c>
      <c r="O4565">
        <f>HYPERLINK("https://dart.fss.or.kr/dsaf001/main.do?rcpNo=20240807800247", "공시열람")</f>
        <v/>
      </c>
    </row>
    <row r="4566">
      <c r="A4566" t="inlineStr">
        <is>
          <t>2024-08-07</t>
        </is>
      </c>
      <c r="B4566" t="inlineStr">
        <is>
          <t>엠씨넥스</t>
        </is>
      </c>
      <c r="C4566" t="inlineStr">
        <is>
          <t>097520</t>
        </is>
      </c>
      <c r="D4566" t="inlineStr">
        <is>
          <t>연결</t>
        </is>
      </c>
      <c r="E4566" t="inlineStr">
        <is>
          <t>2024Q2</t>
        </is>
      </c>
      <c r="F4566" s="2" t="n">
        <v>225759</v>
      </c>
      <c r="G4566" t="inlineStr"/>
      <c r="H4566" t="inlineStr"/>
      <c r="I4566" s="2" t="n">
        <v>7650</v>
      </c>
      <c r="J4566" t="inlineStr"/>
      <c r="K4566" t="inlineStr"/>
      <c r="L4566" s="2" t="n">
        <v>18422</v>
      </c>
      <c r="M4566" t="inlineStr"/>
      <c r="N4566" t="inlineStr">
        <is>
          <t>20240807800254</t>
        </is>
      </c>
      <c r="O4566">
        <f>HYPERLINK("https://dart.fss.or.kr/dsaf001/main.do?rcpNo=20240807800254", "공시열람")</f>
        <v/>
      </c>
    </row>
    <row r="4567">
      <c r="A4567" t="inlineStr">
        <is>
          <t>2024-08-07</t>
        </is>
      </c>
      <c r="B4567" t="inlineStr">
        <is>
          <t>파마리서치</t>
        </is>
      </c>
      <c r="C4567" t="inlineStr">
        <is>
          <t>214450</t>
        </is>
      </c>
      <c r="D4567" t="inlineStr">
        <is>
          <t>연결</t>
        </is>
      </c>
      <c r="E4567" t="inlineStr">
        <is>
          <t>2024Q2</t>
        </is>
      </c>
      <c r="F4567" s="2" t="n">
        <v>83284</v>
      </c>
      <c r="G4567" t="inlineStr"/>
      <c r="H4567" t="inlineStr"/>
      <c r="I4567" s="2" t="n">
        <v>30772</v>
      </c>
      <c r="J4567" t="inlineStr"/>
      <c r="K4567" t="inlineStr"/>
      <c r="L4567" s="2" t="n">
        <v>28711</v>
      </c>
      <c r="M4567" t="inlineStr"/>
      <c r="N4567" t="inlineStr">
        <is>
          <t>20240807900256</t>
        </is>
      </c>
      <c r="O4567">
        <f>HYPERLINK("https://dart.fss.or.kr/dsaf001/main.do?rcpNo=20240807900256", "공시열람")</f>
        <v/>
      </c>
    </row>
    <row r="4568">
      <c r="A4568" t="inlineStr">
        <is>
          <t>2024-08-07</t>
        </is>
      </c>
      <c r="B4568" t="inlineStr">
        <is>
          <t>휴젤</t>
        </is>
      </c>
      <c r="C4568" t="inlineStr">
        <is>
          <t>145020</t>
        </is>
      </c>
      <c r="D4568" t="inlineStr">
        <is>
          <t>연결</t>
        </is>
      </c>
      <c r="E4568" t="inlineStr">
        <is>
          <t>2024Q2</t>
        </is>
      </c>
      <c r="F4568" s="2" t="n">
        <v>95423</v>
      </c>
      <c r="G4568" t="inlineStr"/>
      <c r="H4568" t="inlineStr"/>
      <c r="I4568" s="2" t="n">
        <v>42431</v>
      </c>
      <c r="J4568" t="inlineStr"/>
      <c r="K4568" t="inlineStr"/>
      <c r="L4568" s="2" t="n">
        <v>36979</v>
      </c>
      <c r="M4568" t="inlineStr"/>
      <c r="N4568" t="inlineStr">
        <is>
          <t>20240807900295</t>
        </is>
      </c>
      <c r="O4568">
        <f>HYPERLINK("https://dart.fss.or.kr/dsaf001/main.do?rcpNo=20240807900295", "공시열람")</f>
        <v/>
      </c>
    </row>
    <row r="4569">
      <c r="A4569" t="inlineStr">
        <is>
          <t>2024-08-07</t>
        </is>
      </c>
      <c r="B4569" t="inlineStr">
        <is>
          <t>CJ프레시웨이</t>
        </is>
      </c>
      <c r="C4569" t="inlineStr">
        <is>
          <t>051500</t>
        </is>
      </c>
      <c r="D4569" t="inlineStr">
        <is>
          <t>연결</t>
        </is>
      </c>
      <c r="E4569" t="inlineStr">
        <is>
          <t>2024Q2</t>
        </is>
      </c>
      <c r="F4569" s="2" t="n">
        <v>811278</v>
      </c>
      <c r="G4569" t="inlineStr"/>
      <c r="H4569" t="inlineStr"/>
      <c r="I4569" s="2" t="n">
        <v>30110</v>
      </c>
      <c r="J4569" t="inlineStr"/>
      <c r="K4569" t="inlineStr"/>
      <c r="L4569" s="2" t="n">
        <v>15891</v>
      </c>
      <c r="M4569" t="inlineStr"/>
      <c r="N4569" t="inlineStr">
        <is>
          <t>20240807900317</t>
        </is>
      </c>
      <c r="O4569">
        <f>HYPERLINK("https://dart.fss.or.kr/dsaf001/main.do?rcpNo=20240807900317", "공시열람")</f>
        <v/>
      </c>
    </row>
    <row r="4570">
      <c r="A4570" t="inlineStr">
        <is>
          <t>2024-08-07</t>
        </is>
      </c>
      <c r="B4570" t="inlineStr">
        <is>
          <t>광주신세계</t>
        </is>
      </c>
      <c r="C4570" t="inlineStr">
        <is>
          <t>037710</t>
        </is>
      </c>
      <c r="D4570" t="inlineStr">
        <is>
          <t>별도</t>
        </is>
      </c>
      <c r="E4570" t="inlineStr">
        <is>
          <t>2024Q2</t>
        </is>
      </c>
      <c r="F4570" s="2" t="n">
        <v>43243</v>
      </c>
      <c r="G4570" t="n">
        <v>-2</v>
      </c>
      <c r="H4570" t="n">
        <v>-2.7</v>
      </c>
      <c r="I4570" s="2" t="n">
        <v>12120</v>
      </c>
      <c r="J4570" t="n">
        <v>-7.5</v>
      </c>
      <c r="K4570" t="n">
        <v>-10.4</v>
      </c>
      <c r="L4570" s="2" t="n">
        <v>12015</v>
      </c>
      <c r="M4570" t="n">
        <v>-11.4</v>
      </c>
      <c r="N4570" t="inlineStr">
        <is>
          <t>20240807800286</t>
        </is>
      </c>
      <c r="O4570">
        <f>HYPERLINK("https://dart.fss.or.kr/dsaf001/main.do?rcpNo=20240807800286", "공시열람")</f>
        <v/>
      </c>
    </row>
    <row r="4571">
      <c r="A4571" t="inlineStr">
        <is>
          <t>2024-08-07</t>
        </is>
      </c>
      <c r="B4571" t="inlineStr">
        <is>
          <t>광주신세계</t>
        </is>
      </c>
      <c r="C4571" t="inlineStr">
        <is>
          <t>037710</t>
        </is>
      </c>
      <c r="D4571" t="inlineStr">
        <is>
          <t>별도</t>
        </is>
      </c>
      <c r="E4571" t="inlineStr">
        <is>
          <t>2024Q2</t>
        </is>
      </c>
      <c r="F4571" s="2" t="n">
        <v>13104</v>
      </c>
      <c r="G4571" t="n">
        <v>-2.6</v>
      </c>
      <c r="H4571" t="n">
        <v>-0.4</v>
      </c>
      <c r="I4571" s="2" t="inlineStr"/>
      <c r="J4571" t="inlineStr"/>
      <c r="K4571" t="inlineStr"/>
      <c r="L4571" s="2" t="inlineStr"/>
      <c r="M4571" t="inlineStr"/>
      <c r="N4571" t="inlineStr">
        <is>
          <t>20240807800292</t>
        </is>
      </c>
      <c r="O4571">
        <f>HYPERLINK("https://dart.fss.or.kr/dsaf001/main.do?rcpNo=20240807800292", "공시열람")</f>
        <v/>
      </c>
    </row>
    <row r="4572">
      <c r="A4572" t="inlineStr">
        <is>
          <t>2024-08-07</t>
        </is>
      </c>
      <c r="B4572" t="inlineStr">
        <is>
          <t>고려아연</t>
        </is>
      </c>
      <c r="C4572" t="inlineStr">
        <is>
          <t>010130</t>
        </is>
      </c>
      <c r="D4572" t="inlineStr">
        <is>
          <t>별도</t>
        </is>
      </c>
      <c r="E4572" t="inlineStr">
        <is>
          <t>2024Q2</t>
        </is>
      </c>
      <c r="F4572" s="2" t="n">
        <v>1987733</v>
      </c>
      <c r="G4572" t="n">
        <v>9.6</v>
      </c>
      <c r="H4572" t="n">
        <v>11.2</v>
      </c>
      <c r="I4572" s="2" t="n">
        <v>257374</v>
      </c>
      <c r="J4572" t="n">
        <v>35</v>
      </c>
      <c r="K4572" t="n">
        <v>56.3</v>
      </c>
      <c r="L4572" s="2" t="n">
        <v>198125</v>
      </c>
      <c r="M4572" t="n">
        <v>39.9</v>
      </c>
      <c r="N4572" t="inlineStr">
        <is>
          <t>20240807800222</t>
        </is>
      </c>
      <c r="O4572">
        <f>HYPERLINK("https://dart.fss.or.kr/dsaf001/main.do?rcpNo=20240807800222", "공시열람")</f>
        <v/>
      </c>
    </row>
    <row r="4573">
      <c r="A4573" t="inlineStr">
        <is>
          <t>2024-08-07</t>
        </is>
      </c>
      <c r="B4573" t="inlineStr">
        <is>
          <t>대한항공</t>
        </is>
      </c>
      <c r="C4573" t="inlineStr">
        <is>
          <t>003490</t>
        </is>
      </c>
      <c r="D4573" t="inlineStr">
        <is>
          <t>별도</t>
        </is>
      </c>
      <c r="E4573" t="inlineStr">
        <is>
          <t>2024Q2</t>
        </is>
      </c>
      <c r="F4573" s="2" t="n">
        <v>4023716</v>
      </c>
      <c r="G4573" t="n">
        <v>5.3</v>
      </c>
      <c r="H4573" t="n">
        <v>13.8</v>
      </c>
      <c r="I4573" s="2" t="n">
        <v>413412</v>
      </c>
      <c r="J4573" t="n">
        <v>-5.2</v>
      </c>
      <c r="K4573" t="n">
        <v>-11.7</v>
      </c>
      <c r="L4573" s="2" t="n">
        <v>349042</v>
      </c>
      <c r="M4573" t="n">
        <v>-6</v>
      </c>
      <c r="N4573" t="inlineStr">
        <is>
          <t>20240807800325</t>
        </is>
      </c>
      <c r="O4573">
        <f>HYPERLINK("https://dart.fss.or.kr/dsaf001/main.do?rcpNo=20240807800325", "공시열람")</f>
        <v/>
      </c>
    </row>
    <row r="4574">
      <c r="A4574" t="inlineStr">
        <is>
          <t>2024-08-07</t>
        </is>
      </c>
      <c r="B4574" t="inlineStr">
        <is>
          <t>롯데쇼핑</t>
        </is>
      </c>
      <c r="C4574" t="inlineStr">
        <is>
          <t>023530</t>
        </is>
      </c>
      <c r="D4574" t="inlineStr">
        <is>
          <t>연결</t>
        </is>
      </c>
      <c r="E4574" t="inlineStr">
        <is>
          <t>2024Q2</t>
        </is>
      </c>
      <c r="F4574" s="2" t="n">
        <v>3427810</v>
      </c>
      <c r="G4574" t="n">
        <v>-2.4</v>
      </c>
      <c r="H4574" t="n">
        <v>-5.4</v>
      </c>
      <c r="I4574" s="2" t="n">
        <v>56055</v>
      </c>
      <c r="J4574" t="n">
        <v>-51.2</v>
      </c>
      <c r="K4574" t="n">
        <v>8.9</v>
      </c>
      <c r="L4574" s="2" t="n">
        <v>-79678</v>
      </c>
      <c r="M4574" t="inlineStr"/>
      <c r="N4574" t="inlineStr">
        <is>
          <t>20240807800333</t>
        </is>
      </c>
      <c r="O4574">
        <f>HYPERLINK("https://dart.fss.or.kr/dsaf001/main.do?rcpNo=20240807800333", "공시열람")</f>
        <v/>
      </c>
    </row>
    <row r="4575">
      <c r="A4575" t="inlineStr">
        <is>
          <t>2024-08-07</t>
        </is>
      </c>
      <c r="B4575" t="inlineStr">
        <is>
          <t>웹젠</t>
        </is>
      </c>
      <c r="C4575" t="inlineStr">
        <is>
          <t>069080</t>
        </is>
      </c>
      <c r="D4575" t="inlineStr">
        <is>
          <t>연결</t>
        </is>
      </c>
      <c r="E4575" t="inlineStr">
        <is>
          <t>2024Q2</t>
        </is>
      </c>
      <c r="F4575" s="2" t="n">
        <v>48047</v>
      </c>
      <c r="G4575" t="inlineStr"/>
      <c r="H4575" t="inlineStr"/>
      <c r="I4575" s="2" t="n">
        <v>11802</v>
      </c>
      <c r="J4575" t="inlineStr"/>
      <c r="K4575" t="inlineStr"/>
      <c r="L4575" s="2" t="n">
        <v>13919</v>
      </c>
      <c r="M4575" t="inlineStr"/>
      <c r="N4575" t="inlineStr">
        <is>
          <t>20240807900359</t>
        </is>
      </c>
      <c r="O4575">
        <f>HYPERLINK("https://dart.fss.or.kr/dsaf001/main.do?rcpNo=20240807900359", "공시열람")</f>
        <v/>
      </c>
    </row>
    <row r="4576">
      <c r="A4576" t="inlineStr">
        <is>
          <t>2024-08-07</t>
        </is>
      </c>
      <c r="B4576" t="inlineStr">
        <is>
          <t>이니텍</t>
        </is>
      </c>
      <c r="C4576" t="inlineStr">
        <is>
          <t>053350</t>
        </is>
      </c>
      <c r="D4576" t="inlineStr">
        <is>
          <t>별도</t>
        </is>
      </c>
      <c r="E4576" t="inlineStr">
        <is>
          <t>2024Q2</t>
        </is>
      </c>
      <c r="F4576" s="2" t="n">
        <v>8403</v>
      </c>
      <c r="G4576" t="inlineStr"/>
      <c r="H4576" t="inlineStr"/>
      <c r="I4576" s="2" t="n">
        <v>202</v>
      </c>
      <c r="J4576" t="inlineStr"/>
      <c r="K4576" t="inlineStr"/>
      <c r="L4576" s="2" t="n">
        <v>1080</v>
      </c>
      <c r="M4576" t="inlineStr"/>
      <c r="N4576" t="inlineStr">
        <is>
          <t>20240807900368</t>
        </is>
      </c>
      <c r="O4576">
        <f>HYPERLINK("https://dart.fss.or.kr/dsaf001/main.do?rcpNo=20240807900368", "공시열람")</f>
        <v/>
      </c>
    </row>
    <row r="4577">
      <c r="A4577" t="inlineStr">
        <is>
          <t>2024-08-07</t>
        </is>
      </c>
      <c r="B4577" t="inlineStr">
        <is>
          <t>펌텍코리아</t>
        </is>
      </c>
      <c r="C4577" t="inlineStr">
        <is>
          <t>251970</t>
        </is>
      </c>
      <c r="D4577" t="inlineStr">
        <is>
          <t>연결</t>
        </is>
      </c>
      <c r="E4577" t="inlineStr">
        <is>
          <t>2024Q2</t>
        </is>
      </c>
      <c r="F4577" s="2" t="n">
        <v>85510</v>
      </c>
      <c r="G4577" t="inlineStr"/>
      <c r="H4577" t="inlineStr"/>
      <c r="I4577" s="2" t="n">
        <v>12734</v>
      </c>
      <c r="J4577" t="inlineStr"/>
      <c r="K4577" t="inlineStr"/>
      <c r="L4577" s="2" t="n">
        <v>7238</v>
      </c>
      <c r="M4577" t="inlineStr"/>
      <c r="N4577" t="inlineStr">
        <is>
          <t>20240807900360</t>
        </is>
      </c>
      <c r="O4577">
        <f>HYPERLINK("https://dart.fss.or.kr/dsaf001/main.do?rcpNo=20240807900360", "공시열람")</f>
        <v/>
      </c>
    </row>
    <row r="4578">
      <c r="A4578" t="inlineStr">
        <is>
          <t>2024-08-07</t>
        </is>
      </c>
      <c r="B4578" t="inlineStr">
        <is>
          <t>신세계</t>
        </is>
      </c>
      <c r="C4578" t="inlineStr">
        <is>
          <t>004170</t>
        </is>
      </c>
      <c r="D4578" t="inlineStr">
        <is>
          <t>연결</t>
        </is>
      </c>
      <c r="E4578" t="inlineStr">
        <is>
          <t>2024Q2</t>
        </is>
      </c>
      <c r="F4578" s="2" t="n">
        <v>1604388</v>
      </c>
      <c r="G4578" t="inlineStr"/>
      <c r="H4578" t="n">
        <v>1.8</v>
      </c>
      <c r="I4578" s="2" t="n">
        <v>117465</v>
      </c>
      <c r="J4578" t="n">
        <v>-27.9</v>
      </c>
      <c r="K4578" t="n">
        <v>-21.5</v>
      </c>
      <c r="L4578" s="2" t="n">
        <v>58075</v>
      </c>
      <c r="M4578" t="n">
        <v>-26.2</v>
      </c>
      <c r="N4578" t="inlineStr">
        <is>
          <t>20240807800239</t>
        </is>
      </c>
      <c r="O4578">
        <f>HYPERLINK("https://dart.fss.or.kr/dsaf001/main.do?rcpNo=20240807800239", "공시열람")</f>
        <v/>
      </c>
    </row>
    <row r="4579">
      <c r="A4579" t="inlineStr">
        <is>
          <t>2024-08-07</t>
        </is>
      </c>
      <c r="B4579" t="inlineStr">
        <is>
          <t>SP삼화</t>
        </is>
      </c>
      <c r="C4579" t="inlineStr">
        <is>
          <t>000390</t>
        </is>
      </c>
      <c r="D4579" t="inlineStr">
        <is>
          <t>연결</t>
        </is>
      </c>
      <c r="E4579" t="inlineStr">
        <is>
          <t>2024Q2</t>
        </is>
      </c>
      <c r="F4579" s="2" t="n">
        <v>182670</v>
      </c>
      <c r="G4579" t="n">
        <v>30.1</v>
      </c>
      <c r="H4579" t="n">
        <v>4.2</v>
      </c>
      <c r="I4579" s="2" t="n">
        <v>12426</v>
      </c>
      <c r="J4579" t="n">
        <v>303.3</v>
      </c>
      <c r="K4579" t="n">
        <v>16.4</v>
      </c>
      <c r="L4579" s="2" t="n">
        <v>9862</v>
      </c>
      <c r="M4579" t="n">
        <v>10.4</v>
      </c>
      <c r="N4579" t="inlineStr">
        <is>
          <t>20240807800221</t>
        </is>
      </c>
      <c r="O4579">
        <f>HYPERLINK("https://dart.fss.or.kr/dsaf001/main.do?rcpNo=20240807800221", "공시열람")</f>
        <v/>
      </c>
    </row>
    <row r="4580">
      <c r="A4580" t="inlineStr">
        <is>
          <t>2024-08-07</t>
        </is>
      </c>
      <c r="B4580" t="inlineStr">
        <is>
          <t>고려아연</t>
        </is>
      </c>
      <c r="C4580" t="inlineStr">
        <is>
          <t>010130</t>
        </is>
      </c>
      <c r="D4580" t="inlineStr">
        <is>
          <t>연결</t>
        </is>
      </c>
      <c r="E4580" t="inlineStr">
        <is>
          <t>2024Q2</t>
        </is>
      </c>
      <c r="F4580" s="2" t="n">
        <v>3058166</v>
      </c>
      <c r="G4580" t="n">
        <v>28.7</v>
      </c>
      <c r="H4580" t="n">
        <v>23.8</v>
      </c>
      <c r="I4580" s="2" t="n">
        <v>268724</v>
      </c>
      <c r="J4580" t="n">
        <v>45.6</v>
      </c>
      <c r="K4580" t="n">
        <v>72.59999999999999</v>
      </c>
      <c r="L4580" s="2" t="n">
        <v>175495</v>
      </c>
      <c r="M4580" t="n">
        <v>41.3</v>
      </c>
      <c r="N4580" t="inlineStr">
        <is>
          <t>20240807800220</t>
        </is>
      </c>
      <c r="O4580">
        <f>HYPERLINK("https://dart.fss.or.kr/dsaf001/main.do?rcpNo=20240807800220", "공시열람")</f>
        <v/>
      </c>
    </row>
    <row r="4581">
      <c r="A4581" t="inlineStr">
        <is>
          <t>2024-08-07</t>
        </is>
      </c>
      <c r="B4581" t="inlineStr">
        <is>
          <t>에스엠</t>
        </is>
      </c>
      <c r="C4581" t="inlineStr">
        <is>
          <t>041510</t>
        </is>
      </c>
      <c r="D4581" t="inlineStr">
        <is>
          <t>별도</t>
        </is>
      </c>
      <c r="E4581" t="inlineStr">
        <is>
          <t>2024Q2</t>
        </is>
      </c>
      <c r="F4581" s="2" t="n">
        <v>174123</v>
      </c>
      <c r="G4581" t="inlineStr"/>
      <c r="H4581" t="inlineStr"/>
      <c r="I4581" s="2" t="n">
        <v>29295</v>
      </c>
      <c r="J4581" t="inlineStr"/>
      <c r="K4581" t="inlineStr"/>
      <c r="L4581" s="2" t="n">
        <v>13507</v>
      </c>
      <c r="M4581" t="inlineStr"/>
      <c r="N4581" t="inlineStr">
        <is>
          <t>20240807900218</t>
        </is>
      </c>
      <c r="O4581">
        <f>HYPERLINK("https://dart.fss.or.kr/dsaf001/main.do?rcpNo=20240807900218", "공시열람")</f>
        <v/>
      </c>
    </row>
    <row r="4582">
      <c r="A4582" t="inlineStr">
        <is>
          <t>2024-08-07</t>
        </is>
      </c>
      <c r="B4582" t="inlineStr">
        <is>
          <t>케이씨씨글라스</t>
        </is>
      </c>
      <c r="C4582" t="inlineStr">
        <is>
          <t>344820</t>
        </is>
      </c>
      <c r="D4582" t="inlineStr">
        <is>
          <t>연결</t>
        </is>
      </c>
      <c r="E4582" t="inlineStr">
        <is>
          <t>2024Q2</t>
        </is>
      </c>
      <c r="F4582" s="2" t="n">
        <v>514327</v>
      </c>
      <c r="G4582" t="n">
        <v>32.2</v>
      </c>
      <c r="H4582" t="n">
        <v>17.5</v>
      </c>
      <c r="I4582" s="2" t="n">
        <v>21577</v>
      </c>
      <c r="J4582" t="n">
        <v>3.9</v>
      </c>
      <c r="K4582" t="n">
        <v>-35.6</v>
      </c>
      <c r="L4582" s="2" t="n">
        <v>12153</v>
      </c>
      <c r="M4582" t="n">
        <v>-55.4</v>
      </c>
      <c r="N4582" t="inlineStr">
        <is>
          <t>20240807800454</t>
        </is>
      </c>
      <c r="O4582">
        <f>HYPERLINK("https://dart.fss.or.kr/dsaf001/main.do?rcpNo=20240807800454", "공시열람")</f>
        <v/>
      </c>
    </row>
    <row r="4583">
      <c r="A4583" t="inlineStr">
        <is>
          <t>2024-08-07</t>
        </is>
      </c>
      <c r="B4583" t="inlineStr">
        <is>
          <t>한전기술</t>
        </is>
      </c>
      <c r="C4583" t="inlineStr">
        <is>
          <t>052690</t>
        </is>
      </c>
      <c r="D4583" t="inlineStr">
        <is>
          <t>연결</t>
        </is>
      </c>
      <c r="E4583" t="inlineStr">
        <is>
          <t>2024Q2</t>
        </is>
      </c>
      <c r="F4583" s="2" t="n">
        <v>127245</v>
      </c>
      <c r="G4583" t="n">
        <v>-0.3</v>
      </c>
      <c r="H4583" t="n">
        <v>6</v>
      </c>
      <c r="I4583" s="2" t="n">
        <v>13178</v>
      </c>
      <c r="J4583" t="n">
        <v>44.4</v>
      </c>
      <c r="K4583" t="n">
        <v>18</v>
      </c>
      <c r="L4583" s="2" t="n">
        <v>16754</v>
      </c>
      <c r="M4583" t="n">
        <v>44.1</v>
      </c>
      <c r="N4583" t="inlineStr">
        <is>
          <t>20240807800538</t>
        </is>
      </c>
      <c r="O4583">
        <f>HYPERLINK("https://dart.fss.or.kr/dsaf001/main.do?rcpNo=20240807800538", "공시열람")</f>
        <v/>
      </c>
    </row>
    <row r="4584">
      <c r="A4584" t="inlineStr">
        <is>
          <t>2024-08-07</t>
        </is>
      </c>
      <c r="B4584" t="inlineStr">
        <is>
          <t>카카오뱅크</t>
        </is>
      </c>
      <c r="C4584" t="inlineStr">
        <is>
          <t>323410</t>
        </is>
      </c>
      <c r="D4584" t="inlineStr">
        <is>
          <t>별도</t>
        </is>
      </c>
      <c r="E4584" t="inlineStr">
        <is>
          <t>2024Q2</t>
        </is>
      </c>
      <c r="F4584" s="2" t="n">
        <v>734144</v>
      </c>
      <c r="G4584" t="n">
        <v>2.27</v>
      </c>
      <c r="H4584" t="n">
        <v>19.7</v>
      </c>
      <c r="I4584" s="2" t="n">
        <v>169769</v>
      </c>
      <c r="J4584" t="n">
        <v>14.4</v>
      </c>
      <c r="K4584" t="n">
        <v>51.92</v>
      </c>
      <c r="L4584" s="2" t="n">
        <v>120245</v>
      </c>
      <c r="M4584" t="n">
        <v>46.68</v>
      </c>
      <c r="N4584" t="inlineStr">
        <is>
          <t>20240807800002</t>
        </is>
      </c>
      <c r="O4584">
        <f>HYPERLINK("https://dart.fss.or.kr/dsaf001/main.do?rcpNo=20240807800002", "공시열람")</f>
        <v/>
      </c>
    </row>
    <row r="4585">
      <c r="A4585" t="inlineStr">
        <is>
          <t>2024-08-07</t>
        </is>
      </c>
      <c r="B4585" t="inlineStr">
        <is>
          <t>카카오게임즈</t>
        </is>
      </c>
      <c r="C4585" t="inlineStr">
        <is>
          <t>293490</t>
        </is>
      </c>
      <c r="D4585" t="inlineStr">
        <is>
          <t>연결</t>
        </is>
      </c>
      <c r="E4585" t="inlineStr">
        <is>
          <t>2024Q2</t>
        </is>
      </c>
      <c r="F4585" s="2" t="n">
        <v>235613</v>
      </c>
      <c r="G4585" t="inlineStr"/>
      <c r="H4585" t="inlineStr"/>
      <c r="I4585" s="2" t="n">
        <v>2800</v>
      </c>
      <c r="J4585" t="inlineStr"/>
      <c r="K4585" t="inlineStr"/>
      <c r="L4585" s="2" t="n">
        <v>-11679</v>
      </c>
      <c r="M4585" t="inlineStr"/>
      <c r="N4585" t="inlineStr">
        <is>
          <t>20240807900080</t>
        </is>
      </c>
      <c r="O4585">
        <f>HYPERLINK("https://dart.fss.or.kr/dsaf001/main.do?rcpNo=20240807900080", "공시열람")</f>
        <v/>
      </c>
    </row>
    <row r="4586">
      <c r="A4586" t="inlineStr">
        <is>
          <t>2024-08-07</t>
        </is>
      </c>
      <c r="B4586" t="inlineStr">
        <is>
          <t>케이티스카이라이프</t>
        </is>
      </c>
      <c r="C4586" t="inlineStr">
        <is>
          <t>053210</t>
        </is>
      </c>
      <c r="D4586" t="inlineStr">
        <is>
          <t>별도</t>
        </is>
      </c>
      <c r="E4586" t="inlineStr">
        <is>
          <t>2024Q2</t>
        </is>
      </c>
      <c r="F4586" s="2" t="n">
        <v>176206</v>
      </c>
      <c r="G4586" t="n">
        <v>-0.9</v>
      </c>
      <c r="H4586" t="n">
        <v>-0.3</v>
      </c>
      <c r="I4586" s="2" t="n">
        <v>12723</v>
      </c>
      <c r="J4586" t="n">
        <v>-1.8</v>
      </c>
      <c r="K4586" t="n">
        <v>-22.5</v>
      </c>
      <c r="L4586" s="2" t="n">
        <v>9285</v>
      </c>
      <c r="M4586" t="n">
        <v>-20.2</v>
      </c>
      <c r="N4586" t="inlineStr">
        <is>
          <t>20240807800098</t>
        </is>
      </c>
      <c r="O4586">
        <f>HYPERLINK("https://dart.fss.or.kr/dsaf001/main.do?rcpNo=20240807800098", "공시열람")</f>
        <v/>
      </c>
    </row>
    <row r="4587">
      <c r="A4587" t="inlineStr">
        <is>
          <t>2024-08-07</t>
        </is>
      </c>
      <c r="B4587" t="inlineStr">
        <is>
          <t>케이티스카이라이프</t>
        </is>
      </c>
      <c r="C4587" t="inlineStr">
        <is>
          <t>053210</t>
        </is>
      </c>
      <c r="D4587" t="inlineStr">
        <is>
          <t>연결</t>
        </is>
      </c>
      <c r="E4587" t="inlineStr">
        <is>
          <t>2024Q2</t>
        </is>
      </c>
      <c r="F4587" s="2" t="n">
        <v>254625</v>
      </c>
      <c r="G4587" t="n">
        <v>0.1</v>
      </c>
      <c r="H4587" t="n">
        <v>-0.7</v>
      </c>
      <c r="I4587" s="2" t="n">
        <v>-159</v>
      </c>
      <c r="J4587" t="inlineStr"/>
      <c r="K4587" t="inlineStr"/>
      <c r="L4587" s="2" t="n">
        <v>-1905</v>
      </c>
      <c r="M4587" t="inlineStr"/>
      <c r="N4587" t="inlineStr">
        <is>
          <t>20240807800101</t>
        </is>
      </c>
      <c r="O4587">
        <f>HYPERLINK("https://dart.fss.or.kr/dsaf001/main.do?rcpNo=20240807800101", "공시열람")</f>
        <v/>
      </c>
    </row>
    <row r="4588">
      <c r="A4588" t="inlineStr">
        <is>
          <t>2024-08-07</t>
        </is>
      </c>
      <c r="B4588" t="inlineStr">
        <is>
          <t>LG헬로비전</t>
        </is>
      </c>
      <c r="C4588" t="inlineStr">
        <is>
          <t>037560</t>
        </is>
      </c>
      <c r="D4588" t="inlineStr">
        <is>
          <t>연결</t>
        </is>
      </c>
      <c r="E4588" t="inlineStr">
        <is>
          <t>2024Q2</t>
        </is>
      </c>
      <c r="F4588" s="2" t="n">
        <v>283611</v>
      </c>
      <c r="G4588" t="n">
        <v>6.1</v>
      </c>
      <c r="H4588" t="n">
        <v>-1.1</v>
      </c>
      <c r="I4588" s="2" t="n">
        <v>7405</v>
      </c>
      <c r="J4588" t="n">
        <v>80.2</v>
      </c>
      <c r="K4588" t="n">
        <v>-46.8</v>
      </c>
      <c r="L4588" s="2" t="n">
        <v>5132</v>
      </c>
      <c r="M4588" t="n">
        <v>-39.1</v>
      </c>
      <c r="N4588" t="inlineStr">
        <is>
          <t>20240807800121</t>
        </is>
      </c>
      <c r="O4588">
        <f>HYPERLINK("https://dart.fss.or.kr/dsaf001/main.do?rcpNo=20240807800121", "공시열람")</f>
        <v/>
      </c>
    </row>
    <row r="4589">
      <c r="A4589" t="inlineStr">
        <is>
          <t>2024-08-07</t>
        </is>
      </c>
      <c r="B4589" t="inlineStr">
        <is>
          <t>하이브</t>
        </is>
      </c>
      <c r="C4589" t="inlineStr">
        <is>
          <t>352820</t>
        </is>
      </c>
      <c r="D4589" t="inlineStr">
        <is>
          <t>연결</t>
        </is>
      </c>
      <c r="E4589" t="inlineStr">
        <is>
          <t>2024Q2</t>
        </is>
      </c>
      <c r="F4589" s="2" t="n">
        <v>640500</v>
      </c>
      <c r="G4589" t="inlineStr"/>
      <c r="H4589" t="inlineStr"/>
      <c r="I4589" s="2" t="n">
        <v>50900</v>
      </c>
      <c r="J4589" t="inlineStr"/>
      <c r="K4589" t="inlineStr"/>
      <c r="L4589" s="2" t="n">
        <v>16500</v>
      </c>
      <c r="M4589" t="inlineStr"/>
      <c r="N4589" t="inlineStr">
        <is>
          <t>20240807800124</t>
        </is>
      </c>
      <c r="O4589">
        <f>HYPERLINK("https://dart.fss.or.kr/dsaf001/main.do?rcpNo=20240807800124", "공시열람")</f>
        <v/>
      </c>
    </row>
    <row r="4590">
      <c r="A4590" t="inlineStr">
        <is>
          <t>2024-08-07</t>
        </is>
      </c>
      <c r="B4590" t="inlineStr">
        <is>
          <t>GS리테일</t>
        </is>
      </c>
      <c r="C4590" t="inlineStr">
        <is>
          <t>007070</t>
        </is>
      </c>
      <c r="D4590" t="inlineStr">
        <is>
          <t>연결</t>
        </is>
      </c>
      <c r="E4590" t="inlineStr">
        <is>
          <t>2024Q2</t>
        </is>
      </c>
      <c r="F4590" s="2" t="n">
        <v>2937050</v>
      </c>
      <c r="G4590" t="inlineStr"/>
      <c r="H4590" t="inlineStr"/>
      <c r="I4590" s="2" t="n">
        <v>81012</v>
      </c>
      <c r="J4590" t="inlineStr"/>
      <c r="K4590" t="inlineStr"/>
      <c r="L4590" s="2" t="n">
        <v>63852</v>
      </c>
      <c r="M4590" t="inlineStr"/>
      <c r="N4590" t="inlineStr">
        <is>
          <t>20240807800137</t>
        </is>
      </c>
      <c r="O4590">
        <f>HYPERLINK("https://dart.fss.or.kr/dsaf001/main.do?rcpNo=20240807800137", "공시열람")</f>
        <v/>
      </c>
    </row>
    <row r="4591">
      <c r="A4591" t="inlineStr">
        <is>
          <t>2024-08-07</t>
        </is>
      </c>
      <c r="B4591" t="inlineStr">
        <is>
          <t>셀트리온</t>
        </is>
      </c>
      <c r="C4591" t="inlineStr">
        <is>
          <t>068270</t>
        </is>
      </c>
      <c r="D4591" t="inlineStr">
        <is>
          <t>별도</t>
        </is>
      </c>
      <c r="E4591" t="inlineStr">
        <is>
          <t>2024Q2</t>
        </is>
      </c>
      <c r="F4591" s="2" t="n">
        <v>973197</v>
      </c>
      <c r="G4591" t="inlineStr"/>
      <c r="H4591" t="inlineStr"/>
      <c r="I4591" s="2" t="n">
        <v>313057</v>
      </c>
      <c r="J4591" t="inlineStr"/>
      <c r="K4591" t="inlineStr"/>
      <c r="L4591" s="2" t="n">
        <v>244615</v>
      </c>
      <c r="M4591" t="inlineStr"/>
      <c r="N4591" t="inlineStr">
        <is>
          <t>20240807800135</t>
        </is>
      </c>
      <c r="O4591">
        <f>HYPERLINK("https://dart.fss.or.kr/dsaf001/main.do?rcpNo=20240807800135", "공시열람")</f>
        <v/>
      </c>
    </row>
    <row r="4592">
      <c r="A4592" t="inlineStr">
        <is>
          <t>2024-08-07</t>
        </is>
      </c>
      <c r="B4592" t="inlineStr">
        <is>
          <t>셀트리온</t>
        </is>
      </c>
      <c r="C4592" t="inlineStr">
        <is>
          <t>068270</t>
        </is>
      </c>
      <c r="D4592" t="inlineStr">
        <is>
          <t>연결</t>
        </is>
      </c>
      <c r="E4592" t="inlineStr">
        <is>
          <t>2024Q2</t>
        </is>
      </c>
      <c r="F4592" s="2" t="n">
        <v>874741</v>
      </c>
      <c r="G4592" t="inlineStr"/>
      <c r="H4592" t="inlineStr"/>
      <c r="I4592" s="2" t="n">
        <v>72488</v>
      </c>
      <c r="J4592" t="inlineStr"/>
      <c r="K4592" t="inlineStr"/>
      <c r="L4592" s="2" t="n">
        <v>78452</v>
      </c>
      <c r="M4592" t="inlineStr"/>
      <c r="N4592" t="inlineStr">
        <is>
          <t>20240807800136</t>
        </is>
      </c>
      <c r="O4592">
        <f>HYPERLINK("https://dart.fss.or.kr/dsaf001/main.do?rcpNo=20240807800136", "공시열람")</f>
        <v/>
      </c>
    </row>
    <row r="4593">
      <c r="A4593" t="inlineStr">
        <is>
          <t>2024-08-07</t>
        </is>
      </c>
      <c r="B4593" t="inlineStr">
        <is>
          <t>LG유플러스</t>
        </is>
      </c>
      <c r="C4593" t="inlineStr">
        <is>
          <t>032640</t>
        </is>
      </c>
      <c r="D4593" t="inlineStr">
        <is>
          <t>연결</t>
        </is>
      </c>
      <c r="E4593" t="inlineStr">
        <is>
          <t>2024Q2</t>
        </is>
      </c>
      <c r="F4593" s="2" t="n">
        <v>3493700</v>
      </c>
      <c r="G4593" t="n">
        <v>-2.3</v>
      </c>
      <c r="H4593" t="n">
        <v>1.9</v>
      </c>
      <c r="I4593" s="2" t="n">
        <v>254000</v>
      </c>
      <c r="J4593" t="n">
        <v>15</v>
      </c>
      <c r="K4593" t="n">
        <v>-11.8</v>
      </c>
      <c r="L4593" s="2" t="n">
        <v>164600</v>
      </c>
      <c r="M4593" t="n">
        <v>-22.8</v>
      </c>
      <c r="N4593" t="inlineStr">
        <is>
          <t>20240807800165</t>
        </is>
      </c>
      <c r="O4593">
        <f>HYPERLINK("https://dart.fss.or.kr/dsaf001/main.do?rcpNo=20240807800165", "공시열람")</f>
        <v/>
      </c>
    </row>
    <row r="4594">
      <c r="A4594" t="inlineStr">
        <is>
          <t>2024-08-07</t>
        </is>
      </c>
      <c r="B4594" t="inlineStr">
        <is>
          <t>LG유플러스</t>
        </is>
      </c>
      <c r="C4594" t="inlineStr">
        <is>
          <t>032640</t>
        </is>
      </c>
      <c r="D4594" t="inlineStr">
        <is>
          <t>별도</t>
        </is>
      </c>
      <c r="E4594" t="inlineStr">
        <is>
          <t>2024Q2</t>
        </is>
      </c>
      <c r="F4594" s="2" t="n">
        <v>3228200</v>
      </c>
      <c r="G4594" t="n">
        <v>-2.8</v>
      </c>
      <c r="H4594" t="n">
        <v>2.1</v>
      </c>
      <c r="I4594" s="2" t="n">
        <v>252400</v>
      </c>
      <c r="J4594" t="n">
        <v>14.1</v>
      </c>
      <c r="K4594" t="n">
        <v>-12.1</v>
      </c>
      <c r="L4594" s="2" t="n">
        <v>163200</v>
      </c>
      <c r="M4594" t="n">
        <v>-23.8</v>
      </c>
      <c r="N4594" t="inlineStr">
        <is>
          <t>20240807800166</t>
        </is>
      </c>
      <c r="O4594">
        <f>HYPERLINK("https://dart.fss.or.kr/dsaf001/main.do?rcpNo=20240807800166", "공시열람")</f>
        <v/>
      </c>
    </row>
    <row r="4595">
      <c r="A4595" t="inlineStr">
        <is>
          <t>2024-08-07</t>
        </is>
      </c>
      <c r="B4595" t="inlineStr">
        <is>
          <t>하이록코리아</t>
        </is>
      </c>
      <c r="C4595" t="inlineStr">
        <is>
          <t>013030</t>
        </is>
      </c>
      <c r="D4595" t="inlineStr">
        <is>
          <t>연결</t>
        </is>
      </c>
      <c r="E4595" t="inlineStr">
        <is>
          <t>2024Q2</t>
        </is>
      </c>
      <c r="F4595" s="2" t="n">
        <v>46087</v>
      </c>
      <c r="G4595" t="inlineStr"/>
      <c r="H4595" t="inlineStr"/>
      <c r="I4595" s="2" t="n">
        <v>14699</v>
      </c>
      <c r="J4595" t="inlineStr"/>
      <c r="K4595" t="inlineStr"/>
      <c r="L4595" s="2" t="n">
        <v>13059</v>
      </c>
      <c r="M4595" t="inlineStr"/>
      <c r="N4595" t="inlineStr">
        <is>
          <t>20240807900187</t>
        </is>
      </c>
      <c r="O4595">
        <f>HYPERLINK("https://dart.fss.or.kr/dsaf001/main.do?rcpNo=20240807900187", "공시열람")</f>
        <v/>
      </c>
    </row>
    <row r="4596">
      <c r="A4596" t="inlineStr">
        <is>
          <t>2024-08-07</t>
        </is>
      </c>
      <c r="B4596" t="inlineStr">
        <is>
          <t>에스엠</t>
        </is>
      </c>
      <c r="C4596" t="inlineStr">
        <is>
          <t>041510</t>
        </is>
      </c>
      <c r="D4596" t="inlineStr">
        <is>
          <t>연결</t>
        </is>
      </c>
      <c r="E4596" t="inlineStr">
        <is>
          <t>2024Q2</t>
        </is>
      </c>
      <c r="F4596" s="2" t="n">
        <v>253881</v>
      </c>
      <c r="G4596" t="inlineStr"/>
      <c r="H4596" t="inlineStr"/>
      <c r="I4596" s="2" t="n">
        <v>24749</v>
      </c>
      <c r="J4596" t="inlineStr"/>
      <c r="K4596" t="inlineStr"/>
      <c r="L4596" s="2" t="n">
        <v>8409</v>
      </c>
      <c r="M4596" t="inlineStr"/>
      <c r="N4596" t="inlineStr">
        <is>
          <t>20240807900216</t>
        </is>
      </c>
      <c r="O4596">
        <f>HYPERLINK("https://dart.fss.or.kr/dsaf001/main.do?rcpNo=20240807900216", "공시열람")</f>
        <v/>
      </c>
    </row>
    <row r="4597">
      <c r="A4597" t="inlineStr">
        <is>
          <t>2024-08-07</t>
        </is>
      </c>
      <c r="B4597" t="inlineStr">
        <is>
          <t>코텍</t>
        </is>
      </c>
      <c r="C4597" t="inlineStr">
        <is>
          <t>052330</t>
        </is>
      </c>
      <c r="D4597" t="inlineStr">
        <is>
          <t>연결</t>
        </is>
      </c>
      <c r="E4597" t="inlineStr">
        <is>
          <t>2024Q2</t>
        </is>
      </c>
      <c r="F4597" s="2" t="n">
        <v>71805</v>
      </c>
      <c r="G4597" t="inlineStr"/>
      <c r="H4597" t="inlineStr"/>
      <c r="I4597" s="2" t="n">
        <v>5877</v>
      </c>
      <c r="J4597" t="inlineStr"/>
      <c r="K4597" t="inlineStr"/>
      <c r="L4597" s="2" t="n">
        <v>6848</v>
      </c>
      <c r="M4597" t="inlineStr"/>
      <c r="N4597" t="inlineStr">
        <is>
          <t>20240807900142</t>
        </is>
      </c>
      <c r="O4597">
        <f>HYPERLINK("https://dart.fss.or.kr/dsaf001/main.do?rcpNo=20240807900142", "공시열람")</f>
        <v/>
      </c>
    </row>
    <row r="4598">
      <c r="A4598" t="inlineStr">
        <is>
          <t>2024-08-07</t>
        </is>
      </c>
      <c r="B4598" t="inlineStr">
        <is>
          <t>카페24</t>
        </is>
      </c>
      <c r="C4598" t="inlineStr">
        <is>
          <t>042000</t>
        </is>
      </c>
      <c r="D4598" t="inlineStr">
        <is>
          <t>연결</t>
        </is>
      </c>
      <c r="E4598" t="inlineStr">
        <is>
          <t>2024Q2</t>
        </is>
      </c>
      <c r="F4598" s="2" t="n">
        <v>75807</v>
      </c>
      <c r="G4598" t="inlineStr"/>
      <c r="H4598" t="inlineStr"/>
      <c r="I4598" s="2" t="n">
        <v>6925</v>
      </c>
      <c r="J4598" t="inlineStr"/>
      <c r="K4598" t="inlineStr"/>
      <c r="L4598" s="2" t="n">
        <v>6730</v>
      </c>
      <c r="M4598" t="inlineStr"/>
      <c r="N4598" t="inlineStr">
        <is>
          <t>20240807900377</t>
        </is>
      </c>
      <c r="O4598">
        <f>HYPERLINK("https://dart.fss.or.kr/dsaf001/main.do?rcpNo=20240807900377", "공시열람")</f>
        <v/>
      </c>
    </row>
    <row r="4599">
      <c r="A4599" t="inlineStr">
        <is>
          <t>2024-08-06</t>
        </is>
      </c>
      <c r="B4599" t="inlineStr">
        <is>
          <t>심텍</t>
        </is>
      </c>
      <c r="C4599" t="inlineStr">
        <is>
          <t>222800</t>
        </is>
      </c>
      <c r="D4599" t="inlineStr">
        <is>
          <t>연결</t>
        </is>
      </c>
      <c r="E4599" t="inlineStr">
        <is>
          <t>2024Q2</t>
        </is>
      </c>
      <c r="F4599" s="2" t="n">
        <v>311661</v>
      </c>
      <c r="G4599" t="inlineStr"/>
      <c r="H4599" t="inlineStr"/>
      <c r="I4599" s="2" t="n">
        <v>3610</v>
      </c>
      <c r="J4599" t="inlineStr"/>
      <c r="K4599" t="inlineStr"/>
      <c r="L4599" s="2" t="n">
        <v>-15923</v>
      </c>
      <c r="M4599" t="inlineStr"/>
      <c r="N4599" t="inlineStr">
        <is>
          <t>20240806900662</t>
        </is>
      </c>
      <c r="O4599">
        <f>HYPERLINK("https://dart.fss.or.kr/dsaf001/main.do?rcpNo=20240806900662", "공시열람")</f>
        <v/>
      </c>
    </row>
    <row r="4600">
      <c r="A4600" t="inlineStr">
        <is>
          <t>2024-08-06</t>
        </is>
      </c>
      <c r="B4600" t="inlineStr">
        <is>
          <t>엘앤에프</t>
        </is>
      </c>
      <c r="C4600" t="inlineStr">
        <is>
          <t>066970</t>
        </is>
      </c>
      <c r="D4600" t="inlineStr">
        <is>
          <t>연결</t>
        </is>
      </c>
      <c r="E4600" t="inlineStr">
        <is>
          <t>2024Q2</t>
        </is>
      </c>
      <c r="F4600" s="2" t="n">
        <v>554830</v>
      </c>
      <c r="G4600" t="n">
        <v>-12.7</v>
      </c>
      <c r="H4600" t="n">
        <v>-59.4</v>
      </c>
      <c r="I4600" s="2" t="n">
        <v>-84194</v>
      </c>
      <c r="J4600" t="n">
        <v>58.7</v>
      </c>
      <c r="K4600" t="inlineStr"/>
      <c r="L4600" s="2" t="n">
        <v>-74417</v>
      </c>
      <c r="M4600" t="inlineStr"/>
      <c r="N4600" t="inlineStr">
        <is>
          <t>20240806800638</t>
        </is>
      </c>
      <c r="O4600">
        <f>HYPERLINK("https://dart.fss.or.kr/dsaf001/main.do?rcpNo=20240806800638", "공시열람")</f>
        <v/>
      </c>
    </row>
    <row r="4601">
      <c r="A4601" t="inlineStr">
        <is>
          <t>2024-08-06</t>
        </is>
      </c>
      <c r="B4601" t="inlineStr">
        <is>
          <t>네패스</t>
        </is>
      </c>
      <c r="C4601" t="inlineStr">
        <is>
          <t>033640</t>
        </is>
      </c>
      <c r="D4601" t="inlineStr">
        <is>
          <t>연결</t>
        </is>
      </c>
      <c r="E4601" t="inlineStr">
        <is>
          <t>2024Q2</t>
        </is>
      </c>
      <c r="F4601" s="2" t="n">
        <v>128580</v>
      </c>
      <c r="G4601" t="inlineStr"/>
      <c r="H4601" t="inlineStr"/>
      <c r="I4601" s="2" t="n">
        <v>-3417</v>
      </c>
      <c r="J4601" t="inlineStr"/>
      <c r="K4601" t="inlineStr"/>
      <c r="L4601" s="2" t="inlineStr"/>
      <c r="M4601" t="inlineStr"/>
      <c r="N4601" t="inlineStr">
        <is>
          <t>20240806900612</t>
        </is>
      </c>
      <c r="O4601">
        <f>HYPERLINK("https://dart.fss.or.kr/dsaf001/main.do?rcpNo=20240806900612", "공시열람")</f>
        <v/>
      </c>
    </row>
    <row r="4602">
      <c r="A4602" t="inlineStr">
        <is>
          <t>2024-08-06</t>
        </is>
      </c>
      <c r="B4602" t="inlineStr">
        <is>
          <t>네패스</t>
        </is>
      </c>
      <c r="C4602" t="inlineStr">
        <is>
          <t>033640</t>
        </is>
      </c>
      <c r="D4602" t="inlineStr">
        <is>
          <t>별도</t>
        </is>
      </c>
      <c r="E4602" t="inlineStr">
        <is>
          <t>2024Q2</t>
        </is>
      </c>
      <c r="F4602" s="2" t="n">
        <v>92883</v>
      </c>
      <c r="G4602" t="inlineStr"/>
      <c r="H4602" t="inlineStr"/>
      <c r="I4602" s="2" t="n">
        <v>6287</v>
      </c>
      <c r="J4602" t="inlineStr"/>
      <c r="K4602" t="inlineStr"/>
      <c r="L4602" s="2" t="inlineStr"/>
      <c r="M4602" t="inlineStr"/>
      <c r="N4602" t="inlineStr">
        <is>
          <t>20240806900613</t>
        </is>
      </c>
      <c r="O4602">
        <f>HYPERLINK("https://dart.fss.or.kr/dsaf001/main.do?rcpNo=20240806900613", "공시열람")</f>
        <v/>
      </c>
    </row>
    <row r="4603">
      <c r="A4603" t="inlineStr">
        <is>
          <t>2024-08-06</t>
        </is>
      </c>
      <c r="B4603" t="inlineStr">
        <is>
          <t>롯데렌탈</t>
        </is>
      </c>
      <c r="C4603" t="inlineStr">
        <is>
          <t>089860</t>
        </is>
      </c>
      <c r="D4603" t="inlineStr">
        <is>
          <t>연결</t>
        </is>
      </c>
      <c r="E4603" t="inlineStr">
        <is>
          <t>2024Q2</t>
        </is>
      </c>
      <c r="F4603" s="2" t="n">
        <v>696188</v>
      </c>
      <c r="G4603" t="inlineStr"/>
      <c r="H4603" t="inlineStr"/>
      <c r="I4603" s="2" t="n">
        <v>75785</v>
      </c>
      <c r="J4603" t="inlineStr"/>
      <c r="K4603" t="inlineStr"/>
      <c r="L4603" s="2" t="n">
        <v>32720</v>
      </c>
      <c r="M4603" t="inlineStr"/>
      <c r="N4603" t="inlineStr">
        <is>
          <t>20240806800575</t>
        </is>
      </c>
      <c r="O4603">
        <f>HYPERLINK("https://dart.fss.or.kr/dsaf001/main.do?rcpNo=20240806800575", "공시열람")</f>
        <v/>
      </c>
    </row>
    <row r="4604">
      <c r="A4604" t="inlineStr">
        <is>
          <t>2024-08-06</t>
        </is>
      </c>
      <c r="B4604" t="inlineStr">
        <is>
          <t>GS글로벌</t>
        </is>
      </c>
      <c r="C4604" t="inlineStr">
        <is>
          <t>001250</t>
        </is>
      </c>
      <c r="D4604" t="inlineStr">
        <is>
          <t>연결</t>
        </is>
      </c>
      <c r="E4604" t="inlineStr">
        <is>
          <t>2024Q2</t>
        </is>
      </c>
      <c r="F4604" s="2" t="n">
        <v>957374</v>
      </c>
      <c r="G4604" t="n">
        <v>-0.5</v>
      </c>
      <c r="H4604" t="n">
        <v>-5.2</v>
      </c>
      <c r="I4604" s="2" t="n">
        <v>21233</v>
      </c>
      <c r="J4604" t="n">
        <v>24.1</v>
      </c>
      <c r="K4604" t="n">
        <v>23.4</v>
      </c>
      <c r="L4604" s="2" t="n">
        <v>18852</v>
      </c>
      <c r="M4604" t="n">
        <v>185.5</v>
      </c>
      <c r="N4604" t="inlineStr">
        <is>
          <t>20240806800567</t>
        </is>
      </c>
      <c r="O4604">
        <f>HYPERLINK("https://dart.fss.or.kr/dsaf001/main.do?rcpNo=20240806800567", "공시열람")</f>
        <v/>
      </c>
    </row>
    <row r="4605">
      <c r="A4605" t="inlineStr">
        <is>
          <t>2024-08-06</t>
        </is>
      </c>
      <c r="B4605" t="inlineStr">
        <is>
          <t>카카오페이</t>
        </is>
      </c>
      <c r="C4605" t="inlineStr">
        <is>
          <t>377300</t>
        </is>
      </c>
      <c r="D4605" t="inlineStr">
        <is>
          <t>연결</t>
        </is>
      </c>
      <c r="E4605" t="inlineStr">
        <is>
          <t>2024Q2</t>
        </is>
      </c>
      <c r="F4605" s="2" t="n">
        <v>185497</v>
      </c>
      <c r="G4605" t="n">
        <v>5.2</v>
      </c>
      <c r="H4605" t="n">
        <v>24.6</v>
      </c>
      <c r="I4605" s="2" t="n">
        <v>-7270</v>
      </c>
      <c r="J4605" t="n">
        <v>25.1</v>
      </c>
      <c r="K4605" t="n">
        <v>42.2</v>
      </c>
      <c r="L4605" s="2" t="n">
        <v>626</v>
      </c>
      <c r="M4605" t="inlineStr"/>
      <c r="N4605" t="inlineStr">
        <is>
          <t>20240806800562</t>
        </is>
      </c>
      <c r="O4605">
        <f>HYPERLINK("https://dart.fss.or.kr/dsaf001/main.do?rcpNo=20240806800562", "공시열람")</f>
        <v/>
      </c>
    </row>
    <row r="4606">
      <c r="A4606" t="inlineStr">
        <is>
          <t>2024-08-06</t>
        </is>
      </c>
      <c r="B4606" t="inlineStr">
        <is>
          <t>카카오페이</t>
        </is>
      </c>
      <c r="C4606" t="inlineStr">
        <is>
          <t>377300</t>
        </is>
      </c>
      <c r="D4606" t="inlineStr">
        <is>
          <t>별도</t>
        </is>
      </c>
      <c r="E4606" t="inlineStr">
        <is>
          <t>2024Q2</t>
        </is>
      </c>
      <c r="F4606" s="2" t="n">
        <v>154177</v>
      </c>
      <c r="G4606" t="n">
        <v>4.3</v>
      </c>
      <c r="H4606" t="n">
        <v>13.5</v>
      </c>
      <c r="I4606" s="2" t="n">
        <v>11298</v>
      </c>
      <c r="J4606" t="n">
        <v>-4.7</v>
      </c>
      <c r="K4606" t="n">
        <v>11.7</v>
      </c>
      <c r="L4606" s="2" t="n">
        <v>19278</v>
      </c>
      <c r="M4606" t="n">
        <v>18.8</v>
      </c>
      <c r="N4606" t="inlineStr">
        <is>
          <t>20240806800557</t>
        </is>
      </c>
      <c r="O4606">
        <f>HYPERLINK("https://dart.fss.or.kr/dsaf001/main.do?rcpNo=20240806800557", "공시열람")</f>
        <v/>
      </c>
    </row>
    <row r="4607">
      <c r="A4607" t="inlineStr">
        <is>
          <t>2024-08-06</t>
        </is>
      </c>
      <c r="B4607" t="inlineStr">
        <is>
          <t>주성엔지니어링</t>
        </is>
      </c>
      <c r="C4607" t="inlineStr">
        <is>
          <t>036930</t>
        </is>
      </c>
      <c r="D4607" t="inlineStr">
        <is>
          <t>연결</t>
        </is>
      </c>
      <c r="E4607" t="inlineStr">
        <is>
          <t>2024Q2</t>
        </is>
      </c>
      <c r="F4607" s="2" t="n">
        <v>97333</v>
      </c>
      <c r="G4607" t="inlineStr"/>
      <c r="H4607" t="inlineStr"/>
      <c r="I4607" s="2" t="n">
        <v>36063</v>
      </c>
      <c r="J4607" t="inlineStr"/>
      <c r="K4607" t="inlineStr"/>
      <c r="L4607" s="2" t="n">
        <v>33073</v>
      </c>
      <c r="M4607" t="inlineStr"/>
      <c r="N4607" t="inlineStr">
        <is>
          <t>20240806900566</t>
        </is>
      </c>
      <c r="O4607">
        <f>HYPERLINK("https://dart.fss.or.kr/dsaf001/main.do?rcpNo=20240806900566", "공시열람")</f>
        <v/>
      </c>
    </row>
    <row r="4608">
      <c r="A4608" t="inlineStr">
        <is>
          <t>2024-08-06</t>
        </is>
      </c>
      <c r="B4608" t="inlineStr">
        <is>
          <t>화천기계</t>
        </is>
      </c>
      <c r="C4608" t="inlineStr">
        <is>
          <t>010660</t>
        </is>
      </c>
      <c r="D4608" t="inlineStr">
        <is>
          <t>별도</t>
        </is>
      </c>
      <c r="E4608" t="inlineStr">
        <is>
          <t>2024Q2</t>
        </is>
      </c>
      <c r="F4608" s="2" t="n">
        <v>63842</v>
      </c>
      <c r="G4608" t="n">
        <v>37.3</v>
      </c>
      <c r="H4608" t="n">
        <v>48.8</v>
      </c>
      <c r="I4608" s="2" t="n">
        <v>1874</v>
      </c>
      <c r="J4608" t="n">
        <v>2655.9</v>
      </c>
      <c r="K4608" t="n">
        <v>471.3</v>
      </c>
      <c r="L4608" s="2" t="n">
        <v>2130</v>
      </c>
      <c r="M4608" t="n">
        <v>66.09999999999999</v>
      </c>
      <c r="N4608" t="inlineStr">
        <is>
          <t>20240806800512</t>
        </is>
      </c>
      <c r="O4608">
        <f>HYPERLINK("https://dart.fss.or.kr/dsaf001/main.do?rcpNo=20240806800512", "공시열람")</f>
        <v/>
      </c>
    </row>
    <row r="4609">
      <c r="A4609" t="inlineStr">
        <is>
          <t>2024-08-06</t>
        </is>
      </c>
      <c r="B4609" t="inlineStr">
        <is>
          <t>쎌바이오텍</t>
        </is>
      </c>
      <c r="C4609" t="inlineStr">
        <is>
          <t>049960</t>
        </is>
      </c>
      <c r="D4609" t="inlineStr">
        <is>
          <t>연결</t>
        </is>
      </c>
      <c r="E4609" t="inlineStr">
        <is>
          <t>2024Q2</t>
        </is>
      </c>
      <c r="F4609" s="2" t="n">
        <v>12558</v>
      </c>
      <c r="G4609" t="inlineStr"/>
      <c r="H4609" t="inlineStr"/>
      <c r="I4609" s="2" t="n">
        <v>2509</v>
      </c>
      <c r="J4609" t="inlineStr"/>
      <c r="K4609" t="inlineStr"/>
      <c r="L4609" s="2" t="n">
        <v>4037</v>
      </c>
      <c r="M4609" t="inlineStr"/>
      <c r="N4609" t="inlineStr">
        <is>
          <t>20240806900507</t>
        </is>
      </c>
      <c r="O4609">
        <f>HYPERLINK("https://dart.fss.or.kr/dsaf001/main.do?rcpNo=20240806900507", "공시열람")</f>
        <v/>
      </c>
    </row>
    <row r="4610">
      <c r="A4610" t="inlineStr">
        <is>
          <t>2024-08-06</t>
        </is>
      </c>
      <c r="B4610" t="inlineStr">
        <is>
          <t>토비스</t>
        </is>
      </c>
      <c r="C4610" t="inlineStr">
        <is>
          <t>051360</t>
        </is>
      </c>
      <c r="D4610" t="inlineStr">
        <is>
          <t>연결</t>
        </is>
      </c>
      <c r="E4610" t="inlineStr">
        <is>
          <t>2024Q2</t>
        </is>
      </c>
      <c r="F4610" s="2" t="n">
        <v>162678</v>
      </c>
      <c r="G4610" t="inlineStr"/>
      <c r="H4610" t="inlineStr"/>
      <c r="I4610" s="2" t="n">
        <v>16002</v>
      </c>
      <c r="J4610" t="inlineStr"/>
      <c r="K4610" t="inlineStr"/>
      <c r="L4610" s="2" t="n">
        <v>12089</v>
      </c>
      <c r="M4610" t="inlineStr"/>
      <c r="N4610" t="inlineStr">
        <is>
          <t>20240806900492</t>
        </is>
      </c>
      <c r="O4610">
        <f>HYPERLINK("https://dart.fss.or.kr/dsaf001/main.do?rcpNo=20240806900492", "공시열람")</f>
        <v/>
      </c>
    </row>
    <row r="4611">
      <c r="A4611" t="inlineStr">
        <is>
          <t>2024-08-06</t>
        </is>
      </c>
      <c r="B4611" t="inlineStr">
        <is>
          <t>SK텔레콤</t>
        </is>
      </c>
      <c r="C4611" t="inlineStr">
        <is>
          <t>017670</t>
        </is>
      </c>
      <c r="D4611" t="inlineStr">
        <is>
          <t>연결</t>
        </is>
      </c>
      <c r="E4611" t="inlineStr">
        <is>
          <t>2024Q2</t>
        </is>
      </c>
      <c r="F4611" s="2" t="n">
        <v>4422400</v>
      </c>
      <c r="G4611" t="n">
        <v>-1.17</v>
      </c>
      <c r="H4611" t="n">
        <v>2.69</v>
      </c>
      <c r="I4611" s="2" t="n">
        <v>537500</v>
      </c>
      <c r="J4611" t="n">
        <v>7.83</v>
      </c>
      <c r="K4611" t="n">
        <v>15.99</v>
      </c>
      <c r="L4611" s="2" t="n">
        <v>350200</v>
      </c>
      <c r="M4611" t="n">
        <v>0.7</v>
      </c>
      <c r="N4611" t="inlineStr">
        <is>
          <t>20240806800473</t>
        </is>
      </c>
      <c r="O4611">
        <f>HYPERLINK("https://dart.fss.or.kr/dsaf001/main.do?rcpNo=20240806800473", "공시열람")</f>
        <v/>
      </c>
    </row>
    <row r="4612">
      <c r="A4612" t="inlineStr">
        <is>
          <t>2024-08-06</t>
        </is>
      </c>
      <c r="B4612" t="inlineStr">
        <is>
          <t>SK텔레콤</t>
        </is>
      </c>
      <c r="C4612" t="inlineStr">
        <is>
          <t>017670</t>
        </is>
      </c>
      <c r="D4612" t="inlineStr">
        <is>
          <t>별도</t>
        </is>
      </c>
      <c r="E4612" t="inlineStr">
        <is>
          <t>2024Q2</t>
        </is>
      </c>
      <c r="F4612" s="2" t="n">
        <v>3191500</v>
      </c>
      <c r="G4612" t="n">
        <v>0.09</v>
      </c>
      <c r="H4612" t="n">
        <v>2.32</v>
      </c>
      <c r="I4612" s="2" t="n">
        <v>450400</v>
      </c>
      <c r="J4612" t="n">
        <v>3.21</v>
      </c>
      <c r="K4612" t="n">
        <v>18.81</v>
      </c>
      <c r="L4612" s="2" t="n">
        <v>280300</v>
      </c>
      <c r="M4612" t="n">
        <v>2.76</v>
      </c>
      <c r="N4612" t="inlineStr">
        <is>
          <t>20240806800468</t>
        </is>
      </c>
      <c r="O4612">
        <f>HYPERLINK("https://dart.fss.or.kr/dsaf001/main.do?rcpNo=20240806800468", "공시열람")</f>
        <v/>
      </c>
    </row>
    <row r="4613">
      <c r="A4613" t="inlineStr">
        <is>
          <t>2024-08-06</t>
        </is>
      </c>
      <c r="B4613" t="inlineStr">
        <is>
          <t>롯데렌탈</t>
        </is>
      </c>
      <c r="C4613" t="inlineStr">
        <is>
          <t>089860</t>
        </is>
      </c>
      <c r="D4613" t="inlineStr">
        <is>
          <t>연결</t>
        </is>
      </c>
      <c r="E4613" t="inlineStr">
        <is>
          <t>2024Q2</t>
        </is>
      </c>
      <c r="F4613" s="2" t="n">
        <v>696188</v>
      </c>
      <c r="G4613" t="inlineStr"/>
      <c r="H4613" t="inlineStr"/>
      <c r="I4613" s="2" t="n">
        <v>75785</v>
      </c>
      <c r="J4613" t="inlineStr"/>
      <c r="K4613" t="inlineStr"/>
      <c r="L4613" s="2" t="n">
        <v>32720</v>
      </c>
      <c r="M4613" t="inlineStr"/>
      <c r="N4613" t="inlineStr">
        <is>
          <t>20240806800466</t>
        </is>
      </c>
      <c r="O4613">
        <f>HYPERLINK("https://dart.fss.or.kr/dsaf001/main.do?rcpNo=20240806800466", "공시열람")</f>
        <v/>
      </c>
    </row>
    <row r="4614">
      <c r="A4614" t="inlineStr">
        <is>
          <t>2024-08-06</t>
        </is>
      </c>
      <c r="B4614" t="inlineStr">
        <is>
          <t>데브시스터즈</t>
        </is>
      </c>
      <c r="C4614" t="inlineStr">
        <is>
          <t>194480</t>
        </is>
      </c>
      <c r="D4614" t="inlineStr">
        <is>
          <t>연결</t>
        </is>
      </c>
      <c r="E4614" t="inlineStr">
        <is>
          <t>2024Q2</t>
        </is>
      </c>
      <c r="F4614" s="2" t="n">
        <v>54485</v>
      </c>
      <c r="G4614" t="inlineStr"/>
      <c r="H4614" t="inlineStr"/>
      <c r="I4614" s="2" t="n">
        <v>4944</v>
      </c>
      <c r="J4614" t="inlineStr"/>
      <c r="K4614" t="inlineStr"/>
      <c r="L4614" s="2" t="n">
        <v>6310</v>
      </c>
      <c r="M4614" t="inlineStr"/>
      <c r="N4614" t="inlineStr">
        <is>
          <t>20240806900465</t>
        </is>
      </c>
      <c r="O4614">
        <f>HYPERLINK("https://dart.fss.or.kr/dsaf001/main.do?rcpNo=20240806900465", "공시열람")</f>
        <v/>
      </c>
    </row>
    <row r="4615">
      <c r="A4615" t="inlineStr">
        <is>
          <t>2024-08-06</t>
        </is>
      </c>
      <c r="B4615" t="inlineStr">
        <is>
          <t>키다리스튜디오</t>
        </is>
      </c>
      <c r="C4615" t="inlineStr">
        <is>
          <t>020120</t>
        </is>
      </c>
      <c r="D4615" t="inlineStr">
        <is>
          <t>연결</t>
        </is>
      </c>
      <c r="E4615" t="inlineStr">
        <is>
          <t>2024Q2</t>
        </is>
      </c>
      <c r="F4615" s="2" t="n">
        <v>49773</v>
      </c>
      <c r="G4615" t="n">
        <v>0.8</v>
      </c>
      <c r="H4615" t="n">
        <v>24.1</v>
      </c>
      <c r="I4615" s="2" t="n">
        <v>733</v>
      </c>
      <c r="J4615" t="n">
        <v>43.8</v>
      </c>
      <c r="K4615" t="inlineStr"/>
      <c r="L4615" s="2" t="n">
        <v>-1278</v>
      </c>
      <c r="M4615" t="n">
        <v>67</v>
      </c>
      <c r="N4615" t="inlineStr">
        <is>
          <t>20240806800459</t>
        </is>
      </c>
      <c r="O4615">
        <f>HYPERLINK("https://dart.fss.or.kr/dsaf001/main.do?rcpNo=20240806800459", "공시열람")</f>
        <v/>
      </c>
    </row>
    <row r="4616">
      <c r="A4616" t="inlineStr">
        <is>
          <t>2024-08-06</t>
        </is>
      </c>
      <c r="B4616" t="inlineStr">
        <is>
          <t>NHN</t>
        </is>
      </c>
      <c r="C4616" t="inlineStr">
        <is>
          <t>181710</t>
        </is>
      </c>
      <c r="D4616" t="inlineStr">
        <is>
          <t>연결</t>
        </is>
      </c>
      <c r="E4616" t="inlineStr">
        <is>
          <t>2024Q2</t>
        </is>
      </c>
      <c r="F4616" s="2" t="n">
        <v>599404</v>
      </c>
      <c r="G4616" t="inlineStr"/>
      <c r="H4616" t="inlineStr"/>
      <c r="I4616" s="2" t="n">
        <v>28477</v>
      </c>
      <c r="J4616" t="inlineStr"/>
      <c r="K4616" t="inlineStr"/>
      <c r="L4616" s="2" t="n">
        <v>4630</v>
      </c>
      <c r="M4616" t="inlineStr"/>
      <c r="N4616" t="inlineStr">
        <is>
          <t>20240806800023</t>
        </is>
      </c>
      <c r="O4616">
        <f>HYPERLINK("https://dart.fss.or.kr/dsaf001/main.do?rcpNo=20240806800023", "공시열람")</f>
        <v/>
      </c>
    </row>
    <row r="4617">
      <c r="A4617" t="inlineStr">
        <is>
          <t>2024-08-06</t>
        </is>
      </c>
      <c r="B4617" t="inlineStr">
        <is>
          <t>NHN</t>
        </is>
      </c>
      <c r="C4617" t="inlineStr">
        <is>
          <t>181710</t>
        </is>
      </c>
      <c r="D4617" t="inlineStr">
        <is>
          <t>별도</t>
        </is>
      </c>
      <c r="E4617" t="inlineStr">
        <is>
          <t>2024Q2</t>
        </is>
      </c>
      <c r="F4617" s="2" t="n">
        <v>94330</v>
      </c>
      <c r="G4617" t="inlineStr"/>
      <c r="H4617" t="inlineStr"/>
      <c r="I4617" s="2" t="n">
        <v>25647</v>
      </c>
      <c r="J4617" t="inlineStr"/>
      <c r="K4617" t="inlineStr"/>
      <c r="L4617" s="2" t="n">
        <v>37931</v>
      </c>
      <c r="M4617" t="inlineStr"/>
      <c r="N4617" t="inlineStr">
        <is>
          <t>20240806800013</t>
        </is>
      </c>
      <c r="O4617">
        <f>HYPERLINK("https://dart.fss.or.kr/dsaf001/main.do?rcpNo=20240806800013", "공시열람")</f>
        <v/>
      </c>
    </row>
    <row r="4618">
      <c r="A4618" t="inlineStr">
        <is>
          <t>2024-08-06</t>
        </is>
      </c>
      <c r="B4618" t="inlineStr">
        <is>
          <t>한전KPS</t>
        </is>
      </c>
      <c r="C4618" t="inlineStr">
        <is>
          <t>051600</t>
        </is>
      </c>
      <c r="D4618" t="inlineStr">
        <is>
          <t>연결</t>
        </is>
      </c>
      <c r="E4618" t="inlineStr">
        <is>
          <t>2024Q2</t>
        </is>
      </c>
      <c r="F4618" s="2" t="n">
        <v>428592</v>
      </c>
      <c r="G4618" t="n">
        <v>25</v>
      </c>
      <c r="H4618" t="n">
        <v>4.5</v>
      </c>
      <c r="I4618" s="2" t="n">
        <v>74395</v>
      </c>
      <c r="J4618" t="n">
        <v>42.4</v>
      </c>
      <c r="K4618" t="n">
        <v>52.3</v>
      </c>
      <c r="L4618" s="2" t="n">
        <v>59546</v>
      </c>
      <c r="M4618" t="n">
        <v>46.3</v>
      </c>
      <c r="N4618" t="inlineStr">
        <is>
          <t>20240806800629</t>
        </is>
      </c>
      <c r="O4618">
        <f>HYPERLINK("https://dart.fss.or.kr/dsaf001/main.do?rcpNo=20240806800629", "공시열람")</f>
        <v/>
      </c>
    </row>
    <row r="4619">
      <c r="A4619" t="inlineStr">
        <is>
          <t>2024-08-06</t>
        </is>
      </c>
      <c r="B4619" t="inlineStr">
        <is>
          <t>아모레퍼시픽</t>
        </is>
      </c>
      <c r="C4619" t="inlineStr">
        <is>
          <t>090430</t>
        </is>
      </c>
      <c r="D4619" t="inlineStr">
        <is>
          <t>연결</t>
        </is>
      </c>
      <c r="E4619" t="inlineStr">
        <is>
          <t>2024Q2</t>
        </is>
      </c>
      <c r="F4619" s="2" t="n">
        <v>904751</v>
      </c>
      <c r="G4619" t="n">
        <v>-0.7</v>
      </c>
      <c r="H4619" t="n">
        <v>-4.3</v>
      </c>
      <c r="I4619" s="2" t="n">
        <v>4154</v>
      </c>
      <c r="J4619" t="n">
        <v>-94.3</v>
      </c>
      <c r="K4619" t="n">
        <v>-29.5</v>
      </c>
      <c r="L4619" s="2" t="n">
        <v>530598</v>
      </c>
      <c r="M4619" t="n">
        <v>2648.3</v>
      </c>
      <c r="N4619" t="inlineStr">
        <is>
          <t>20240806800655</t>
        </is>
      </c>
      <c r="O4619">
        <f>HYPERLINK("https://dart.fss.or.kr/dsaf001/main.do?rcpNo=20240806800655", "공시열람")</f>
        <v/>
      </c>
    </row>
    <row r="4620">
      <c r="A4620" t="inlineStr">
        <is>
          <t>2024-08-06</t>
        </is>
      </c>
      <c r="B4620" t="inlineStr">
        <is>
          <t>NHN벅스</t>
        </is>
      </c>
      <c r="C4620" t="inlineStr">
        <is>
          <t>104200</t>
        </is>
      </c>
      <c r="D4620" t="inlineStr">
        <is>
          <t>별도</t>
        </is>
      </c>
      <c r="E4620" t="inlineStr">
        <is>
          <t>2024Q2</t>
        </is>
      </c>
      <c r="F4620" s="2" t="n">
        <v>14008</v>
      </c>
      <c r="G4620" t="inlineStr"/>
      <c r="H4620" t="inlineStr"/>
      <c r="I4620" s="2" t="n">
        <v>300</v>
      </c>
      <c r="J4620" t="inlineStr"/>
      <c r="K4620" t="inlineStr"/>
      <c r="L4620" s="2" t="n">
        <v>-770</v>
      </c>
      <c r="M4620" t="inlineStr"/>
      <c r="N4620" t="inlineStr">
        <is>
          <t>20240806900001</t>
        </is>
      </c>
      <c r="O4620">
        <f>HYPERLINK("https://dart.fss.or.kr/dsaf001/main.do?rcpNo=20240806900001", "공시열람")</f>
        <v/>
      </c>
    </row>
    <row r="4621">
      <c r="A4621" t="inlineStr">
        <is>
          <t>2024-08-06</t>
        </is>
      </c>
      <c r="B4621" t="inlineStr">
        <is>
          <t>이노션</t>
        </is>
      </c>
      <c r="C4621" t="inlineStr">
        <is>
          <t>214320</t>
        </is>
      </c>
      <c r="D4621" t="inlineStr">
        <is>
          <t>연결</t>
        </is>
      </c>
      <c r="E4621" t="inlineStr">
        <is>
          <t>2024Q2</t>
        </is>
      </c>
      <c r="F4621" s="2" t="n">
        <v>522074</v>
      </c>
      <c r="G4621" t="n">
        <v>7.1</v>
      </c>
      <c r="H4621" t="n">
        <v>5.1</v>
      </c>
      <c r="I4621" s="2" t="n">
        <v>36661</v>
      </c>
      <c r="J4621" t="n">
        <v>20.3</v>
      </c>
      <c r="K4621" t="n">
        <v>-12.1</v>
      </c>
      <c r="L4621" s="2" t="n">
        <v>26782</v>
      </c>
      <c r="M4621" t="n">
        <v>-18.3</v>
      </c>
      <c r="N4621" t="inlineStr">
        <is>
          <t>20240806800663</t>
        </is>
      </c>
      <c r="O4621">
        <f>HYPERLINK("https://dart.fss.or.kr/dsaf001/main.do?rcpNo=20240806800663", "공시열람")</f>
        <v/>
      </c>
    </row>
    <row r="4622">
      <c r="A4622" t="inlineStr">
        <is>
          <t>2024-08-06</t>
        </is>
      </c>
      <c r="B4622" t="inlineStr">
        <is>
          <t>키이스트</t>
        </is>
      </c>
      <c r="C4622" t="inlineStr">
        <is>
          <t>054780</t>
        </is>
      </c>
      <c r="D4622" t="inlineStr">
        <is>
          <t>별도</t>
        </is>
      </c>
      <c r="E4622" t="inlineStr">
        <is>
          <t>2024Q2</t>
        </is>
      </c>
      <c r="F4622" s="2" t="n">
        <v>16126</v>
      </c>
      <c r="G4622" t="inlineStr"/>
      <c r="H4622" t="inlineStr"/>
      <c r="I4622" s="2" t="n">
        <v>370</v>
      </c>
      <c r="J4622" t="inlineStr"/>
      <c r="K4622" t="inlineStr"/>
      <c r="L4622" s="2" t="n">
        <v>-1455</v>
      </c>
      <c r="M4622" t="inlineStr"/>
      <c r="N4622" t="inlineStr">
        <is>
          <t>20240806900930</t>
        </is>
      </c>
      <c r="O4622">
        <f>HYPERLINK("https://dart.fss.or.kr/dsaf001/main.do?rcpNo=20240806900930", "공시열람")</f>
        <v/>
      </c>
    </row>
    <row r="4623">
      <c r="A4623" t="inlineStr">
        <is>
          <t>2024-08-06</t>
        </is>
      </c>
      <c r="B4623" t="inlineStr">
        <is>
          <t>제주항공</t>
        </is>
      </c>
      <c r="C4623" t="inlineStr">
        <is>
          <t>089590</t>
        </is>
      </c>
      <c r="D4623" t="inlineStr">
        <is>
          <t>별도</t>
        </is>
      </c>
      <c r="E4623" t="inlineStr">
        <is>
          <t>2024Q2</t>
        </is>
      </c>
      <c r="F4623" s="2" t="n">
        <v>427896</v>
      </c>
      <c r="G4623" t="n">
        <v>-20.6</v>
      </c>
      <c r="H4623" t="n">
        <v>15.7</v>
      </c>
      <c r="I4623" s="2" t="n">
        <v>-9493</v>
      </c>
      <c r="J4623" t="inlineStr"/>
      <c r="K4623" t="inlineStr"/>
      <c r="L4623" s="2" t="n">
        <v>-21415</v>
      </c>
      <c r="M4623" t="inlineStr"/>
      <c r="N4623" t="inlineStr">
        <is>
          <t>20240806800864</t>
        </is>
      </c>
      <c r="O4623">
        <f>HYPERLINK("https://dart.fss.or.kr/dsaf001/main.do?rcpNo=20240806800864", "공시열람")</f>
        <v/>
      </c>
    </row>
    <row r="4624">
      <c r="A4624" t="inlineStr">
        <is>
          <t>2024-08-06</t>
        </is>
      </c>
      <c r="B4624" t="inlineStr">
        <is>
          <t>현대홈쇼핑</t>
        </is>
      </c>
      <c r="C4624" t="inlineStr">
        <is>
          <t>057050</t>
        </is>
      </c>
      <c r="D4624" t="inlineStr">
        <is>
          <t>연결</t>
        </is>
      </c>
      <c r="E4624" t="inlineStr">
        <is>
          <t>2024Q2</t>
        </is>
      </c>
      <c r="F4624" s="2" t="n">
        <v>952687</v>
      </c>
      <c r="G4624" t="inlineStr"/>
      <c r="H4624" t="inlineStr"/>
      <c r="I4624" s="2" t="n">
        <v>33291</v>
      </c>
      <c r="J4624" t="inlineStr"/>
      <c r="K4624" t="inlineStr"/>
      <c r="L4624" s="2" t="n">
        <v>28113</v>
      </c>
      <c r="M4624" t="inlineStr"/>
      <c r="N4624" t="inlineStr">
        <is>
          <t>20240806800799</t>
        </is>
      </c>
      <c r="O4624">
        <f>HYPERLINK("https://dart.fss.or.kr/dsaf001/main.do?rcpNo=20240806800799", "공시열람")</f>
        <v/>
      </c>
    </row>
    <row r="4625">
      <c r="A4625" t="inlineStr">
        <is>
          <t>2024-08-06</t>
        </is>
      </c>
      <c r="B4625" t="inlineStr">
        <is>
          <t>하나투어</t>
        </is>
      </c>
      <c r="C4625" t="inlineStr">
        <is>
          <t>039130</t>
        </is>
      </c>
      <c r="D4625" t="inlineStr">
        <is>
          <t>연결</t>
        </is>
      </c>
      <c r="E4625" t="inlineStr">
        <is>
          <t>2024Q2</t>
        </is>
      </c>
      <c r="F4625" s="2" t="n">
        <v>131668</v>
      </c>
      <c r="G4625" t="n">
        <v>-28.18</v>
      </c>
      <c r="H4625" t="n">
        <v>59.79</v>
      </c>
      <c r="I4625" s="2" t="n">
        <v>3666</v>
      </c>
      <c r="J4625" t="n">
        <v>-83.05</v>
      </c>
      <c r="K4625" t="n">
        <v>-9.84</v>
      </c>
      <c r="L4625" s="2" t="n">
        <v>12638</v>
      </c>
      <c r="M4625" t="n">
        <v>-36.26</v>
      </c>
      <c r="N4625" t="inlineStr">
        <is>
          <t>20240806800787</t>
        </is>
      </c>
      <c r="O4625">
        <f>HYPERLINK("https://dart.fss.or.kr/dsaf001/main.do?rcpNo=20240806800787", "공시열람")</f>
        <v/>
      </c>
    </row>
    <row r="4626">
      <c r="A4626" t="inlineStr">
        <is>
          <t>2024-08-06</t>
        </is>
      </c>
      <c r="B4626" t="inlineStr">
        <is>
          <t>가비아</t>
        </is>
      </c>
      <c r="C4626" t="inlineStr">
        <is>
          <t>079940</t>
        </is>
      </c>
      <c r="D4626" t="inlineStr">
        <is>
          <t>연결</t>
        </is>
      </c>
      <c r="E4626" t="inlineStr">
        <is>
          <t>2024Q1</t>
        </is>
      </c>
      <c r="F4626" s="2" t="n">
        <v>64451</v>
      </c>
      <c r="G4626" t="inlineStr"/>
      <c r="H4626" t="inlineStr"/>
      <c r="I4626" s="2" t="n">
        <v>7648</v>
      </c>
      <c r="J4626" t="inlineStr"/>
      <c r="K4626" t="inlineStr"/>
      <c r="L4626" s="2" t="n">
        <v>6345</v>
      </c>
      <c r="M4626" t="inlineStr"/>
      <c r="N4626" t="inlineStr">
        <is>
          <t>20240806900753</t>
        </is>
      </c>
      <c r="O4626">
        <f>HYPERLINK("https://dart.fss.or.kr/dsaf001/main.do?rcpNo=20240806900753", "공시열람")</f>
        <v/>
      </c>
    </row>
    <row r="4627">
      <c r="A4627" t="inlineStr">
        <is>
          <t>2024-08-06</t>
        </is>
      </c>
      <c r="B4627" t="inlineStr">
        <is>
          <t>SM C&amp;C</t>
        </is>
      </c>
      <c r="C4627" t="inlineStr">
        <is>
          <t>048550</t>
        </is>
      </c>
      <c r="D4627" t="inlineStr">
        <is>
          <t>연결</t>
        </is>
      </c>
      <c r="E4627" t="inlineStr">
        <is>
          <t>2024Q2</t>
        </is>
      </c>
      <c r="F4627" s="2" t="n">
        <v>27850</v>
      </c>
      <c r="G4627" t="inlineStr"/>
      <c r="H4627" t="inlineStr"/>
      <c r="I4627" s="2" t="n">
        <v>2575</v>
      </c>
      <c r="J4627" t="inlineStr"/>
      <c r="K4627" t="inlineStr"/>
      <c r="L4627" s="2" t="n">
        <v>3074</v>
      </c>
      <c r="M4627" t="inlineStr"/>
      <c r="N4627" t="inlineStr">
        <is>
          <t>20240806900723</t>
        </is>
      </c>
      <c r="O4627">
        <f>HYPERLINK("https://dart.fss.or.kr/dsaf001/main.do?rcpNo=20240806900723", "공시열람")</f>
        <v/>
      </c>
    </row>
    <row r="4628">
      <c r="A4628" t="inlineStr">
        <is>
          <t>2024-08-06</t>
        </is>
      </c>
      <c r="B4628" t="inlineStr">
        <is>
          <t>롯데에너지머티리얼즈</t>
        </is>
      </c>
      <c r="C4628" t="inlineStr">
        <is>
          <t>020150</t>
        </is>
      </c>
      <c r="D4628" t="inlineStr">
        <is>
          <t>연결</t>
        </is>
      </c>
      <c r="E4628" t="inlineStr">
        <is>
          <t>2024Q2</t>
        </is>
      </c>
      <c r="F4628" s="2" t="n">
        <v>262700</v>
      </c>
      <c r="G4628" t="n">
        <v>8.699999999999999</v>
      </c>
      <c r="H4628" t="n">
        <v>32.6</v>
      </c>
      <c r="I4628" s="2" t="n">
        <v>3000</v>
      </c>
      <c r="J4628" t="n">
        <v>-29.9</v>
      </c>
      <c r="K4628" t="n">
        <v>99.59999999999999</v>
      </c>
      <c r="L4628" s="2" t="n">
        <v>8000</v>
      </c>
      <c r="M4628" t="inlineStr"/>
      <c r="N4628" t="inlineStr">
        <is>
          <t>20240806800767</t>
        </is>
      </c>
      <c r="O4628">
        <f>HYPERLINK("https://dart.fss.or.kr/dsaf001/main.do?rcpNo=20240806800767", "공시열람")</f>
        <v/>
      </c>
    </row>
    <row r="4629">
      <c r="A4629" t="inlineStr">
        <is>
          <t>2024-08-06</t>
        </is>
      </c>
      <c r="B4629" t="inlineStr">
        <is>
          <t>현대이지웰</t>
        </is>
      </c>
      <c r="C4629" t="inlineStr">
        <is>
          <t>090850</t>
        </is>
      </c>
      <c r="D4629" t="inlineStr">
        <is>
          <t>연결</t>
        </is>
      </c>
      <c r="E4629" t="inlineStr">
        <is>
          <t>2024Q2</t>
        </is>
      </c>
      <c r="F4629" s="2" t="n">
        <v>28423</v>
      </c>
      <c r="G4629" t="inlineStr"/>
      <c r="H4629" t="inlineStr"/>
      <c r="I4629" s="2" t="n">
        <v>6576</v>
      </c>
      <c r="J4629" t="inlineStr"/>
      <c r="K4629" t="inlineStr"/>
      <c r="L4629" s="2" t="n">
        <v>5549</v>
      </c>
      <c r="M4629" t="inlineStr"/>
      <c r="N4629" t="inlineStr">
        <is>
          <t>20240806900752</t>
        </is>
      </c>
      <c r="O4629">
        <f>HYPERLINK("https://dart.fss.or.kr/dsaf001/main.do?rcpNo=20240806900752", "공시열람")</f>
        <v/>
      </c>
    </row>
    <row r="4630">
      <c r="A4630" t="inlineStr">
        <is>
          <t>2024-08-06</t>
        </is>
      </c>
      <c r="B4630" t="inlineStr">
        <is>
          <t>한섬</t>
        </is>
      </c>
      <c r="C4630" t="inlineStr">
        <is>
          <t>020000</t>
        </is>
      </c>
      <c r="D4630" t="inlineStr">
        <is>
          <t>연결</t>
        </is>
      </c>
      <c r="E4630" t="inlineStr">
        <is>
          <t>2024Q2</t>
        </is>
      </c>
      <c r="F4630" s="2" t="n">
        <v>341717</v>
      </c>
      <c r="G4630" t="n">
        <v>-13.2</v>
      </c>
      <c r="H4630" t="n">
        <v>-1.2</v>
      </c>
      <c r="I4630" s="2" t="n">
        <v>4088</v>
      </c>
      <c r="J4630" t="n">
        <v>-87.40000000000001</v>
      </c>
      <c r="K4630" t="n">
        <v>-29.5</v>
      </c>
      <c r="L4630" s="2" t="n">
        <v>1682</v>
      </c>
      <c r="M4630" t="n">
        <v>-80.5</v>
      </c>
      <c r="N4630" t="inlineStr">
        <is>
          <t>20240806800719</t>
        </is>
      </c>
      <c r="O4630">
        <f>HYPERLINK("https://dart.fss.or.kr/dsaf001/main.do?rcpNo=20240806800719", "공시열람")</f>
        <v/>
      </c>
    </row>
    <row r="4631">
      <c r="A4631" t="inlineStr">
        <is>
          <t>2024-08-06</t>
        </is>
      </c>
      <c r="B4631" t="inlineStr">
        <is>
          <t>HDC</t>
        </is>
      </c>
      <c r="C4631" t="inlineStr">
        <is>
          <t>012630</t>
        </is>
      </c>
      <c r="D4631" t="inlineStr">
        <is>
          <t>연결</t>
        </is>
      </c>
      <c r="E4631" t="inlineStr">
        <is>
          <t>2024Q2</t>
        </is>
      </c>
      <c r="F4631" s="2" t="n">
        <v>1540327</v>
      </c>
      <c r="G4631" t="n">
        <v>12.4</v>
      </c>
      <c r="H4631" t="n">
        <v>12.5</v>
      </c>
      <c r="I4631" s="2" t="n">
        <v>84198</v>
      </c>
      <c r="J4631" t="n">
        <v>11.4</v>
      </c>
      <c r="K4631" t="n">
        <v>141.3</v>
      </c>
      <c r="L4631" s="2" t="n">
        <v>63305</v>
      </c>
      <c r="M4631" t="n">
        <v>68.40000000000001</v>
      </c>
      <c r="N4631" t="inlineStr">
        <is>
          <t>20240806800726</t>
        </is>
      </c>
      <c r="O4631">
        <f>HYPERLINK("https://dart.fss.or.kr/dsaf001/main.do?rcpNo=20240806800726", "공시열람")</f>
        <v/>
      </c>
    </row>
    <row r="4632">
      <c r="A4632" t="inlineStr">
        <is>
          <t>2024-08-06</t>
        </is>
      </c>
      <c r="B4632" t="inlineStr">
        <is>
          <t>아모레퍼시픽홀딩스</t>
        </is>
      </c>
      <c r="C4632" t="inlineStr">
        <is>
          <t>002790</t>
        </is>
      </c>
      <c r="D4632" t="inlineStr">
        <is>
          <t>연결</t>
        </is>
      </c>
      <c r="E4632" t="inlineStr">
        <is>
          <t>2024Q2</t>
        </is>
      </c>
      <c r="F4632" s="2" t="n">
        <v>1005691</v>
      </c>
      <c r="G4632" t="n">
        <v>-0.1</v>
      </c>
      <c r="H4632" t="n">
        <v>-2.4</v>
      </c>
      <c r="I4632" s="2" t="n">
        <v>12222</v>
      </c>
      <c r="J4632" t="n">
        <v>-85.3</v>
      </c>
      <c r="K4632" t="n">
        <v>4.2</v>
      </c>
      <c r="L4632" s="2" t="n">
        <v>537253</v>
      </c>
      <c r="M4632" t="n">
        <v>1717.3</v>
      </c>
      <c r="N4632" t="inlineStr">
        <is>
          <t>20240806800691</t>
        </is>
      </c>
      <c r="O4632">
        <f>HYPERLINK("https://dart.fss.or.kr/dsaf001/main.do?rcpNo=20240806800691", "공시열람")</f>
        <v/>
      </c>
    </row>
    <row r="4633">
      <c r="A4633" t="inlineStr">
        <is>
          <t>2024-08-06</t>
        </is>
      </c>
      <c r="B4633" t="inlineStr">
        <is>
          <t>위메이드플레이</t>
        </is>
      </c>
      <c r="C4633" t="inlineStr">
        <is>
          <t>123420</t>
        </is>
      </c>
      <c r="D4633" t="inlineStr">
        <is>
          <t>연결</t>
        </is>
      </c>
      <c r="E4633" t="inlineStr">
        <is>
          <t>2024Q2</t>
        </is>
      </c>
      <c r="F4633" s="2" t="n">
        <v>29220</v>
      </c>
      <c r="G4633" t="inlineStr"/>
      <c r="H4633" t="inlineStr"/>
      <c r="I4633" s="2" t="n">
        <v>413</v>
      </c>
      <c r="J4633" t="inlineStr"/>
      <c r="K4633" t="inlineStr"/>
      <c r="L4633" s="2" t="n">
        <v>168</v>
      </c>
      <c r="M4633" t="inlineStr"/>
      <c r="N4633" t="inlineStr">
        <is>
          <t>20240806900688</t>
        </is>
      </c>
      <c r="O4633">
        <f>HYPERLINK("https://dart.fss.or.kr/dsaf001/main.do?rcpNo=20240806900688", "공시열람")</f>
        <v/>
      </c>
    </row>
    <row r="4634">
      <c r="A4634" t="inlineStr">
        <is>
          <t>2024-08-06</t>
        </is>
      </c>
      <c r="B4634" t="inlineStr">
        <is>
          <t>위메이드</t>
        </is>
      </c>
      <c r="C4634" t="inlineStr">
        <is>
          <t>112040</t>
        </is>
      </c>
      <c r="D4634" t="inlineStr">
        <is>
          <t>연결</t>
        </is>
      </c>
      <c r="E4634" t="inlineStr">
        <is>
          <t>2024Q2</t>
        </is>
      </c>
      <c r="F4634" s="2" t="n">
        <v>171390</v>
      </c>
      <c r="G4634" t="inlineStr"/>
      <c r="H4634" t="inlineStr"/>
      <c r="I4634" s="2" t="n">
        <v>-24140</v>
      </c>
      <c r="J4634" t="inlineStr"/>
      <c r="K4634" t="inlineStr"/>
      <c r="L4634" s="2" t="n">
        <v>443</v>
      </c>
      <c r="M4634" t="inlineStr"/>
      <c r="N4634" t="inlineStr">
        <is>
          <t>20240806900672</t>
        </is>
      </c>
      <c r="O4634">
        <f>HYPERLINK("https://dart.fss.or.kr/dsaf001/main.do?rcpNo=20240806900672", "공시열람")</f>
        <v/>
      </c>
    </row>
    <row r="4635">
      <c r="A4635" t="inlineStr">
        <is>
          <t>2024-08-06</t>
        </is>
      </c>
      <c r="B4635" t="inlineStr">
        <is>
          <t>SK케미칼</t>
        </is>
      </c>
      <c r="C4635" t="inlineStr">
        <is>
          <t>285130</t>
        </is>
      </c>
      <c r="D4635" t="inlineStr">
        <is>
          <t>연결</t>
        </is>
      </c>
      <c r="E4635" t="inlineStr">
        <is>
          <t>2024Q2</t>
        </is>
      </c>
      <c r="F4635" s="2" t="n">
        <v>413898</v>
      </c>
      <c r="G4635" t="n">
        <v>8.6</v>
      </c>
      <c r="H4635" t="n">
        <v>11.5</v>
      </c>
      <c r="I4635" s="2" t="n">
        <v>8867</v>
      </c>
      <c r="J4635" t="inlineStr"/>
      <c r="K4635" t="inlineStr"/>
      <c r="L4635" s="2" t="n">
        <v>5117</v>
      </c>
      <c r="M4635" t="inlineStr"/>
      <c r="N4635" t="inlineStr">
        <is>
          <t>20240806800679</t>
        </is>
      </c>
      <c r="O4635">
        <f>HYPERLINK("https://dart.fss.or.kr/dsaf001/main.do?rcpNo=20240806800679", "공시열람")</f>
        <v/>
      </c>
    </row>
    <row r="4636">
      <c r="A4636" t="inlineStr">
        <is>
          <t>2024-08-06</t>
        </is>
      </c>
      <c r="B4636" t="inlineStr">
        <is>
          <t>케이아이엔엑스</t>
        </is>
      </c>
      <c r="C4636" t="inlineStr">
        <is>
          <t>093320</t>
        </is>
      </c>
      <c r="D4636" t="inlineStr">
        <is>
          <t>연결</t>
        </is>
      </c>
      <c r="E4636" t="inlineStr">
        <is>
          <t>2024Q2</t>
        </is>
      </c>
      <c r="F4636" s="2" t="n">
        <v>31502</v>
      </c>
      <c r="G4636" t="inlineStr"/>
      <c r="H4636" t="inlineStr"/>
      <c r="I4636" s="2" t="n">
        <v>6235</v>
      </c>
      <c r="J4636" t="inlineStr"/>
      <c r="K4636" t="inlineStr"/>
      <c r="L4636" s="2" t="n">
        <v>4762</v>
      </c>
      <c r="M4636" t="inlineStr"/>
      <c r="N4636" t="inlineStr">
        <is>
          <t>20240806900689</t>
        </is>
      </c>
      <c r="O4636">
        <f>HYPERLINK("https://dart.fss.or.kr/dsaf001/main.do?rcpNo=20240806900689", "공시열람")</f>
        <v/>
      </c>
    </row>
    <row r="4637">
      <c r="A4637" t="inlineStr">
        <is>
          <t>2024-08-06</t>
        </is>
      </c>
      <c r="B4637" t="inlineStr">
        <is>
          <t>SK케미칼</t>
        </is>
      </c>
      <c r="C4637" t="inlineStr">
        <is>
          <t>285130</t>
        </is>
      </c>
      <c r="D4637" t="inlineStr">
        <is>
          <t>별도</t>
        </is>
      </c>
      <c r="E4637" t="inlineStr">
        <is>
          <t>2024Q2</t>
        </is>
      </c>
      <c r="F4637" s="2" t="n">
        <v>344842</v>
      </c>
      <c r="G4637" t="n">
        <v>8.699999999999999</v>
      </c>
      <c r="H4637" t="n">
        <v>11.6</v>
      </c>
      <c r="I4637" s="2" t="n">
        <v>31272</v>
      </c>
      <c r="J4637" t="n">
        <v>68</v>
      </c>
      <c r="K4637" t="n">
        <v>58.9</v>
      </c>
      <c r="L4637" s="2" t="n">
        <v>25653</v>
      </c>
      <c r="M4637" t="n">
        <v>473.3</v>
      </c>
      <c r="N4637" t="inlineStr">
        <is>
          <t>20240806800676</t>
        </is>
      </c>
      <c r="O4637">
        <f>HYPERLINK("https://dart.fss.or.kr/dsaf001/main.do?rcpNo=20240806800676", "공시열람")</f>
        <v/>
      </c>
    </row>
    <row r="4638">
      <c r="A4638" t="inlineStr">
        <is>
          <t>2024-08-06</t>
        </is>
      </c>
      <c r="B4638" t="inlineStr">
        <is>
          <t>위메이드맥스</t>
        </is>
      </c>
      <c r="C4638" t="inlineStr">
        <is>
          <t>101730</t>
        </is>
      </c>
      <c r="D4638" t="inlineStr">
        <is>
          <t>연결</t>
        </is>
      </c>
      <c r="E4638" t="inlineStr">
        <is>
          <t>2024Q2</t>
        </is>
      </c>
      <c r="F4638" s="2" t="n">
        <v>18686</v>
      </c>
      <c r="G4638" t="inlineStr"/>
      <c r="H4638" t="inlineStr"/>
      <c r="I4638" s="2" t="n">
        <v>-1295</v>
      </c>
      <c r="J4638" t="inlineStr"/>
      <c r="K4638" t="inlineStr"/>
      <c r="L4638" s="2" t="n">
        <v>-1216</v>
      </c>
      <c r="M4638" t="inlineStr"/>
      <c r="N4638" t="inlineStr">
        <is>
          <t>20240806900671</t>
        </is>
      </c>
      <c r="O4638">
        <f>HYPERLINK("https://dart.fss.or.kr/dsaf001/main.do?rcpNo=20240806900671", "공시열람")</f>
        <v/>
      </c>
    </row>
    <row r="4639">
      <c r="A4639" t="inlineStr">
        <is>
          <t>2024-08-06</t>
        </is>
      </c>
      <c r="B4639" t="inlineStr">
        <is>
          <t>NHN KCP</t>
        </is>
      </c>
      <c r="C4639" t="inlineStr">
        <is>
          <t>060250</t>
        </is>
      </c>
      <c r="D4639" t="inlineStr">
        <is>
          <t>별도</t>
        </is>
      </c>
      <c r="E4639" t="inlineStr">
        <is>
          <t>2024Q2</t>
        </is>
      </c>
      <c r="F4639" s="2" t="n">
        <v>274577</v>
      </c>
      <c r="G4639" t="inlineStr"/>
      <c r="H4639" t="inlineStr"/>
      <c r="I4639" s="2" t="n">
        <v>12407</v>
      </c>
      <c r="J4639" t="inlineStr"/>
      <c r="K4639" t="inlineStr"/>
      <c r="L4639" s="2" t="n">
        <v>11758</v>
      </c>
      <c r="M4639" t="inlineStr"/>
      <c r="N4639" t="inlineStr">
        <is>
          <t>20240806900005</t>
        </is>
      </c>
      <c r="O4639">
        <f>HYPERLINK("https://dart.fss.or.kr/dsaf001/main.do?rcpNo=20240806900005", "공시열람")</f>
        <v/>
      </c>
    </row>
    <row r="4640">
      <c r="A4640" t="inlineStr">
        <is>
          <t>2024-08-06</t>
        </is>
      </c>
      <c r="B4640" t="inlineStr">
        <is>
          <t>NHN KCP</t>
        </is>
      </c>
      <c r="C4640" t="inlineStr">
        <is>
          <t>060250</t>
        </is>
      </c>
      <c r="D4640" t="inlineStr">
        <is>
          <t>연결</t>
        </is>
      </c>
      <c r="E4640" t="inlineStr">
        <is>
          <t>2024Q2</t>
        </is>
      </c>
      <c r="F4640" s="2" t="n">
        <v>275927</v>
      </c>
      <c r="G4640" t="inlineStr"/>
      <c r="H4640" t="inlineStr"/>
      <c r="I4640" s="2" t="n">
        <v>11652</v>
      </c>
      <c r="J4640" t="inlineStr"/>
      <c r="K4640" t="inlineStr"/>
      <c r="L4640" s="2" t="n">
        <v>11518</v>
      </c>
      <c r="M4640" t="inlineStr"/>
      <c r="N4640" t="inlineStr">
        <is>
          <t>20240806900004</t>
        </is>
      </c>
      <c r="O4640">
        <f>HYPERLINK("https://dart.fss.or.kr/dsaf001/main.do?rcpNo=20240806900004", "공시열람")</f>
        <v/>
      </c>
    </row>
    <row r="4641">
      <c r="A4641" t="inlineStr">
        <is>
          <t>2024-08-05</t>
        </is>
      </c>
      <c r="B4641" t="inlineStr">
        <is>
          <t>레이크머티리얼즈</t>
        </is>
      </c>
      <c r="C4641" t="inlineStr">
        <is>
          <t>281740</t>
        </is>
      </c>
      <c r="D4641" t="inlineStr">
        <is>
          <t>연결</t>
        </is>
      </c>
      <c r="E4641" t="inlineStr">
        <is>
          <t>2024Q2</t>
        </is>
      </c>
      <c r="F4641" s="2" t="n">
        <v>30725</v>
      </c>
      <c r="G4641" t="inlineStr"/>
      <c r="H4641" t="inlineStr"/>
      <c r="I4641" s="2" t="n">
        <v>5058</v>
      </c>
      <c r="J4641" t="inlineStr"/>
      <c r="K4641" t="inlineStr"/>
      <c r="L4641" s="2" t="n">
        <v>4364</v>
      </c>
      <c r="M4641" t="inlineStr"/>
      <c r="N4641" t="inlineStr">
        <is>
          <t>20240805900790</t>
        </is>
      </c>
      <c r="O4641">
        <f>HYPERLINK("https://dart.fss.or.kr/dsaf001/main.do?rcpNo=20240805900790", "공시열람")</f>
        <v/>
      </c>
    </row>
    <row r="4642">
      <c r="A4642" t="inlineStr">
        <is>
          <t>2024-08-05</t>
        </is>
      </c>
      <c r="B4642" t="inlineStr">
        <is>
          <t>동원산업</t>
        </is>
      </c>
      <c r="C4642" t="inlineStr">
        <is>
          <t>006040</t>
        </is>
      </c>
      <c r="D4642" t="inlineStr">
        <is>
          <t>연결</t>
        </is>
      </c>
      <c r="E4642" t="inlineStr">
        <is>
          <t>2024Q2</t>
        </is>
      </c>
      <c r="F4642" s="2" t="n">
        <v>2142855</v>
      </c>
      <c r="G4642" t="inlineStr"/>
      <c r="H4642" t="inlineStr"/>
      <c r="I4642" s="2" t="n">
        <v>84767</v>
      </c>
      <c r="J4642" t="inlineStr"/>
      <c r="K4642" t="inlineStr"/>
      <c r="L4642" s="2" t="n">
        <v>45635</v>
      </c>
      <c r="M4642" t="inlineStr"/>
      <c r="N4642" t="inlineStr">
        <is>
          <t>20240805800524</t>
        </is>
      </c>
      <c r="O4642">
        <f>HYPERLINK("https://dart.fss.or.kr/dsaf001/main.do?rcpNo=20240805800524", "공시열람")</f>
        <v/>
      </c>
    </row>
    <row r="4643">
      <c r="A4643" t="inlineStr">
        <is>
          <t>2024-08-05</t>
        </is>
      </c>
      <c r="B4643" t="inlineStr">
        <is>
          <t>더존비즈온</t>
        </is>
      </c>
      <c r="C4643" t="inlineStr">
        <is>
          <t>012510</t>
        </is>
      </c>
      <c r="D4643" t="inlineStr">
        <is>
          <t>연결</t>
        </is>
      </c>
      <c r="E4643" t="inlineStr">
        <is>
          <t>2024Q2</t>
        </is>
      </c>
      <c r="F4643" s="2" t="n">
        <v>99423</v>
      </c>
      <c r="G4643" t="n">
        <v>5.3</v>
      </c>
      <c r="H4643" t="n">
        <v>17</v>
      </c>
      <c r="I4643" s="2" t="n">
        <v>20418</v>
      </c>
      <c r="J4643" t="n">
        <v>12.7</v>
      </c>
      <c r="K4643" t="n">
        <v>19.1</v>
      </c>
      <c r="L4643" s="2" t="n">
        <v>10672</v>
      </c>
      <c r="M4643" t="n">
        <v>15.6</v>
      </c>
      <c r="N4643" t="inlineStr">
        <is>
          <t>20240805800116</t>
        </is>
      </c>
      <c r="O4643">
        <f>HYPERLINK("https://dart.fss.or.kr/dsaf001/main.do?rcpNo=20240805800116", "공시열람")</f>
        <v/>
      </c>
    </row>
    <row r="4644">
      <c r="A4644" t="inlineStr">
        <is>
          <t>2024-08-05</t>
        </is>
      </c>
      <c r="B4644" t="inlineStr">
        <is>
          <t>코나아이</t>
        </is>
      </c>
      <c r="C4644" t="inlineStr">
        <is>
          <t>052400</t>
        </is>
      </c>
      <c r="D4644" t="inlineStr">
        <is>
          <t>연결</t>
        </is>
      </c>
      <c r="E4644" t="inlineStr">
        <is>
          <t>2024Q2</t>
        </is>
      </c>
      <c r="F4644" s="2" t="n">
        <v>66408</v>
      </c>
      <c r="G4644" t="n">
        <v>22.3</v>
      </c>
      <c r="H4644" t="n">
        <v>-19.2</v>
      </c>
      <c r="I4644" s="2" t="n">
        <v>13540</v>
      </c>
      <c r="J4644" t="n">
        <v>266.4</v>
      </c>
      <c r="K4644" t="n">
        <v>-1.7</v>
      </c>
      <c r="L4644" s="2" t="n">
        <v>10630</v>
      </c>
      <c r="M4644" t="n">
        <v>8.199999999999999</v>
      </c>
      <c r="N4644" t="inlineStr">
        <is>
          <t>20240805900160</t>
        </is>
      </c>
      <c r="O4644">
        <f>HYPERLINK("https://dart.fss.or.kr/dsaf001/main.do?rcpNo=20240805900160", "공시열람")</f>
        <v/>
      </c>
    </row>
    <row r="4645">
      <c r="A4645" t="inlineStr">
        <is>
          <t>2024-08-05</t>
        </is>
      </c>
      <c r="B4645" t="inlineStr">
        <is>
          <t>GC메디아이</t>
        </is>
      </c>
      <c r="C4645" t="inlineStr">
        <is>
          <t>032620</t>
        </is>
      </c>
      <c r="D4645" t="inlineStr">
        <is>
          <t>연결</t>
        </is>
      </c>
      <c r="E4645" t="inlineStr">
        <is>
          <t>2024Q2</t>
        </is>
      </c>
      <c r="F4645" s="2" t="n">
        <v>46560</v>
      </c>
      <c r="G4645" t="inlineStr"/>
      <c r="H4645" t="inlineStr"/>
      <c r="I4645" s="2" t="n">
        <v>77</v>
      </c>
      <c r="J4645" t="inlineStr"/>
      <c r="K4645" t="inlineStr"/>
      <c r="L4645" s="2" t="n">
        <v>-1039</v>
      </c>
      <c r="M4645" t="inlineStr"/>
      <c r="N4645" t="inlineStr">
        <is>
          <t>20240805900173</t>
        </is>
      </c>
      <c r="O4645">
        <f>HYPERLINK("https://dart.fss.or.kr/dsaf001/main.do?rcpNo=20240805900173", "공시열람")</f>
        <v/>
      </c>
    </row>
    <row r="4646">
      <c r="A4646" t="inlineStr">
        <is>
          <t>2024-08-05</t>
        </is>
      </c>
      <c r="B4646" t="inlineStr">
        <is>
          <t>보락</t>
        </is>
      </c>
      <c r="C4646" t="inlineStr">
        <is>
          <t>002760</t>
        </is>
      </c>
      <c r="D4646" t="inlineStr">
        <is>
          <t>별도</t>
        </is>
      </c>
      <c r="E4646" t="inlineStr">
        <is>
          <t>2024Q2</t>
        </is>
      </c>
      <c r="F4646" s="2" t="n">
        <v>11827</v>
      </c>
      <c r="G4646" t="n">
        <v>4.02</v>
      </c>
      <c r="H4646" t="n">
        <v>3.72</v>
      </c>
      <c r="I4646" s="2" t="n">
        <v>330</v>
      </c>
      <c r="J4646" t="n">
        <v>-11.53</v>
      </c>
      <c r="K4646" t="n">
        <v>2438.46</v>
      </c>
      <c r="L4646" s="2" t="n">
        <v>447</v>
      </c>
      <c r="M4646" t="n">
        <v>76.68000000000001</v>
      </c>
      <c r="N4646" t="inlineStr">
        <is>
          <t>20240805800246</t>
        </is>
      </c>
      <c r="O4646">
        <f>HYPERLINK("https://dart.fss.or.kr/dsaf001/main.do?rcpNo=20240805800246", "공시열람")</f>
        <v/>
      </c>
    </row>
    <row r="4647">
      <c r="A4647" t="inlineStr">
        <is>
          <t>2024-08-05</t>
        </is>
      </c>
      <c r="B4647" t="inlineStr">
        <is>
          <t>케이씨씨</t>
        </is>
      </c>
      <c r="C4647" t="inlineStr">
        <is>
          <t>002380</t>
        </is>
      </c>
      <c r="D4647" t="inlineStr">
        <is>
          <t>연결</t>
        </is>
      </c>
      <c r="E4647" t="inlineStr">
        <is>
          <t>2024Q2</t>
        </is>
      </c>
      <c r="F4647" s="2" t="n">
        <v>1778728</v>
      </c>
      <c r="G4647" t="n">
        <v>12</v>
      </c>
      <c r="H4647" t="n">
        <v>12</v>
      </c>
      <c r="I4647" s="2" t="n">
        <v>140561</v>
      </c>
      <c r="J4647" t="n">
        <v>31.5</v>
      </c>
      <c r="K4647" t="n">
        <v>55.5</v>
      </c>
      <c r="L4647" s="2" t="n">
        <v>-32841</v>
      </c>
      <c r="M4647" t="inlineStr"/>
      <c r="N4647" t="inlineStr">
        <is>
          <t>20240805800267</t>
        </is>
      </c>
      <c r="O4647">
        <f>HYPERLINK("https://dart.fss.or.kr/dsaf001/main.do?rcpNo=20240805800267", "공시열람")</f>
        <v/>
      </c>
    </row>
    <row r="4648">
      <c r="A4648" t="inlineStr">
        <is>
          <t>2024-08-05</t>
        </is>
      </c>
      <c r="B4648" t="inlineStr">
        <is>
          <t>현대바이오랜드</t>
        </is>
      </c>
      <c r="C4648" t="inlineStr">
        <is>
          <t>052260</t>
        </is>
      </c>
      <c r="D4648" t="inlineStr">
        <is>
          <t>연결</t>
        </is>
      </c>
      <c r="E4648" t="inlineStr">
        <is>
          <t>2024Q2</t>
        </is>
      </c>
      <c r="F4648" s="2" t="n">
        <v>34537</v>
      </c>
      <c r="G4648" t="inlineStr"/>
      <c r="H4648" t="inlineStr"/>
      <c r="I4648" s="2" t="n">
        <v>6155</v>
      </c>
      <c r="J4648" t="inlineStr"/>
      <c r="K4648" t="inlineStr"/>
      <c r="L4648" s="2" t="n">
        <v>4611</v>
      </c>
      <c r="M4648" t="inlineStr"/>
      <c r="N4648" t="inlineStr">
        <is>
          <t>20240805900303</t>
        </is>
      </c>
      <c r="O4648">
        <f>HYPERLINK("https://dart.fss.or.kr/dsaf001/main.do?rcpNo=20240805900303", "공시열람")</f>
        <v/>
      </c>
    </row>
    <row r="4649">
      <c r="A4649" t="inlineStr">
        <is>
          <t>2024-08-05</t>
        </is>
      </c>
      <c r="B4649" t="inlineStr">
        <is>
          <t>지씨셀</t>
        </is>
      </c>
      <c r="C4649" t="inlineStr">
        <is>
          <t>144510</t>
        </is>
      </c>
      <c r="D4649" t="inlineStr">
        <is>
          <t>연결</t>
        </is>
      </c>
      <c r="E4649" t="inlineStr">
        <is>
          <t>2024Q2</t>
        </is>
      </c>
      <c r="F4649" s="2" t="n">
        <v>45406</v>
      </c>
      <c r="G4649" t="inlineStr"/>
      <c r="H4649" t="inlineStr"/>
      <c r="I4649" s="2" t="n">
        <v>-2719</v>
      </c>
      <c r="J4649" t="inlineStr"/>
      <c r="K4649" t="inlineStr"/>
      <c r="L4649" s="2" t="n">
        <v>-6404</v>
      </c>
      <c r="M4649" t="inlineStr"/>
      <c r="N4649" t="inlineStr">
        <is>
          <t>20240805900305</t>
        </is>
      </c>
      <c r="O4649">
        <f>HYPERLINK("https://dart.fss.or.kr/dsaf001/main.do?rcpNo=20240805900305", "공시열람")</f>
        <v/>
      </c>
    </row>
    <row r="4650">
      <c r="A4650" t="inlineStr">
        <is>
          <t>2024-08-05</t>
        </is>
      </c>
      <c r="B4650" t="inlineStr">
        <is>
          <t>동원산업</t>
        </is>
      </c>
      <c r="C4650" t="inlineStr">
        <is>
          <t>006040</t>
        </is>
      </c>
      <c r="D4650" t="inlineStr">
        <is>
          <t>별도</t>
        </is>
      </c>
      <c r="E4650" t="inlineStr">
        <is>
          <t>2024Q2</t>
        </is>
      </c>
      <c r="F4650" s="2" t="n">
        <v>246608</v>
      </c>
      <c r="G4650" t="inlineStr"/>
      <c r="H4650" t="inlineStr"/>
      <c r="I4650" s="2" t="n">
        <v>4758</v>
      </c>
      <c r="J4650" t="inlineStr"/>
      <c r="K4650" t="inlineStr"/>
      <c r="L4650" s="2" t="n">
        <v>7439</v>
      </c>
      <c r="M4650" t="inlineStr"/>
      <c r="N4650" t="inlineStr">
        <is>
          <t>20240805800522</t>
        </is>
      </c>
      <c r="O4650">
        <f>HYPERLINK("https://dart.fss.or.kr/dsaf001/main.do?rcpNo=20240805800522", "공시열람")</f>
        <v/>
      </c>
    </row>
    <row r="4651">
      <c r="A4651" t="inlineStr">
        <is>
          <t>2024-08-05</t>
        </is>
      </c>
      <c r="B4651" t="inlineStr">
        <is>
          <t>NC</t>
        </is>
      </c>
      <c r="C4651" t="inlineStr">
        <is>
          <t>036570</t>
        </is>
      </c>
      <c r="D4651" t="inlineStr">
        <is>
          <t>연결</t>
        </is>
      </c>
      <c r="E4651" t="inlineStr">
        <is>
          <t>2024Q2</t>
        </is>
      </c>
      <c r="F4651" s="2" t="n">
        <v>368869</v>
      </c>
      <c r="G4651" t="inlineStr"/>
      <c r="H4651" t="inlineStr"/>
      <c r="I4651" s="2" t="n">
        <v>8844</v>
      </c>
      <c r="J4651" t="inlineStr"/>
      <c r="K4651" t="inlineStr"/>
      <c r="L4651" s="2" t="n">
        <v>71107</v>
      </c>
      <c r="M4651" t="inlineStr"/>
      <c r="N4651" t="inlineStr">
        <is>
          <t>20240805800531</t>
        </is>
      </c>
      <c r="O4651">
        <f>HYPERLINK("https://dart.fss.or.kr/dsaf001/main.do?rcpNo=20240805800531", "공시열람")</f>
        <v/>
      </c>
    </row>
    <row r="4652">
      <c r="A4652" t="inlineStr">
        <is>
          <t>2024-08-05</t>
        </is>
      </c>
      <c r="B4652" t="inlineStr">
        <is>
          <t>더블유씨피</t>
        </is>
      </c>
      <c r="C4652" t="inlineStr">
        <is>
          <t>393890</t>
        </is>
      </c>
      <c r="D4652" t="inlineStr">
        <is>
          <t>연결</t>
        </is>
      </c>
      <c r="E4652" t="inlineStr">
        <is>
          <t>2024Q2</t>
        </is>
      </c>
      <c r="F4652" s="2" t="n">
        <v>116601</v>
      </c>
      <c r="G4652" t="inlineStr"/>
      <c r="H4652" t="inlineStr"/>
      <c r="I4652" s="2" t="n">
        <v>1826</v>
      </c>
      <c r="J4652" t="inlineStr"/>
      <c r="K4652" t="inlineStr"/>
      <c r="L4652" s="2" t="n">
        <v>3403</v>
      </c>
      <c r="M4652" t="inlineStr"/>
      <c r="N4652" t="inlineStr">
        <is>
          <t>20240805900095</t>
        </is>
      </c>
      <c r="O4652">
        <f>HYPERLINK("https://dart.fss.or.kr/dsaf001/main.do?rcpNo=20240805900095", "공시열람")</f>
        <v/>
      </c>
    </row>
    <row r="4653">
      <c r="A4653" t="inlineStr">
        <is>
          <t>2024-08-05</t>
        </is>
      </c>
      <c r="B4653" t="inlineStr">
        <is>
          <t>GKL</t>
        </is>
      </c>
      <c r="C4653" t="inlineStr">
        <is>
          <t>114090</t>
        </is>
      </c>
      <c r="D4653" t="inlineStr">
        <is>
          <t>별도</t>
        </is>
      </c>
      <c r="E4653" t="inlineStr">
        <is>
          <t>2024Q2</t>
        </is>
      </c>
      <c r="F4653" s="2" t="inlineStr"/>
      <c r="G4653" t="inlineStr"/>
      <c r="H4653" t="inlineStr"/>
      <c r="I4653" s="2" t="inlineStr"/>
      <c r="J4653" t="inlineStr"/>
      <c r="K4653" t="inlineStr"/>
      <c r="L4653" s="2" t="inlineStr"/>
      <c r="M4653" t="inlineStr"/>
      <c r="N4653" t="inlineStr">
        <is>
          <t>20240805800535</t>
        </is>
      </c>
      <c r="O4653">
        <f>HYPERLINK("https://dart.fss.or.kr/dsaf001/main.do?rcpNo=20240805800535", "공시열람")</f>
        <v/>
      </c>
    </row>
    <row r="4654">
      <c r="A4654" t="inlineStr">
        <is>
          <t>2024-08-05</t>
        </is>
      </c>
      <c r="B4654" t="inlineStr">
        <is>
          <t>OCI홀딩스</t>
        </is>
      </c>
      <c r="C4654" t="inlineStr">
        <is>
          <t>010060</t>
        </is>
      </c>
      <c r="D4654" t="inlineStr">
        <is>
          <t>연결</t>
        </is>
      </c>
      <c r="E4654" t="inlineStr">
        <is>
          <t>2024Q2</t>
        </is>
      </c>
      <c r="F4654" s="2" t="n">
        <v>949857</v>
      </c>
      <c r="G4654" t="n">
        <v>9.800000000000001</v>
      </c>
      <c r="H4654" t="n">
        <v>59.8</v>
      </c>
      <c r="I4654" s="2" t="n">
        <v>89553</v>
      </c>
      <c r="J4654" t="n">
        <v>-9.800000000000001</v>
      </c>
      <c r="K4654" t="n">
        <v>-32.1</v>
      </c>
      <c r="L4654" s="2" t="n">
        <v>22811</v>
      </c>
      <c r="M4654" t="n">
        <v>-94.09999999999999</v>
      </c>
      <c r="N4654" t="inlineStr">
        <is>
          <t>20240805800529</t>
        </is>
      </c>
      <c r="O4654">
        <f>HYPERLINK("https://dart.fss.or.kr/dsaf001/main.do?rcpNo=20240805800529", "공시열람")</f>
        <v/>
      </c>
    </row>
    <row r="4655">
      <c r="A4655" t="inlineStr">
        <is>
          <t>2024-08-05</t>
        </is>
      </c>
      <c r="B4655" t="inlineStr">
        <is>
          <t>녹십자</t>
        </is>
      </c>
      <c r="C4655" t="inlineStr">
        <is>
          <t>006280</t>
        </is>
      </c>
      <c r="D4655" t="inlineStr">
        <is>
          <t>연결</t>
        </is>
      </c>
      <c r="E4655" t="inlineStr">
        <is>
          <t>2024Q2</t>
        </is>
      </c>
      <c r="F4655" s="2" t="n">
        <v>417400</v>
      </c>
      <c r="G4655" t="n">
        <v>17</v>
      </c>
      <c r="H4655" t="n">
        <v>-3.6</v>
      </c>
      <c r="I4655" s="2" t="n">
        <v>17600</v>
      </c>
      <c r="J4655" t="inlineStr"/>
      <c r="K4655" t="n">
        <v>-25.5</v>
      </c>
      <c r="L4655" s="2" t="n">
        <v>-9100</v>
      </c>
      <c r="M4655" t="inlineStr"/>
      <c r="N4655" t="inlineStr">
        <is>
          <t>20240805800573</t>
        </is>
      </c>
      <c r="O4655">
        <f>HYPERLINK("https://dart.fss.or.kr/dsaf001/main.do?rcpNo=20240805800573", "공시열람")</f>
        <v/>
      </c>
    </row>
    <row r="4656">
      <c r="A4656" t="inlineStr">
        <is>
          <t>2024-08-05</t>
        </is>
      </c>
      <c r="B4656" t="inlineStr">
        <is>
          <t>조이시티</t>
        </is>
      </c>
      <c r="C4656" t="inlineStr">
        <is>
          <t>067000</t>
        </is>
      </c>
      <c r="D4656" t="inlineStr">
        <is>
          <t>연결</t>
        </is>
      </c>
      <c r="E4656" t="inlineStr">
        <is>
          <t>2024Q2</t>
        </is>
      </c>
      <c r="F4656" s="2" t="n">
        <v>36998</v>
      </c>
      <c r="G4656" t="inlineStr"/>
      <c r="H4656" t="inlineStr"/>
      <c r="I4656" s="2" t="n">
        <v>3180</v>
      </c>
      <c r="J4656" t="inlineStr"/>
      <c r="K4656" t="inlineStr"/>
      <c r="L4656" s="2" t="n">
        <v>1960</v>
      </c>
      <c r="M4656" t="inlineStr"/>
      <c r="N4656" t="inlineStr">
        <is>
          <t>20240805900565</t>
        </is>
      </c>
      <c r="O4656">
        <f>HYPERLINK("https://dart.fss.or.kr/dsaf001/main.do?rcpNo=20240805900565", "공시열람")</f>
        <v/>
      </c>
    </row>
    <row r="4657">
      <c r="A4657" t="inlineStr">
        <is>
          <t>2024-08-05</t>
        </is>
      </c>
      <c r="B4657" t="inlineStr">
        <is>
          <t>녹십자웰빙</t>
        </is>
      </c>
      <c r="C4657" t="inlineStr">
        <is>
          <t>234690</t>
        </is>
      </c>
      <c r="D4657" t="inlineStr">
        <is>
          <t>연결</t>
        </is>
      </c>
      <c r="E4657" t="inlineStr">
        <is>
          <t>2024Q2</t>
        </is>
      </c>
      <c r="F4657" s="2" t="n">
        <v>32648</v>
      </c>
      <c r="G4657" t="inlineStr"/>
      <c r="H4657" t="inlineStr"/>
      <c r="I4657" s="2" t="n">
        <v>4029</v>
      </c>
      <c r="J4657" t="inlineStr"/>
      <c r="K4657" t="inlineStr"/>
      <c r="L4657" s="2" t="n">
        <v>2913</v>
      </c>
      <c r="M4657" t="inlineStr"/>
      <c r="N4657" t="inlineStr">
        <is>
          <t>20240805900581</t>
        </is>
      </c>
      <c r="O4657">
        <f>HYPERLINK("https://dart.fss.or.kr/dsaf001/main.do?rcpNo=20240805900581", "공시열람")</f>
        <v/>
      </c>
    </row>
    <row r="4658">
      <c r="A4658" t="inlineStr">
        <is>
          <t>2024-08-05</t>
        </is>
      </c>
      <c r="B4658" t="inlineStr">
        <is>
          <t>한국금융지주</t>
        </is>
      </c>
      <c r="C4658" t="inlineStr">
        <is>
          <t>071050</t>
        </is>
      </c>
      <c r="D4658" t="inlineStr">
        <is>
          <t>연결</t>
        </is>
      </c>
      <c r="E4658" t="inlineStr">
        <is>
          <t>2024Q2</t>
        </is>
      </c>
      <c r="F4658" s="2" t="n">
        <v>5755455</v>
      </c>
      <c r="G4658" t="n">
        <v>-13.86</v>
      </c>
      <c r="H4658" t="n">
        <v>-0.85</v>
      </c>
      <c r="I4658" s="2" t="n">
        <v>299472</v>
      </c>
      <c r="J4658" t="n">
        <v>-21.5</v>
      </c>
      <c r="K4658" t="n">
        <v>17.14</v>
      </c>
      <c r="L4658" s="2" t="n">
        <v>281136</v>
      </c>
      <c r="M4658" t="n">
        <v>27.76</v>
      </c>
      <c r="N4658" t="inlineStr">
        <is>
          <t>20240805800609</t>
        </is>
      </c>
      <c r="O4658">
        <f>HYPERLINK("https://dart.fss.or.kr/dsaf001/main.do?rcpNo=20240805800609", "공시열람")</f>
        <v/>
      </c>
    </row>
    <row r="4659">
      <c r="A4659" t="inlineStr">
        <is>
          <t>2024-08-05</t>
        </is>
      </c>
      <c r="B4659" t="inlineStr">
        <is>
          <t>한국금융지주</t>
        </is>
      </c>
      <c r="C4659" t="inlineStr">
        <is>
          <t>071050</t>
        </is>
      </c>
      <c r="D4659" t="inlineStr">
        <is>
          <t>연결</t>
        </is>
      </c>
      <c r="E4659" t="inlineStr">
        <is>
          <t>2024Q2</t>
        </is>
      </c>
      <c r="F4659" s="2" t="n">
        <v>5306666</v>
      </c>
      <c r="G4659" t="n">
        <v>-15.04</v>
      </c>
      <c r="H4659" t="n">
        <v>-0.52</v>
      </c>
      <c r="I4659" s="2" t="n">
        <v>383350</v>
      </c>
      <c r="J4659" t="n">
        <v>-2.17</v>
      </c>
      <c r="K4659" t="n">
        <v>140.2</v>
      </c>
      <c r="L4659" s="2" t="n">
        <v>342196</v>
      </c>
      <c r="M4659" t="n">
        <v>102.5</v>
      </c>
      <c r="N4659" t="inlineStr">
        <is>
          <t>20240805800622</t>
        </is>
      </c>
      <c r="O4659">
        <f>HYPERLINK("https://dart.fss.or.kr/dsaf001/main.do?rcpNo=20240805800622", "공시열람")</f>
        <v/>
      </c>
    </row>
    <row r="4660">
      <c r="A4660" t="inlineStr">
        <is>
          <t>2024-08-05</t>
        </is>
      </c>
      <c r="B4660" t="inlineStr">
        <is>
          <t>현대퓨처넷</t>
        </is>
      </c>
      <c r="C4660" t="inlineStr">
        <is>
          <t>126560</t>
        </is>
      </c>
      <c r="D4660" t="inlineStr">
        <is>
          <t>연결</t>
        </is>
      </c>
      <c r="E4660" t="inlineStr">
        <is>
          <t>2024Q2</t>
        </is>
      </c>
      <c r="F4660" s="2" t="n">
        <v>47397</v>
      </c>
      <c r="G4660" t="n">
        <v>9.199999999999999</v>
      </c>
      <c r="H4660" t="n">
        <v>-0.8</v>
      </c>
      <c r="I4660" s="2" t="n">
        <v>3765</v>
      </c>
      <c r="J4660" t="n">
        <v>70.2</v>
      </c>
      <c r="K4660" t="n">
        <v>27.4</v>
      </c>
      <c r="L4660" s="2" t="n">
        <v>4525</v>
      </c>
      <c r="M4660" t="n">
        <v>-2.2</v>
      </c>
      <c r="N4660" t="inlineStr">
        <is>
          <t>20240805800624</t>
        </is>
      </c>
      <c r="O4660">
        <f>HYPERLINK("https://dart.fss.or.kr/dsaf001/main.do?rcpNo=20240805800624", "공시열람")</f>
        <v/>
      </c>
    </row>
    <row r="4661">
      <c r="A4661" t="inlineStr">
        <is>
          <t>2024-08-05</t>
        </is>
      </c>
      <c r="B4661" t="inlineStr">
        <is>
          <t>이녹스첨단소재</t>
        </is>
      </c>
      <c r="C4661" t="inlineStr">
        <is>
          <t>272290</t>
        </is>
      </c>
      <c r="D4661" t="inlineStr">
        <is>
          <t>연결</t>
        </is>
      </c>
      <c r="E4661" t="inlineStr">
        <is>
          <t>2024Q2</t>
        </is>
      </c>
      <c r="F4661" s="2" t="n">
        <v>115731</v>
      </c>
      <c r="G4661" t="inlineStr"/>
      <c r="H4661" t="inlineStr"/>
      <c r="I4661" s="2" t="n">
        <v>27614</v>
      </c>
      <c r="J4661" t="inlineStr"/>
      <c r="K4661" t="inlineStr"/>
      <c r="L4661" s="2" t="n">
        <v>18605</v>
      </c>
      <c r="M4661" t="inlineStr"/>
      <c r="N4661" t="inlineStr">
        <is>
          <t>20240805900097</t>
        </is>
      </c>
      <c r="O4661">
        <f>HYPERLINK("https://dart.fss.or.kr/dsaf001/main.do?rcpNo=20240805900097", "공시열람")</f>
        <v/>
      </c>
    </row>
    <row r="4662">
      <c r="A4662" t="inlineStr">
        <is>
          <t>2024-08-05</t>
        </is>
      </c>
      <c r="B4662" t="inlineStr">
        <is>
          <t>신세계I&amp;C</t>
        </is>
      </c>
      <c r="C4662" t="inlineStr">
        <is>
          <t>035510</t>
        </is>
      </c>
      <c r="D4662" t="inlineStr">
        <is>
          <t>연결</t>
        </is>
      </c>
      <c r="E4662" t="inlineStr">
        <is>
          <t>2024Q2</t>
        </is>
      </c>
      <c r="F4662" s="2" t="n">
        <v>144794</v>
      </c>
      <c r="G4662" t="n">
        <v>-7.83</v>
      </c>
      <c r="H4662" t="n">
        <v>-8.550000000000001</v>
      </c>
      <c r="I4662" s="2" t="n">
        <v>10507</v>
      </c>
      <c r="J4662" t="n">
        <v>47.12</v>
      </c>
      <c r="K4662" t="n">
        <v>-5.23</v>
      </c>
      <c r="L4662" s="2" t="n">
        <v>9481</v>
      </c>
      <c r="M4662" t="n">
        <v>4.21</v>
      </c>
      <c r="N4662" t="inlineStr">
        <is>
          <t>20240805800644</t>
        </is>
      </c>
      <c r="O4662">
        <f>HYPERLINK("https://dart.fss.or.kr/dsaf001/main.do?rcpNo=20240805800644", "공시열람")</f>
        <v/>
      </c>
    </row>
    <row r="4663">
      <c r="A4663" t="inlineStr">
        <is>
          <t>2024-08-05</t>
        </is>
      </c>
      <c r="B4663" t="inlineStr">
        <is>
          <t>녹십자엠에스</t>
        </is>
      </c>
      <c r="C4663" t="inlineStr">
        <is>
          <t>142280</t>
        </is>
      </c>
      <c r="D4663" t="inlineStr">
        <is>
          <t>연결</t>
        </is>
      </c>
      <c r="E4663" t="inlineStr">
        <is>
          <t>2024Q2</t>
        </is>
      </c>
      <c r="F4663" s="2" t="n">
        <v>25478</v>
      </c>
      <c r="G4663" t="inlineStr"/>
      <c r="H4663" t="inlineStr"/>
      <c r="I4663" s="2" t="n">
        <v>355</v>
      </c>
      <c r="J4663" t="inlineStr"/>
      <c r="K4663" t="inlineStr"/>
      <c r="L4663" s="2" t="n">
        <v>-173</v>
      </c>
      <c r="M4663" t="inlineStr"/>
      <c r="N4663" t="inlineStr">
        <is>
          <t>20240805900846</t>
        </is>
      </c>
      <c r="O4663">
        <f>HYPERLINK("https://dart.fss.or.kr/dsaf001/main.do?rcpNo=20240805900846", "공시열람")</f>
        <v/>
      </c>
    </row>
    <row r="4664">
      <c r="A4664" t="inlineStr">
        <is>
          <t>2024-08-05</t>
        </is>
      </c>
      <c r="B4664" t="inlineStr">
        <is>
          <t>파크시스템스</t>
        </is>
      </c>
      <c r="C4664" t="inlineStr">
        <is>
          <t>140860</t>
        </is>
      </c>
      <c r="D4664" t="inlineStr">
        <is>
          <t>연결</t>
        </is>
      </c>
      <c r="E4664" t="inlineStr">
        <is>
          <t>2024Q2</t>
        </is>
      </c>
      <c r="F4664" s="2" t="n">
        <v>44697</v>
      </c>
      <c r="G4664" t="inlineStr"/>
      <c r="H4664" t="inlineStr"/>
      <c r="I4664" s="2" t="n">
        <v>12695</v>
      </c>
      <c r="J4664" t="inlineStr"/>
      <c r="K4664" t="inlineStr"/>
      <c r="L4664" s="2" t="inlineStr"/>
      <c r="M4664" t="inlineStr"/>
      <c r="N4664" t="inlineStr">
        <is>
          <t>20240805900799</t>
        </is>
      </c>
      <c r="O4664">
        <f>HYPERLINK("https://dart.fss.or.kr/dsaf001/main.do?rcpNo=20240805900799", "공시열람")</f>
        <v/>
      </c>
    </row>
    <row r="4665">
      <c r="A4665" t="inlineStr">
        <is>
          <t>2024-08-02</t>
        </is>
      </c>
      <c r="B4665" t="inlineStr">
        <is>
          <t>뷰웍스</t>
        </is>
      </c>
      <c r="C4665" t="inlineStr">
        <is>
          <t>100120</t>
        </is>
      </c>
      <c r="D4665" t="inlineStr">
        <is>
          <t>연결</t>
        </is>
      </c>
      <c r="E4665" t="inlineStr">
        <is>
          <t>2024Q2</t>
        </is>
      </c>
      <c r="F4665" s="2" t="n">
        <v>54224</v>
      </c>
      <c r="G4665" t="inlineStr"/>
      <c r="H4665" t="inlineStr"/>
      <c r="I4665" s="2" t="n">
        <v>3757</v>
      </c>
      <c r="J4665" t="inlineStr"/>
      <c r="K4665" t="inlineStr"/>
      <c r="L4665" s="2" t="inlineStr"/>
      <c r="M4665" t="inlineStr"/>
      <c r="N4665" t="inlineStr">
        <is>
          <t>20240802900141</t>
        </is>
      </c>
      <c r="O4665">
        <f>HYPERLINK("https://dart.fss.or.kr/dsaf001/main.do?rcpNo=20240802900141", "공시열람")</f>
        <v/>
      </c>
    </row>
    <row r="4666">
      <c r="A4666" t="inlineStr">
        <is>
          <t>2024-08-02</t>
        </is>
      </c>
      <c r="B4666" t="inlineStr">
        <is>
          <t>인크로스</t>
        </is>
      </c>
      <c r="C4666" t="inlineStr">
        <is>
          <t>216050</t>
        </is>
      </c>
      <c r="D4666" t="inlineStr">
        <is>
          <t>연결</t>
        </is>
      </c>
      <c r="E4666" t="inlineStr">
        <is>
          <t>2024Q2</t>
        </is>
      </c>
      <c r="F4666" s="2" t="n">
        <v>10006</v>
      </c>
      <c r="G4666" t="inlineStr"/>
      <c r="H4666" t="inlineStr"/>
      <c r="I4666" s="2" t="n">
        <v>582</v>
      </c>
      <c r="J4666" t="inlineStr"/>
      <c r="K4666" t="inlineStr"/>
      <c r="L4666" s="2" t="n">
        <v>936</v>
      </c>
      <c r="M4666" t="inlineStr"/>
      <c r="N4666" t="inlineStr">
        <is>
          <t>20240802900406</t>
        </is>
      </c>
      <c r="O4666">
        <f>HYPERLINK("https://dart.fss.or.kr/dsaf001/main.do?rcpNo=20240802900406", "공시열람")</f>
        <v/>
      </c>
    </row>
    <row r="4667">
      <c r="A4667" t="inlineStr">
        <is>
          <t>2024-08-02</t>
        </is>
      </c>
      <c r="B4667" t="inlineStr">
        <is>
          <t>인크로스</t>
        </is>
      </c>
      <c r="C4667" t="inlineStr">
        <is>
          <t>216050</t>
        </is>
      </c>
      <c r="D4667" t="inlineStr">
        <is>
          <t>별도</t>
        </is>
      </c>
      <c r="E4667" t="inlineStr">
        <is>
          <t>2024Q2</t>
        </is>
      </c>
      <c r="F4667" s="2" t="n">
        <v>8617</v>
      </c>
      <c r="G4667" t="inlineStr"/>
      <c r="H4667" t="inlineStr"/>
      <c r="I4667" s="2" t="n">
        <v>384</v>
      </c>
      <c r="J4667" t="inlineStr"/>
      <c r="K4667" t="inlineStr"/>
      <c r="L4667" s="2" t="n">
        <v>816</v>
      </c>
      <c r="M4667" t="inlineStr"/>
      <c r="N4667" t="inlineStr">
        <is>
          <t>20240802900402</t>
        </is>
      </c>
      <c r="O4667">
        <f>HYPERLINK("https://dart.fss.or.kr/dsaf001/main.do?rcpNo=20240802900402", "공시열람")</f>
        <v/>
      </c>
    </row>
    <row r="4668">
      <c r="A4668" t="inlineStr">
        <is>
          <t>2024-08-02</t>
        </is>
      </c>
      <c r="B4668" t="inlineStr">
        <is>
          <t>세이브존I&amp;C</t>
        </is>
      </c>
      <c r="C4668" t="inlineStr">
        <is>
          <t>067830</t>
        </is>
      </c>
      <c r="D4668" t="inlineStr">
        <is>
          <t>별도</t>
        </is>
      </c>
      <c r="E4668" t="inlineStr">
        <is>
          <t>2024Q2</t>
        </is>
      </c>
      <c r="F4668" s="2" t="n">
        <v>30059</v>
      </c>
      <c r="G4668" t="inlineStr"/>
      <c r="H4668" t="inlineStr"/>
      <c r="I4668" s="2" t="n">
        <v>4108</v>
      </c>
      <c r="J4668" t="inlineStr"/>
      <c r="K4668" t="inlineStr"/>
      <c r="L4668" s="2" t="n">
        <v>4614</v>
      </c>
      <c r="M4668" t="inlineStr"/>
      <c r="N4668" t="inlineStr">
        <is>
          <t>20240802800373</t>
        </is>
      </c>
      <c r="O4668">
        <f>HYPERLINK("https://dart.fss.or.kr/dsaf001/main.do?rcpNo=20240802800373", "공시열람")</f>
        <v/>
      </c>
    </row>
    <row r="4669">
      <c r="A4669" t="inlineStr">
        <is>
          <t>2024-08-02</t>
        </is>
      </c>
      <c r="B4669" t="inlineStr">
        <is>
          <t>네오팜</t>
        </is>
      </c>
      <c r="C4669" t="inlineStr">
        <is>
          <t>092730</t>
        </is>
      </c>
      <c r="D4669" t="inlineStr">
        <is>
          <t>연결</t>
        </is>
      </c>
      <c r="E4669" t="inlineStr">
        <is>
          <t>2024Q2</t>
        </is>
      </c>
      <c r="F4669" s="2" t="n">
        <v>30620</v>
      </c>
      <c r="G4669" t="inlineStr"/>
      <c r="H4669" t="inlineStr"/>
      <c r="I4669" s="2" t="n">
        <v>6106</v>
      </c>
      <c r="J4669" t="inlineStr"/>
      <c r="K4669" t="inlineStr"/>
      <c r="L4669" s="2" t="n">
        <v>5882</v>
      </c>
      <c r="M4669" t="inlineStr"/>
      <c r="N4669" t="inlineStr">
        <is>
          <t>20240802900359</t>
        </is>
      </c>
      <c r="O4669">
        <f>HYPERLINK("https://dart.fss.or.kr/dsaf001/main.do?rcpNo=20240802900359", "공시열람")</f>
        <v/>
      </c>
    </row>
    <row r="4670">
      <c r="A4670" t="inlineStr">
        <is>
          <t>2024-08-02</t>
        </is>
      </c>
      <c r="B4670" t="inlineStr">
        <is>
          <t>티케이지휴켐스</t>
        </is>
      </c>
      <c r="C4670" t="inlineStr">
        <is>
          <t>069260</t>
        </is>
      </c>
      <c r="D4670" t="inlineStr">
        <is>
          <t>연결</t>
        </is>
      </c>
      <c r="E4670" t="inlineStr">
        <is>
          <t>2024Q2</t>
        </is>
      </c>
      <c r="F4670" s="2" t="n">
        <v>280723</v>
      </c>
      <c r="G4670" t="n">
        <v>-6.7</v>
      </c>
      <c r="H4670" t="n">
        <v>0.3</v>
      </c>
      <c r="I4670" s="2" t="n">
        <v>21485</v>
      </c>
      <c r="J4670" t="n">
        <v>-31.9</v>
      </c>
      <c r="K4670" t="n">
        <v>-50.9</v>
      </c>
      <c r="L4670" s="2" t="n">
        <v>21411</v>
      </c>
      <c r="M4670" t="n">
        <v>-46.9</v>
      </c>
      <c r="N4670" t="inlineStr">
        <is>
          <t>20240802800318</t>
        </is>
      </c>
      <c r="O4670">
        <f>HYPERLINK("https://dart.fss.or.kr/dsaf001/main.do?rcpNo=20240802800318", "공시열람")</f>
        <v/>
      </c>
    </row>
    <row r="4671">
      <c r="A4671" t="inlineStr">
        <is>
          <t>2024-08-02</t>
        </is>
      </c>
      <c r="B4671" t="inlineStr">
        <is>
          <t>씨앤씨인터내셔널</t>
        </is>
      </c>
      <c r="C4671" t="inlineStr">
        <is>
          <t>352480</t>
        </is>
      </c>
      <c r="D4671" t="inlineStr">
        <is>
          <t>연결</t>
        </is>
      </c>
      <c r="E4671" t="inlineStr">
        <is>
          <t>2024Q2</t>
        </is>
      </c>
      <c r="F4671" s="2" t="n">
        <v>80338</v>
      </c>
      <c r="G4671" t="inlineStr"/>
      <c r="H4671" t="inlineStr"/>
      <c r="I4671" s="2" t="n">
        <v>11822</v>
      </c>
      <c r="J4671" t="inlineStr"/>
      <c r="K4671" t="inlineStr"/>
      <c r="L4671" s="2" t="n">
        <v>17784</v>
      </c>
      <c r="M4671" t="inlineStr"/>
      <c r="N4671" t="inlineStr">
        <is>
          <t>20240802900085</t>
        </is>
      </c>
      <c r="O4671">
        <f>HYPERLINK("https://dart.fss.or.kr/dsaf001/main.do?rcpNo=20240802900085", "공시열람")</f>
        <v/>
      </c>
    </row>
    <row r="4672">
      <c r="A4672" t="inlineStr">
        <is>
          <t>2024-08-02</t>
        </is>
      </c>
      <c r="B4672" t="inlineStr">
        <is>
          <t>웅진씽크빅</t>
        </is>
      </c>
      <c r="C4672" t="inlineStr">
        <is>
          <t>095720</t>
        </is>
      </c>
      <c r="D4672" t="inlineStr">
        <is>
          <t>연결</t>
        </is>
      </c>
      <c r="E4672" t="inlineStr">
        <is>
          <t>2024Q2</t>
        </is>
      </c>
      <c r="F4672" s="2" t="n">
        <v>220998</v>
      </c>
      <c r="G4672" t="n">
        <v>2.2</v>
      </c>
      <c r="H4672" t="n">
        <v>-0.8</v>
      </c>
      <c r="I4672" s="2" t="n">
        <v>6594</v>
      </c>
      <c r="J4672" t="inlineStr"/>
      <c r="K4672" t="n">
        <v>39.6</v>
      </c>
      <c r="L4672" s="2" t="n">
        <v>1863</v>
      </c>
      <c r="M4672" t="n">
        <v>-53.7</v>
      </c>
      <c r="N4672" t="inlineStr">
        <is>
          <t>20240802800562</t>
        </is>
      </c>
      <c r="O4672">
        <f>HYPERLINK("https://dart.fss.or.kr/dsaf001/main.do?rcpNo=20240802800562", "공시열람")</f>
        <v/>
      </c>
    </row>
    <row r="4673">
      <c r="A4673" t="inlineStr">
        <is>
          <t>2024-08-02</t>
        </is>
      </c>
      <c r="B4673" t="inlineStr">
        <is>
          <t>파라다이스</t>
        </is>
      </c>
      <c r="C4673" t="inlineStr">
        <is>
          <t>034230</t>
        </is>
      </c>
      <c r="D4673" t="inlineStr">
        <is>
          <t>연결</t>
        </is>
      </c>
      <c r="E4673" t="inlineStr">
        <is>
          <t>2024Q2</t>
        </is>
      </c>
      <c r="F4673" s="2" t="inlineStr"/>
      <c r="G4673" t="inlineStr"/>
      <c r="H4673" t="inlineStr"/>
      <c r="I4673" s="2" t="inlineStr"/>
      <c r="J4673" t="inlineStr"/>
      <c r="K4673" t="inlineStr"/>
      <c r="L4673" s="2" t="inlineStr"/>
      <c r="M4673" t="inlineStr"/>
      <c r="N4673" t="inlineStr">
        <is>
          <t>20240802800129</t>
        </is>
      </c>
      <c r="O4673">
        <f>HYPERLINK("https://dart.fss.or.kr/dsaf001/main.do?rcpNo=20240802800129", "공시열람")</f>
        <v/>
      </c>
    </row>
    <row r="4674">
      <c r="A4674" t="inlineStr">
        <is>
          <t>2024-08-02</t>
        </is>
      </c>
      <c r="B4674" t="inlineStr">
        <is>
          <t>중앙백신</t>
        </is>
      </c>
      <c r="C4674" t="inlineStr">
        <is>
          <t>072020</t>
        </is>
      </c>
      <c r="D4674" t="inlineStr">
        <is>
          <t>별도</t>
        </is>
      </c>
      <c r="E4674" t="inlineStr">
        <is>
          <t>2024Q2</t>
        </is>
      </c>
      <c r="F4674" s="2" t="n">
        <v>12296</v>
      </c>
      <c r="G4674" t="inlineStr"/>
      <c r="H4674" t="inlineStr"/>
      <c r="I4674" s="2" t="n">
        <v>2018</v>
      </c>
      <c r="J4674" t="inlineStr"/>
      <c r="K4674" t="inlineStr"/>
      <c r="L4674" s="2" t="n">
        <v>2071</v>
      </c>
      <c r="M4674" t="inlineStr"/>
      <c r="N4674" t="inlineStr">
        <is>
          <t>20240802900140</t>
        </is>
      </c>
      <c r="O4674">
        <f>HYPERLINK("https://dart.fss.or.kr/dsaf001/main.do?rcpNo=20240802900140", "공시열람")</f>
        <v/>
      </c>
    </row>
    <row r="4675">
      <c r="A4675" t="inlineStr">
        <is>
          <t>2024-08-02</t>
        </is>
      </c>
      <c r="B4675" t="inlineStr">
        <is>
          <t>금호석유화학</t>
        </is>
      </c>
      <c r="C4675" t="inlineStr">
        <is>
          <t>011780</t>
        </is>
      </c>
      <c r="D4675" t="inlineStr">
        <is>
          <t>연결</t>
        </is>
      </c>
      <c r="E4675" t="inlineStr">
        <is>
          <t>2024Q2</t>
        </is>
      </c>
      <c r="F4675" s="2" t="n">
        <v>1852493</v>
      </c>
      <c r="G4675" t="n">
        <v>11.1</v>
      </c>
      <c r="H4675" t="n">
        <v>17.4</v>
      </c>
      <c r="I4675" s="2" t="n">
        <v>119148</v>
      </c>
      <c r="J4675" t="n">
        <v>51.6</v>
      </c>
      <c r="K4675" t="n">
        <v>10.7</v>
      </c>
      <c r="L4675" s="2" t="n">
        <v>131559</v>
      </c>
      <c r="M4675" t="n">
        <v>15.9</v>
      </c>
      <c r="N4675" t="inlineStr">
        <is>
          <t>20240802800177</t>
        </is>
      </c>
      <c r="O4675">
        <f>HYPERLINK("https://dart.fss.or.kr/dsaf001/main.do?rcpNo=20240802800177", "공시열람")</f>
        <v/>
      </c>
    </row>
    <row r="4676">
      <c r="A4676" t="inlineStr">
        <is>
          <t>2024-08-02</t>
        </is>
      </c>
      <c r="B4676" t="inlineStr">
        <is>
          <t>케어젠</t>
        </is>
      </c>
      <c r="C4676" t="inlineStr">
        <is>
          <t>214370</t>
        </is>
      </c>
      <c r="D4676" t="inlineStr">
        <is>
          <t>연결</t>
        </is>
      </c>
      <c r="E4676" t="inlineStr">
        <is>
          <t>2024Q2</t>
        </is>
      </c>
      <c r="F4676" s="2" t="n">
        <v>20462</v>
      </c>
      <c r="G4676" t="inlineStr"/>
      <c r="H4676" t="inlineStr"/>
      <c r="I4676" s="2" t="n">
        <v>6180</v>
      </c>
      <c r="J4676" t="inlineStr"/>
      <c r="K4676" t="inlineStr"/>
      <c r="L4676" s="2" t="n">
        <v>6028</v>
      </c>
      <c r="M4676" t="inlineStr"/>
      <c r="N4676" t="inlineStr">
        <is>
          <t>20240802900146</t>
        </is>
      </c>
      <c r="O4676">
        <f>HYPERLINK("https://dart.fss.or.kr/dsaf001/main.do?rcpNo=20240802900146", "공시열람")</f>
        <v/>
      </c>
    </row>
    <row r="4677">
      <c r="A4677" t="inlineStr">
        <is>
          <t>2024-08-02</t>
        </is>
      </c>
      <c r="B4677" t="inlineStr">
        <is>
          <t>메가스터디교육</t>
        </is>
      </c>
      <c r="C4677" t="inlineStr">
        <is>
          <t>215200</t>
        </is>
      </c>
      <c r="D4677" t="inlineStr">
        <is>
          <t>연결</t>
        </is>
      </c>
      <c r="E4677" t="inlineStr">
        <is>
          <t>2024Q2</t>
        </is>
      </c>
      <c r="F4677" s="2" t="n">
        <v>214424</v>
      </c>
      <c r="G4677" t="inlineStr"/>
      <c r="H4677" t="inlineStr"/>
      <c r="I4677" s="2" t="n">
        <v>32093</v>
      </c>
      <c r="J4677" t="inlineStr"/>
      <c r="K4677" t="inlineStr"/>
      <c r="L4677" s="2" t="n">
        <v>22980</v>
      </c>
      <c r="M4677" t="inlineStr"/>
      <c r="N4677" t="inlineStr">
        <is>
          <t>20240802900459</t>
        </is>
      </c>
      <c r="O4677">
        <f>HYPERLINK("https://dart.fss.or.kr/dsaf001/main.do?rcpNo=20240802900459", "공시열람")</f>
        <v/>
      </c>
    </row>
    <row r="4678">
      <c r="A4678" t="inlineStr">
        <is>
          <t>2024-08-02</t>
        </is>
      </c>
      <c r="B4678" t="inlineStr">
        <is>
          <t>롯데이노베이트</t>
        </is>
      </c>
      <c r="C4678" t="inlineStr">
        <is>
          <t>286940</t>
        </is>
      </c>
      <c r="D4678" t="inlineStr">
        <is>
          <t>연결</t>
        </is>
      </c>
      <c r="E4678" t="inlineStr">
        <is>
          <t>2024Q2</t>
        </is>
      </c>
      <c r="F4678" s="2" t="n">
        <v>286541</v>
      </c>
      <c r="G4678" t="n">
        <v>3.6</v>
      </c>
      <c r="H4678" t="n">
        <v>0.7</v>
      </c>
      <c r="I4678" s="2" t="n">
        <v>5843</v>
      </c>
      <c r="J4678" t="n">
        <v>-34.7</v>
      </c>
      <c r="K4678" t="n">
        <v>-46.5</v>
      </c>
      <c r="L4678" s="2" t="n">
        <v>2382</v>
      </c>
      <c r="M4678" t="n">
        <v>-66.3</v>
      </c>
      <c r="N4678" t="inlineStr">
        <is>
          <t>20240802800382</t>
        </is>
      </c>
      <c r="O4678">
        <f>HYPERLINK("https://dart.fss.or.kr/dsaf001/main.do?rcpNo=20240802800382", "공시열람")</f>
        <v/>
      </c>
    </row>
    <row r="4679">
      <c r="A4679" t="inlineStr">
        <is>
          <t>2024-08-02</t>
        </is>
      </c>
      <c r="B4679" t="inlineStr">
        <is>
          <t>DB</t>
        </is>
      </c>
      <c r="C4679" t="inlineStr">
        <is>
          <t>012030</t>
        </is>
      </c>
      <c r="D4679" t="inlineStr">
        <is>
          <t>연결</t>
        </is>
      </c>
      <c r="E4679" t="inlineStr">
        <is>
          <t>2024Q2</t>
        </is>
      </c>
      <c r="F4679" s="2" t="n">
        <v>153621</v>
      </c>
      <c r="G4679" t="n">
        <v>29.2</v>
      </c>
      <c r="H4679" t="n">
        <v>62</v>
      </c>
      <c r="I4679" s="2" t="n">
        <v>9396</v>
      </c>
      <c r="J4679" t="n">
        <v>21.1</v>
      </c>
      <c r="K4679" t="n">
        <v>42.9</v>
      </c>
      <c r="L4679" s="2" t="n">
        <v>15027</v>
      </c>
      <c r="M4679" t="n">
        <v>145.1</v>
      </c>
      <c r="N4679" t="inlineStr">
        <is>
          <t>20240802800369</t>
        </is>
      </c>
      <c r="O4679">
        <f>HYPERLINK("https://dart.fss.or.kr/dsaf001/main.do?rcpNo=20240802800369", "공시열람")</f>
        <v/>
      </c>
    </row>
    <row r="4680">
      <c r="A4680" t="inlineStr">
        <is>
          <t>2024-08-02</t>
        </is>
      </c>
      <c r="B4680" t="inlineStr">
        <is>
          <t>JW생명과학</t>
        </is>
      </c>
      <c r="C4680" t="inlineStr">
        <is>
          <t>234080</t>
        </is>
      </c>
      <c r="D4680" t="inlineStr">
        <is>
          <t>별도</t>
        </is>
      </c>
      <c r="E4680" t="inlineStr">
        <is>
          <t>2024Q2</t>
        </is>
      </c>
      <c r="F4680" s="2" t="n">
        <v>54087</v>
      </c>
      <c r="G4680" t="n">
        <v>-1.19</v>
      </c>
      <c r="H4680" t="n">
        <v>6.1</v>
      </c>
      <c r="I4680" s="2" t="n">
        <v>8424</v>
      </c>
      <c r="J4680" t="n">
        <v>1.03</v>
      </c>
      <c r="K4680" t="n">
        <v>10.9</v>
      </c>
      <c r="L4680" s="2" t="n">
        <v>7286</v>
      </c>
      <c r="M4680" t="n">
        <v>58.25</v>
      </c>
      <c r="N4680" t="inlineStr">
        <is>
          <t>20240802800278</t>
        </is>
      </c>
      <c r="O4680">
        <f>HYPERLINK("https://dart.fss.or.kr/dsaf001/main.do?rcpNo=20240802800278", "공시열람")</f>
        <v/>
      </c>
    </row>
    <row r="4681">
      <c r="A4681" t="inlineStr">
        <is>
          <t>2024-08-02</t>
        </is>
      </c>
      <c r="B4681" t="inlineStr">
        <is>
          <t>한화</t>
        </is>
      </c>
      <c r="C4681" t="inlineStr">
        <is>
          <t>000880</t>
        </is>
      </c>
      <c r="D4681" t="inlineStr">
        <is>
          <t>별도</t>
        </is>
      </c>
      <c r="E4681" t="inlineStr">
        <is>
          <t>2024Q2</t>
        </is>
      </c>
      <c r="F4681" s="2" t="n">
        <v>1556499</v>
      </c>
      <c r="G4681" t="n">
        <v>-5.81</v>
      </c>
      <c r="H4681" t="n">
        <v>-13.78</v>
      </c>
      <c r="I4681" s="2" t="n">
        <v>-21731</v>
      </c>
      <c r="J4681" t="inlineStr"/>
      <c r="K4681" t="inlineStr"/>
      <c r="L4681" s="2" t="n">
        <v>-64537</v>
      </c>
      <c r="M4681" t="n">
        <v>-110.23</v>
      </c>
      <c r="N4681" t="inlineStr">
        <is>
          <t>20240802800159</t>
        </is>
      </c>
      <c r="O4681">
        <f>HYPERLINK("https://dart.fss.or.kr/dsaf001/main.do?rcpNo=20240802800159", "공시열람")</f>
        <v/>
      </c>
    </row>
    <row r="4682">
      <c r="A4682" t="inlineStr">
        <is>
          <t>2024-08-02</t>
        </is>
      </c>
      <c r="B4682" t="inlineStr">
        <is>
          <t>LX인터내셔널</t>
        </is>
      </c>
      <c r="C4682" t="inlineStr">
        <is>
          <t>001120</t>
        </is>
      </c>
      <c r="D4682" t="inlineStr">
        <is>
          <t>연결</t>
        </is>
      </c>
      <c r="E4682" t="inlineStr">
        <is>
          <t>2024Q2</t>
        </is>
      </c>
      <c r="F4682" s="2" t="n">
        <v>4073600</v>
      </c>
      <c r="G4682" t="n">
        <v>7.9</v>
      </c>
      <c r="H4682" t="n">
        <v>18.4</v>
      </c>
      <c r="I4682" s="2" t="n">
        <v>129600</v>
      </c>
      <c r="J4682" t="n">
        <v>17.1</v>
      </c>
      <c r="K4682" t="n">
        <v>0.3</v>
      </c>
      <c r="L4682" s="2" t="n">
        <v>113100</v>
      </c>
      <c r="M4682" t="n">
        <v>56.9</v>
      </c>
      <c r="N4682" t="inlineStr">
        <is>
          <t>20240802800163</t>
        </is>
      </c>
      <c r="O4682">
        <f>HYPERLINK("https://dart.fss.or.kr/dsaf001/main.do?rcpNo=20240802800163", "공시열람")</f>
        <v/>
      </c>
    </row>
    <row r="4683">
      <c r="A4683" t="inlineStr">
        <is>
          <t>2024-08-02</t>
        </is>
      </c>
      <c r="B4683" t="inlineStr">
        <is>
          <t>SK가스</t>
        </is>
      </c>
      <c r="C4683" t="inlineStr">
        <is>
          <t>018670</t>
        </is>
      </c>
      <c r="D4683" t="inlineStr">
        <is>
          <t>연결</t>
        </is>
      </c>
      <c r="E4683" t="inlineStr">
        <is>
          <t>2024Q2</t>
        </is>
      </c>
      <c r="F4683" s="2" t="n">
        <v>1651434</v>
      </c>
      <c r="G4683" t="n">
        <v>-4.3</v>
      </c>
      <c r="H4683" t="n">
        <v>10.5</v>
      </c>
      <c r="I4683" s="2" t="n">
        <v>46946</v>
      </c>
      <c r="J4683" t="n">
        <v>-37.1</v>
      </c>
      <c r="K4683" t="n">
        <v>-29.7</v>
      </c>
      <c r="L4683" s="2" t="n">
        <v>31515</v>
      </c>
      <c r="M4683" t="n">
        <v>1157.4</v>
      </c>
      <c r="N4683" t="inlineStr">
        <is>
          <t>20240802800205</t>
        </is>
      </c>
      <c r="O4683">
        <f>HYPERLINK("https://dart.fss.or.kr/dsaf001/main.do?rcpNo=20240802800205", "공시열람")</f>
        <v/>
      </c>
    </row>
    <row r="4684">
      <c r="A4684" t="inlineStr">
        <is>
          <t>2024-08-02</t>
        </is>
      </c>
      <c r="B4684" t="inlineStr">
        <is>
          <t>한독</t>
        </is>
      </c>
      <c r="C4684" t="inlineStr">
        <is>
          <t>002390</t>
        </is>
      </c>
      <c r="D4684" t="inlineStr">
        <is>
          <t>별도</t>
        </is>
      </c>
      <c r="E4684" t="inlineStr">
        <is>
          <t>2024Q2</t>
        </is>
      </c>
      <c r="F4684" s="2" t="n">
        <v>126804</v>
      </c>
      <c r="G4684" t="n">
        <v>0.1</v>
      </c>
      <c r="H4684" t="n">
        <v>-8.81</v>
      </c>
      <c r="I4684" s="2" t="n">
        <v>1703</v>
      </c>
      <c r="J4684" t="n">
        <v>-68.51000000000001</v>
      </c>
      <c r="K4684" t="n">
        <v>-66.16</v>
      </c>
      <c r="L4684" s="2" t="n">
        <v>-4604</v>
      </c>
      <c r="M4684" t="inlineStr"/>
      <c r="N4684" t="inlineStr">
        <is>
          <t>20240802800311</t>
        </is>
      </c>
      <c r="O4684">
        <f>HYPERLINK("https://dart.fss.or.kr/dsaf001/main.do?rcpNo=20240802800311", "공시열람")</f>
        <v/>
      </c>
    </row>
    <row r="4685">
      <c r="A4685" t="inlineStr">
        <is>
          <t>2024-08-02</t>
        </is>
      </c>
      <c r="B4685" t="inlineStr">
        <is>
          <t>롯데웰푸드</t>
        </is>
      </c>
      <c r="C4685" t="inlineStr">
        <is>
          <t>280360</t>
        </is>
      </c>
      <c r="D4685" t="inlineStr">
        <is>
          <t>연결</t>
        </is>
      </c>
      <c r="E4685" t="inlineStr">
        <is>
          <t>2024Q2</t>
        </is>
      </c>
      <c r="F4685" s="2" t="n">
        <v>1044196</v>
      </c>
      <c r="G4685" t="n">
        <v>9.800000000000001</v>
      </c>
      <c r="H4685" t="n">
        <v>0.3</v>
      </c>
      <c r="I4685" s="2" t="n">
        <v>63290</v>
      </c>
      <c r="J4685" t="n">
        <v>69.5</v>
      </c>
      <c r="K4685" t="n">
        <v>30.3</v>
      </c>
      <c r="L4685" s="2" t="n">
        <v>40710</v>
      </c>
      <c r="M4685" t="n">
        <v>227.9</v>
      </c>
      <c r="N4685" t="inlineStr">
        <is>
          <t>20240802800216</t>
        </is>
      </c>
      <c r="O4685">
        <f>HYPERLINK("https://dart.fss.or.kr/dsaf001/main.do?rcpNo=20240802800216", "공시열람")</f>
        <v/>
      </c>
    </row>
    <row r="4686">
      <c r="A4686" t="inlineStr">
        <is>
          <t>2024-08-02</t>
        </is>
      </c>
      <c r="B4686" t="inlineStr">
        <is>
          <t>동진쎄미켐</t>
        </is>
      </c>
      <c r="C4686" t="inlineStr">
        <is>
          <t>005290</t>
        </is>
      </c>
      <c r="D4686" t="inlineStr">
        <is>
          <t>연결</t>
        </is>
      </c>
      <c r="E4686" t="inlineStr">
        <is>
          <t>2024Q2</t>
        </is>
      </c>
      <c r="F4686" s="2" t="n">
        <v>355414</v>
      </c>
      <c r="G4686" t="inlineStr"/>
      <c r="H4686" t="inlineStr"/>
      <c r="I4686" s="2" t="n">
        <v>49972</v>
      </c>
      <c r="J4686" t="inlineStr"/>
      <c r="K4686" t="inlineStr"/>
      <c r="L4686" s="2" t="n">
        <v>43151</v>
      </c>
      <c r="M4686" t="inlineStr"/>
      <c r="N4686" t="inlineStr">
        <is>
          <t>20240802900210</t>
        </is>
      </c>
      <c r="O4686">
        <f>HYPERLINK("https://dart.fss.or.kr/dsaf001/main.do?rcpNo=20240802900210", "공시열람")</f>
        <v/>
      </c>
    </row>
    <row r="4687">
      <c r="A4687" t="inlineStr">
        <is>
          <t>2024-08-02</t>
        </is>
      </c>
      <c r="B4687" t="inlineStr">
        <is>
          <t>JW신약</t>
        </is>
      </c>
      <c r="C4687" t="inlineStr">
        <is>
          <t>067290</t>
        </is>
      </c>
      <c r="D4687" t="inlineStr">
        <is>
          <t>별도</t>
        </is>
      </c>
      <c r="E4687" t="inlineStr">
        <is>
          <t>2024Q2</t>
        </is>
      </c>
      <c r="F4687" s="2" t="n">
        <v>21631</v>
      </c>
      <c r="G4687" t="inlineStr"/>
      <c r="H4687" t="inlineStr"/>
      <c r="I4687" s="2" t="n">
        <v>1887</v>
      </c>
      <c r="J4687" t="inlineStr"/>
      <c r="K4687" t="inlineStr"/>
      <c r="L4687" s="2" t="n">
        <v>1196</v>
      </c>
      <c r="M4687" t="inlineStr"/>
      <c r="N4687" t="inlineStr">
        <is>
          <t>20240802900279</t>
        </is>
      </c>
      <c r="O4687">
        <f>HYPERLINK("https://dart.fss.or.kr/dsaf001/main.do?rcpNo=20240802900279", "공시열람")</f>
        <v/>
      </c>
    </row>
    <row r="4688">
      <c r="A4688" t="inlineStr">
        <is>
          <t>2024-08-02</t>
        </is>
      </c>
      <c r="B4688" t="inlineStr">
        <is>
          <t>한국석유공업</t>
        </is>
      </c>
      <c r="C4688" t="inlineStr">
        <is>
          <t>004090</t>
        </is>
      </c>
      <c r="D4688" t="inlineStr">
        <is>
          <t>연결</t>
        </is>
      </c>
      <c r="E4688" t="inlineStr">
        <is>
          <t>2024Q2</t>
        </is>
      </c>
      <c r="F4688" s="2" t="n">
        <v>198265</v>
      </c>
      <c r="G4688" t="n">
        <v>19.5</v>
      </c>
      <c r="H4688" t="n">
        <v>15.3</v>
      </c>
      <c r="I4688" s="2" t="n">
        <v>6110</v>
      </c>
      <c r="J4688" t="n">
        <v>195.3</v>
      </c>
      <c r="K4688" t="n">
        <v>28</v>
      </c>
      <c r="L4688" s="2" t="n">
        <v>3149</v>
      </c>
      <c r="M4688" t="n">
        <v>-31.4</v>
      </c>
      <c r="N4688" t="inlineStr">
        <is>
          <t>20240802800257</t>
        </is>
      </c>
      <c r="O4688">
        <f>HYPERLINK("https://dart.fss.or.kr/dsaf001/main.do?rcpNo=20240802800257", "공시열람")</f>
        <v/>
      </c>
    </row>
    <row r="4689">
      <c r="A4689" t="inlineStr">
        <is>
          <t>2024-08-01</t>
        </is>
      </c>
      <c r="B4689" t="inlineStr">
        <is>
          <t>SKC</t>
        </is>
      </c>
      <c r="C4689" t="inlineStr">
        <is>
          <t>011790</t>
        </is>
      </c>
      <c r="D4689" t="inlineStr">
        <is>
          <t>연결</t>
        </is>
      </c>
      <c r="E4689" t="inlineStr">
        <is>
          <t>2024Q2</t>
        </is>
      </c>
      <c r="F4689" s="2" t="n">
        <v>472700</v>
      </c>
      <c r="G4689" t="inlineStr"/>
      <c r="H4689" t="inlineStr"/>
      <c r="I4689" s="2" t="n">
        <v>-62700</v>
      </c>
      <c r="J4689" t="inlineStr"/>
      <c r="K4689" t="inlineStr"/>
      <c r="L4689" s="2" t="n">
        <v>-115300</v>
      </c>
      <c r="M4689" t="inlineStr"/>
      <c r="N4689" t="inlineStr">
        <is>
          <t>20240801800292</t>
        </is>
      </c>
      <c r="O4689">
        <f>HYPERLINK("https://dart.fss.or.kr/dsaf001/main.do?rcpNo=20240801800292", "공시열람")</f>
        <v/>
      </c>
    </row>
    <row r="4690">
      <c r="A4690" t="inlineStr">
        <is>
          <t>2024-08-01</t>
        </is>
      </c>
      <c r="B4690" t="inlineStr">
        <is>
          <t>비에이치</t>
        </is>
      </c>
      <c r="C4690" t="inlineStr">
        <is>
          <t>090460</t>
        </is>
      </c>
      <c r="D4690" t="inlineStr">
        <is>
          <t>연결</t>
        </is>
      </c>
      <c r="E4690" t="inlineStr">
        <is>
          <t>2024Q2</t>
        </is>
      </c>
      <c r="F4690" s="2" t="n">
        <v>468477</v>
      </c>
      <c r="G4690" t="inlineStr"/>
      <c r="H4690" t="inlineStr"/>
      <c r="I4690" s="2" t="n">
        <v>31339</v>
      </c>
      <c r="J4690" t="inlineStr"/>
      <c r="K4690" t="inlineStr"/>
      <c r="L4690" s="2" t="inlineStr"/>
      <c r="M4690" t="inlineStr"/>
      <c r="N4690" t="inlineStr">
        <is>
          <t>20240801800100</t>
        </is>
      </c>
      <c r="O4690">
        <f>HYPERLINK("https://dart.fss.or.kr/dsaf001/main.do?rcpNo=20240801800100", "공시열람")</f>
        <v/>
      </c>
    </row>
    <row r="4691">
      <c r="A4691" t="inlineStr">
        <is>
          <t>2024-08-01</t>
        </is>
      </c>
      <c r="B4691" t="inlineStr">
        <is>
          <t>동원시스템즈</t>
        </is>
      </c>
      <c r="C4691" t="inlineStr">
        <is>
          <t>014820</t>
        </is>
      </c>
      <c r="D4691" t="inlineStr">
        <is>
          <t>연결</t>
        </is>
      </c>
      <c r="E4691" t="inlineStr">
        <is>
          <t>2024Q2</t>
        </is>
      </c>
      <c r="F4691" s="2" t="n">
        <v>344378</v>
      </c>
      <c r="G4691" t="n">
        <v>11.42</v>
      </c>
      <c r="H4691" t="n">
        <v>2.85</v>
      </c>
      <c r="I4691" s="2" t="n">
        <v>30312</v>
      </c>
      <c r="J4691" t="n">
        <v>88.7</v>
      </c>
      <c r="K4691" t="n">
        <v>18.34</v>
      </c>
      <c r="L4691" s="2" t="n">
        <v>22089</v>
      </c>
      <c r="M4691" t="n">
        <v>23.1</v>
      </c>
      <c r="N4691" t="inlineStr">
        <is>
          <t>20240801800141</t>
        </is>
      </c>
      <c r="O4691">
        <f>HYPERLINK("https://dart.fss.or.kr/dsaf001/main.do?rcpNo=20240801800141", "공시열람")</f>
        <v/>
      </c>
    </row>
    <row r="4692">
      <c r="A4692" t="inlineStr">
        <is>
          <t>2024-08-01</t>
        </is>
      </c>
      <c r="B4692" t="inlineStr">
        <is>
          <t>디케이티</t>
        </is>
      </c>
      <c r="C4692" t="inlineStr">
        <is>
          <t>290550</t>
        </is>
      </c>
      <c r="D4692" t="inlineStr">
        <is>
          <t>연결</t>
        </is>
      </c>
      <c r="E4692" t="inlineStr">
        <is>
          <t>2024Q2</t>
        </is>
      </c>
      <c r="F4692" s="2" t="n">
        <v>107707</v>
      </c>
      <c r="G4692" t="inlineStr"/>
      <c r="H4692" t="inlineStr"/>
      <c r="I4692" s="2" t="n">
        <v>7597</v>
      </c>
      <c r="J4692" t="inlineStr"/>
      <c r="K4692" t="inlineStr"/>
      <c r="L4692" s="2" t="inlineStr"/>
      <c r="M4692" t="inlineStr"/>
      <c r="N4692" t="inlineStr">
        <is>
          <t>20240801900164</t>
        </is>
      </c>
      <c r="O4692">
        <f>HYPERLINK("https://dart.fss.or.kr/dsaf001/main.do?rcpNo=20240801900164", "공시열람")</f>
        <v/>
      </c>
    </row>
    <row r="4693">
      <c r="A4693" t="inlineStr">
        <is>
          <t>2024-08-01</t>
        </is>
      </c>
      <c r="B4693" t="inlineStr">
        <is>
          <t>제이에스코퍼레이션</t>
        </is>
      </c>
      <c r="C4693" t="inlineStr">
        <is>
          <t>194370</t>
        </is>
      </c>
      <c r="D4693" t="inlineStr">
        <is>
          <t>연결</t>
        </is>
      </c>
      <c r="E4693" t="inlineStr">
        <is>
          <t>2024Q2</t>
        </is>
      </c>
      <c r="F4693" s="2" t="n">
        <v>228666</v>
      </c>
      <c r="G4693" t="n">
        <v>10.23</v>
      </c>
      <c r="H4693" t="n">
        <v>10.15</v>
      </c>
      <c r="I4693" s="2" t="n">
        <v>26130</v>
      </c>
      <c r="J4693" t="n">
        <v>35.56</v>
      </c>
      <c r="K4693" t="n">
        <v>35.4</v>
      </c>
      <c r="L4693" s="2" t="inlineStr"/>
      <c r="M4693" t="inlineStr"/>
      <c r="N4693" t="inlineStr">
        <is>
          <t>20240801800167</t>
        </is>
      </c>
      <c r="O4693">
        <f>HYPERLINK("https://dart.fss.or.kr/dsaf001/main.do?rcpNo=20240801800167", "공시열람")</f>
        <v/>
      </c>
    </row>
    <row r="4694">
      <c r="A4694" t="inlineStr">
        <is>
          <t>2024-08-01</t>
        </is>
      </c>
      <c r="B4694" t="inlineStr">
        <is>
          <t>영진약품</t>
        </is>
      </c>
      <c r="C4694" t="inlineStr">
        <is>
          <t>003520</t>
        </is>
      </c>
      <c r="D4694" t="inlineStr">
        <is>
          <t>별도</t>
        </is>
      </c>
      <c r="E4694" t="inlineStr">
        <is>
          <t>2024Q2</t>
        </is>
      </c>
      <c r="F4694" s="2" t="n">
        <v>62202</v>
      </c>
      <c r="G4694" t="n">
        <v>-4.2</v>
      </c>
      <c r="H4694" t="n">
        <v>9.1</v>
      </c>
      <c r="I4694" s="2" t="n">
        <v>1209</v>
      </c>
      <c r="J4694" t="n">
        <v>-73.7</v>
      </c>
      <c r="K4694" t="inlineStr"/>
      <c r="L4694" s="2" t="n">
        <v>-1456</v>
      </c>
      <c r="M4694" t="n">
        <v>13.3</v>
      </c>
      <c r="N4694" t="inlineStr">
        <is>
          <t>20240801800169</t>
        </is>
      </c>
      <c r="O4694">
        <f>HYPERLINK("https://dart.fss.or.kr/dsaf001/main.do?rcpNo=20240801800169", "공시열람")</f>
        <v/>
      </c>
    </row>
    <row r="4695">
      <c r="A4695" t="inlineStr">
        <is>
          <t>2024-08-01</t>
        </is>
      </c>
      <c r="B4695" t="inlineStr">
        <is>
          <t>세아베스틸지주</t>
        </is>
      </c>
      <c r="C4695" t="inlineStr">
        <is>
          <t>001430</t>
        </is>
      </c>
      <c r="D4695" t="inlineStr">
        <is>
          <t>연결</t>
        </is>
      </c>
      <c r="E4695" t="inlineStr">
        <is>
          <t>2024Q2</t>
        </is>
      </c>
      <c r="F4695" s="2" t="n">
        <v>970077</v>
      </c>
      <c r="G4695" t="n">
        <v>1.8</v>
      </c>
      <c r="H4695" t="n">
        <v>-12.4</v>
      </c>
      <c r="I4695" s="2" t="n">
        <v>64570</v>
      </c>
      <c r="J4695" t="n">
        <v>203.5</v>
      </c>
      <c r="K4695" t="n">
        <v>-21.5</v>
      </c>
      <c r="L4695" s="2" t="n">
        <v>47300</v>
      </c>
      <c r="M4695" t="n">
        <v>-1.1</v>
      </c>
      <c r="N4695" t="inlineStr">
        <is>
          <t>20240801800170</t>
        </is>
      </c>
      <c r="O4695">
        <f>HYPERLINK("https://dart.fss.or.kr/dsaf001/main.do?rcpNo=20240801800170", "공시열람")</f>
        <v/>
      </c>
    </row>
    <row r="4696">
      <c r="A4696" t="inlineStr">
        <is>
          <t>2024-08-01</t>
        </is>
      </c>
      <c r="B4696" t="inlineStr">
        <is>
          <t>DL이앤씨</t>
        </is>
      </c>
      <c r="C4696" t="inlineStr">
        <is>
          <t>375500</t>
        </is>
      </c>
      <c r="D4696" t="inlineStr">
        <is>
          <t>연결</t>
        </is>
      </c>
      <c r="E4696" t="inlineStr">
        <is>
          <t>2024Q2</t>
        </is>
      </c>
      <c r="F4696" s="2" t="n">
        <v>2070221</v>
      </c>
      <c r="G4696" t="n">
        <v>9.5</v>
      </c>
      <c r="H4696" t="n">
        <v>5.06</v>
      </c>
      <c r="I4696" s="2" t="n">
        <v>32570</v>
      </c>
      <c r="J4696" t="n">
        <v>-46.51</v>
      </c>
      <c r="K4696" t="n">
        <v>-54.69</v>
      </c>
      <c r="L4696" s="2" t="n">
        <v>40645</v>
      </c>
      <c r="M4696" t="n">
        <v>14.39</v>
      </c>
      <c r="N4696" t="inlineStr">
        <is>
          <t>20240801800197</t>
        </is>
      </c>
      <c r="O4696">
        <f>HYPERLINK("https://dart.fss.or.kr/dsaf001/main.do?rcpNo=20240801800197", "공시열람")</f>
        <v/>
      </c>
    </row>
    <row r="4697">
      <c r="A4697" t="inlineStr">
        <is>
          <t>2024-08-01</t>
        </is>
      </c>
      <c r="B4697" t="inlineStr">
        <is>
          <t>BGF에코머티리얼즈</t>
        </is>
      </c>
      <c r="C4697" t="inlineStr">
        <is>
          <t>126600</t>
        </is>
      </c>
      <c r="D4697" t="inlineStr">
        <is>
          <t>연결</t>
        </is>
      </c>
      <c r="E4697" t="inlineStr">
        <is>
          <t>2024Q2</t>
        </is>
      </c>
      <c r="F4697" s="2" t="n">
        <v>92517</v>
      </c>
      <c r="G4697" t="inlineStr"/>
      <c r="H4697" t="inlineStr"/>
      <c r="I4697" s="2" t="n">
        <v>3634</v>
      </c>
      <c r="J4697" t="inlineStr"/>
      <c r="K4697" t="inlineStr"/>
      <c r="L4697" s="2" t="n">
        <v>2773</v>
      </c>
      <c r="M4697" t="inlineStr"/>
      <c r="N4697" t="inlineStr">
        <is>
          <t>20240801900244</t>
        </is>
      </c>
      <c r="O4697">
        <f>HYPERLINK("https://dart.fss.or.kr/dsaf001/main.do?rcpNo=20240801900244", "공시열람")</f>
        <v/>
      </c>
    </row>
    <row r="4698">
      <c r="A4698" t="inlineStr">
        <is>
          <t>2024-08-01</t>
        </is>
      </c>
      <c r="B4698" t="inlineStr">
        <is>
          <t>BGF리테일</t>
        </is>
      </c>
      <c r="C4698" t="inlineStr">
        <is>
          <t>282330</t>
        </is>
      </c>
      <c r="D4698" t="inlineStr">
        <is>
          <t>연결</t>
        </is>
      </c>
      <c r="E4698" t="inlineStr">
        <is>
          <t>2024Q2</t>
        </is>
      </c>
      <c r="F4698" s="2" t="n">
        <v>2202900</v>
      </c>
      <c r="G4698" t="n">
        <v>12.7</v>
      </c>
      <c r="H4698" t="n">
        <v>5</v>
      </c>
      <c r="I4698" s="2" t="n">
        <v>76200</v>
      </c>
      <c r="J4698" t="n">
        <v>133.7</v>
      </c>
      <c r="K4698" t="n">
        <v>-2.4</v>
      </c>
      <c r="L4698" s="2" t="n">
        <v>58500</v>
      </c>
      <c r="M4698" t="n">
        <v>-1.7</v>
      </c>
      <c r="N4698" t="inlineStr">
        <is>
          <t>20240801800263</t>
        </is>
      </c>
      <c r="O4698">
        <f>HYPERLINK("https://dart.fss.or.kr/dsaf001/main.do?rcpNo=20240801800263", "공시열람")</f>
        <v/>
      </c>
    </row>
    <row r="4699">
      <c r="A4699" t="inlineStr">
        <is>
          <t>2024-08-01</t>
        </is>
      </c>
      <c r="B4699" t="inlineStr">
        <is>
          <t>BGF</t>
        </is>
      </c>
      <c r="C4699" t="inlineStr">
        <is>
          <t>027410</t>
        </is>
      </c>
      <c r="D4699" t="inlineStr">
        <is>
          <t>연결</t>
        </is>
      </c>
      <c r="E4699" t="inlineStr">
        <is>
          <t>2024Q2</t>
        </is>
      </c>
      <c r="F4699" s="2" t="n">
        <v>113500</v>
      </c>
      <c r="G4699" t="n">
        <v>17</v>
      </c>
      <c r="H4699" t="n">
        <v>27.4</v>
      </c>
      <c r="I4699" s="2" t="n">
        <v>16500</v>
      </c>
      <c r="J4699" t="n">
        <v>85.40000000000001</v>
      </c>
      <c r="K4699" t="n">
        <v>1.2</v>
      </c>
      <c r="L4699" s="2" t="n">
        <v>17700</v>
      </c>
      <c r="M4699" t="n">
        <v>-3.3</v>
      </c>
      <c r="N4699" t="inlineStr">
        <is>
          <t>20240801800265</t>
        </is>
      </c>
      <c r="O4699">
        <f>HYPERLINK("https://dart.fss.or.kr/dsaf001/main.do?rcpNo=20240801800265", "공시열람")</f>
        <v/>
      </c>
    </row>
    <row r="4700">
      <c r="A4700" t="inlineStr">
        <is>
          <t>2024-08-01</t>
        </is>
      </c>
      <c r="B4700" t="inlineStr">
        <is>
          <t>팬오션</t>
        </is>
      </c>
      <c r="C4700" t="inlineStr">
        <is>
          <t>028670</t>
        </is>
      </c>
      <c r="D4700" t="inlineStr">
        <is>
          <t>연결</t>
        </is>
      </c>
      <c r="E4700" t="inlineStr">
        <is>
          <t>2024Q2</t>
        </is>
      </c>
      <c r="F4700" s="2" t="n">
        <v>1233400</v>
      </c>
      <c r="G4700" t="n">
        <v>26.4</v>
      </c>
      <c r="H4700" t="n">
        <v>0.7</v>
      </c>
      <c r="I4700" s="2" t="n">
        <v>135200</v>
      </c>
      <c r="J4700" t="n">
        <v>37.7</v>
      </c>
      <c r="K4700" t="n">
        <v>8.1</v>
      </c>
      <c r="L4700" s="2" t="n">
        <v>109600</v>
      </c>
      <c r="M4700" t="n">
        <v>19.3</v>
      </c>
      <c r="N4700" t="inlineStr">
        <is>
          <t>20240801800208</t>
        </is>
      </c>
      <c r="O4700">
        <f>HYPERLINK("https://dart.fss.or.kr/dsaf001/main.do?rcpNo=20240801800208", "공시열람")</f>
        <v/>
      </c>
    </row>
    <row r="4701">
      <c r="A4701" t="inlineStr">
        <is>
          <t>2024-08-01</t>
        </is>
      </c>
      <c r="B4701" t="inlineStr">
        <is>
          <t>KG모빌리티</t>
        </is>
      </c>
      <c r="C4701" t="inlineStr">
        <is>
          <t>003620</t>
        </is>
      </c>
      <c r="D4701" t="inlineStr">
        <is>
          <t>별도</t>
        </is>
      </c>
      <c r="E4701" t="inlineStr">
        <is>
          <t>2024Q2</t>
        </is>
      </c>
      <c r="F4701" s="2" t="inlineStr"/>
      <c r="G4701" t="inlineStr"/>
      <c r="H4701" t="inlineStr"/>
      <c r="I4701" s="2" t="inlineStr"/>
      <c r="J4701" t="inlineStr"/>
      <c r="K4701" t="inlineStr"/>
      <c r="L4701" s="2" t="inlineStr"/>
      <c r="M4701" t="inlineStr"/>
      <c r="N4701" t="inlineStr">
        <is>
          <t>20240801800272</t>
        </is>
      </c>
      <c r="O4701">
        <f>HYPERLINK("https://dart.fss.or.kr/dsaf001/main.do?rcpNo=20240801800272", "공시열람")</f>
        <v/>
      </c>
    </row>
    <row r="4702">
      <c r="A4702" t="inlineStr">
        <is>
          <t>2024-08-01</t>
        </is>
      </c>
      <c r="B4702" t="inlineStr">
        <is>
          <t>케이엔더블유</t>
        </is>
      </c>
      <c r="C4702" t="inlineStr">
        <is>
          <t>105330</t>
        </is>
      </c>
      <c r="D4702" t="inlineStr">
        <is>
          <t>연결</t>
        </is>
      </c>
      <c r="E4702" t="inlineStr">
        <is>
          <t>2024Q2</t>
        </is>
      </c>
      <c r="F4702" s="2" t="n">
        <v>20282</v>
      </c>
      <c r="G4702" t="inlineStr"/>
      <c r="H4702" t="inlineStr"/>
      <c r="I4702" s="2" t="n">
        <v>-1062</v>
      </c>
      <c r="J4702" t="inlineStr"/>
      <c r="K4702" t="inlineStr"/>
      <c r="L4702" s="2" t="n">
        <v>-555</v>
      </c>
      <c r="M4702" t="inlineStr"/>
      <c r="N4702" t="inlineStr">
        <is>
          <t>20240801900240</t>
        </is>
      </c>
      <c r="O4702">
        <f>HYPERLINK("https://dart.fss.or.kr/dsaf001/main.do?rcpNo=20240801900240", "공시열람")</f>
        <v/>
      </c>
    </row>
    <row r="4703">
      <c r="A4703" t="inlineStr">
        <is>
          <t>2024-08-01</t>
        </is>
      </c>
      <c r="B4703" t="inlineStr">
        <is>
          <t>DL</t>
        </is>
      </c>
      <c r="C4703" t="inlineStr">
        <is>
          <t>000210</t>
        </is>
      </c>
      <c r="D4703" t="inlineStr">
        <is>
          <t>연결</t>
        </is>
      </c>
      <c r="E4703" t="inlineStr">
        <is>
          <t>2024Q2</t>
        </is>
      </c>
      <c r="F4703" s="2" t="n">
        <v>1492081</v>
      </c>
      <c r="G4703" t="n">
        <v>6.27</v>
      </c>
      <c r="H4703" t="n">
        <v>22.42</v>
      </c>
      <c r="I4703" s="2" t="n">
        <v>142803</v>
      </c>
      <c r="J4703" t="n">
        <v>-17.14</v>
      </c>
      <c r="K4703" t="inlineStr"/>
      <c r="L4703" s="2" t="n">
        <v>9259</v>
      </c>
      <c r="M4703" t="inlineStr"/>
      <c r="N4703" t="inlineStr">
        <is>
          <t>20240801800289</t>
        </is>
      </c>
      <c r="O4703">
        <f>HYPERLINK("https://dart.fss.or.kr/dsaf001/main.do?rcpNo=20240801800289", "공시열람")</f>
        <v/>
      </c>
    </row>
    <row r="4704">
      <c r="A4704" t="inlineStr">
        <is>
          <t>2024-08-01</t>
        </is>
      </c>
      <c r="B4704" t="inlineStr">
        <is>
          <t>지니언스</t>
        </is>
      </c>
      <c r="C4704" t="inlineStr">
        <is>
          <t>263860</t>
        </is>
      </c>
      <c r="D4704" t="inlineStr">
        <is>
          <t>연결</t>
        </is>
      </c>
      <c r="E4704" t="inlineStr">
        <is>
          <t>2024Q2</t>
        </is>
      </c>
      <c r="F4704" s="2" t="n">
        <v>11889</v>
      </c>
      <c r="G4704" t="inlineStr"/>
      <c r="H4704" t="inlineStr"/>
      <c r="I4704" s="2" t="n">
        <v>1864</v>
      </c>
      <c r="J4704" t="inlineStr"/>
      <c r="K4704" t="inlineStr"/>
      <c r="L4704" s="2" t="n">
        <v>2163</v>
      </c>
      <c r="M4704" t="inlineStr"/>
      <c r="N4704" t="inlineStr">
        <is>
          <t>20240801900113</t>
        </is>
      </c>
      <c r="O4704">
        <f>HYPERLINK("https://dart.fss.or.kr/dsaf001/main.do?rcpNo=20240801900113", "공시열람")</f>
        <v/>
      </c>
    </row>
    <row r="4705">
      <c r="A4705" t="inlineStr">
        <is>
          <t>2024-08-01</t>
        </is>
      </c>
      <c r="B4705" t="inlineStr">
        <is>
          <t>동원시스템즈</t>
        </is>
      </c>
      <c r="C4705" t="inlineStr">
        <is>
          <t>014820</t>
        </is>
      </c>
      <c r="D4705" t="inlineStr">
        <is>
          <t>별도</t>
        </is>
      </c>
      <c r="E4705" t="inlineStr">
        <is>
          <t>2024Q2</t>
        </is>
      </c>
      <c r="F4705" s="2" t="n">
        <v>318034</v>
      </c>
      <c r="G4705" t="n">
        <v>10.67</v>
      </c>
      <c r="H4705" t="n">
        <v>3.1</v>
      </c>
      <c r="I4705" s="2" t="n">
        <v>27135</v>
      </c>
      <c r="J4705" t="n">
        <v>86.73</v>
      </c>
      <c r="K4705" t="n">
        <v>17.57</v>
      </c>
      <c r="L4705" s="2" t="n">
        <v>48689</v>
      </c>
      <c r="M4705" t="n">
        <v>188.35</v>
      </c>
      <c r="N4705" t="inlineStr">
        <is>
          <t>20240801800145</t>
        </is>
      </c>
      <c r="O4705">
        <f>HYPERLINK("https://dart.fss.or.kr/dsaf001/main.do?rcpNo=20240801800145", "공시열람")</f>
        <v/>
      </c>
    </row>
    <row r="4706">
      <c r="A4706" t="inlineStr">
        <is>
          <t>2024-08-01</t>
        </is>
      </c>
      <c r="B4706" t="inlineStr">
        <is>
          <t>아바텍</t>
        </is>
      </c>
      <c r="C4706" t="inlineStr">
        <is>
          <t>149950</t>
        </is>
      </c>
      <c r="D4706" t="inlineStr">
        <is>
          <t>별도</t>
        </is>
      </c>
      <c r="E4706" t="inlineStr">
        <is>
          <t>2024Q2</t>
        </is>
      </c>
      <c r="F4706" s="2" t="n">
        <v>24828</v>
      </c>
      <c r="G4706" t="inlineStr"/>
      <c r="H4706" t="inlineStr"/>
      <c r="I4706" s="2" t="n">
        <v>4844</v>
      </c>
      <c r="J4706" t="inlineStr"/>
      <c r="K4706" t="inlineStr"/>
      <c r="L4706" s="2" t="n">
        <v>5984</v>
      </c>
      <c r="M4706" t="inlineStr"/>
      <c r="N4706" t="inlineStr">
        <is>
          <t>20240801900099</t>
        </is>
      </c>
      <c r="O4706">
        <f>HYPERLINK("https://dart.fss.or.kr/dsaf001/main.do?rcpNo=20240801900099", "공시열람")</f>
        <v/>
      </c>
    </row>
    <row r="4707">
      <c r="A4707" t="inlineStr">
        <is>
          <t>2024-08-01</t>
        </is>
      </c>
      <c r="B4707" t="inlineStr">
        <is>
          <t>인지소프트</t>
        </is>
      </c>
      <c r="C4707" t="inlineStr">
        <is>
          <t>100030</t>
        </is>
      </c>
      <c r="D4707" t="inlineStr">
        <is>
          <t>연결</t>
        </is>
      </c>
      <c r="E4707" t="inlineStr">
        <is>
          <t>2024Q2</t>
        </is>
      </c>
      <c r="F4707" s="2" t="n">
        <v>4204</v>
      </c>
      <c r="G4707" t="inlineStr"/>
      <c r="H4707" t="inlineStr"/>
      <c r="I4707" s="2" t="n">
        <v>-242</v>
      </c>
      <c r="J4707" t="inlineStr"/>
      <c r="K4707" t="inlineStr"/>
      <c r="L4707" s="2" t="n">
        <v>1108</v>
      </c>
      <c r="M4707" t="inlineStr"/>
      <c r="N4707" t="inlineStr">
        <is>
          <t>20240801900371</t>
        </is>
      </c>
      <c r="O4707">
        <f>HYPERLINK("https://dart.fss.or.kr/dsaf001/main.do?rcpNo=20240801900371", "공시열람")</f>
        <v/>
      </c>
    </row>
    <row r="4708">
      <c r="A4708" t="inlineStr">
        <is>
          <t>2024-08-01</t>
        </is>
      </c>
      <c r="B4708" t="inlineStr">
        <is>
          <t>JW홀딩스</t>
        </is>
      </c>
      <c r="C4708" t="inlineStr">
        <is>
          <t>096760</t>
        </is>
      </c>
      <c r="D4708" t="inlineStr">
        <is>
          <t>별도</t>
        </is>
      </c>
      <c r="E4708" t="inlineStr">
        <is>
          <t>2024Q2</t>
        </is>
      </c>
      <c r="F4708" s="2" t="n">
        <v>33603</v>
      </c>
      <c r="G4708" t="n">
        <v>34.08</v>
      </c>
      <c r="H4708" t="n">
        <v>73.61</v>
      </c>
      <c r="I4708" s="2" t="n">
        <v>19269</v>
      </c>
      <c r="J4708" t="n">
        <v>88.03</v>
      </c>
      <c r="K4708" t="n">
        <v>4319.29</v>
      </c>
      <c r="L4708" s="2" t="n">
        <v>11144</v>
      </c>
      <c r="M4708" t="n">
        <v>279.6</v>
      </c>
      <c r="N4708" t="inlineStr">
        <is>
          <t>20240801800377</t>
        </is>
      </c>
      <c r="O4708">
        <f>HYPERLINK("https://dart.fss.or.kr/dsaf001/main.do?rcpNo=20240801800377", "공시열람")</f>
        <v/>
      </c>
    </row>
    <row r="4709">
      <c r="A4709" t="inlineStr">
        <is>
          <t>2024-08-01</t>
        </is>
      </c>
      <c r="B4709" t="inlineStr">
        <is>
          <t>JW중외제약</t>
        </is>
      </c>
      <c r="C4709" t="inlineStr">
        <is>
          <t>001060</t>
        </is>
      </c>
      <c r="D4709" t="inlineStr">
        <is>
          <t>별도</t>
        </is>
      </c>
      <c r="E4709" t="inlineStr">
        <is>
          <t>2024Q2</t>
        </is>
      </c>
      <c r="F4709" s="2" t="n">
        <v>170659</v>
      </c>
      <c r="G4709" t="n">
        <v>-4.2</v>
      </c>
      <c r="H4709" t="n">
        <v>-7</v>
      </c>
      <c r="I4709" s="2" t="n">
        <v>12502</v>
      </c>
      <c r="J4709" t="n">
        <v>-53.2</v>
      </c>
      <c r="K4709" t="n">
        <v>-44.9</v>
      </c>
      <c r="L4709" s="2" t="n">
        <v>9186</v>
      </c>
      <c r="M4709" t="n">
        <v>-45.7</v>
      </c>
      <c r="N4709" t="inlineStr">
        <is>
          <t>20240801800376</t>
        </is>
      </c>
      <c r="O4709">
        <f>HYPERLINK("https://dart.fss.or.kr/dsaf001/main.do?rcpNo=20240801800376", "공시열람")</f>
        <v/>
      </c>
    </row>
    <row r="4710">
      <c r="A4710" t="inlineStr">
        <is>
          <t>2024-08-01</t>
        </is>
      </c>
      <c r="B4710" t="inlineStr">
        <is>
          <t>엠로</t>
        </is>
      </c>
      <c r="C4710" t="inlineStr">
        <is>
          <t>058970</t>
        </is>
      </c>
      <c r="D4710" t="inlineStr">
        <is>
          <t>별도</t>
        </is>
      </c>
      <c r="E4710" t="inlineStr">
        <is>
          <t>2024Q2</t>
        </is>
      </c>
      <c r="F4710" s="2" t="n">
        <v>17935</v>
      </c>
      <c r="G4710" t="inlineStr"/>
      <c r="H4710" t="inlineStr"/>
      <c r="I4710" s="2" t="n">
        <v>1779</v>
      </c>
      <c r="J4710" t="inlineStr"/>
      <c r="K4710" t="inlineStr"/>
      <c r="L4710" s="2" t="n">
        <v>8707</v>
      </c>
      <c r="M4710" t="inlineStr"/>
      <c r="N4710" t="inlineStr">
        <is>
          <t>20240801900334</t>
        </is>
      </c>
      <c r="O4710">
        <f>HYPERLINK("https://dart.fss.or.kr/dsaf001/main.do?rcpNo=20240801900334", "공시열람")</f>
        <v/>
      </c>
    </row>
    <row r="4711">
      <c r="A4711" t="inlineStr">
        <is>
          <t>2024-08-01</t>
        </is>
      </c>
      <c r="B4711" t="inlineStr">
        <is>
          <t>SK이노베이션</t>
        </is>
      </c>
      <c r="C4711" t="inlineStr">
        <is>
          <t>096770</t>
        </is>
      </c>
      <c r="D4711" t="inlineStr">
        <is>
          <t>연결</t>
        </is>
      </c>
      <c r="E4711" t="inlineStr">
        <is>
          <t>2024Q2</t>
        </is>
      </c>
      <c r="F4711" s="2" t="n">
        <v>18799113</v>
      </c>
      <c r="G4711" t="inlineStr"/>
      <c r="H4711" t="inlineStr"/>
      <c r="I4711" s="2" t="n">
        <v>-45842</v>
      </c>
      <c r="J4711" t="inlineStr"/>
      <c r="K4711" t="inlineStr"/>
      <c r="L4711" s="2" t="n">
        <v>-639709</v>
      </c>
      <c r="M4711" t="inlineStr"/>
      <c r="N4711" t="inlineStr">
        <is>
          <t>20240801800095</t>
        </is>
      </c>
      <c r="O4711">
        <f>HYPERLINK("https://dart.fss.or.kr/dsaf001/main.do?rcpNo=20240801800095", "공시열람")</f>
        <v/>
      </c>
    </row>
    <row r="4712">
      <c r="A4712" t="inlineStr">
        <is>
          <t>2024-08-01</t>
        </is>
      </c>
      <c r="B4712" t="inlineStr">
        <is>
          <t>고영</t>
        </is>
      </c>
      <c r="C4712" t="inlineStr">
        <is>
          <t>098460</t>
        </is>
      </c>
      <c r="D4712" t="inlineStr">
        <is>
          <t>연결</t>
        </is>
      </c>
      <c r="E4712" t="inlineStr">
        <is>
          <t>2024Q2</t>
        </is>
      </c>
      <c r="F4712" s="2" t="n">
        <v>52474</v>
      </c>
      <c r="G4712" t="inlineStr"/>
      <c r="H4712" t="inlineStr"/>
      <c r="I4712" s="2" t="n">
        <v>3161</v>
      </c>
      <c r="J4712" t="inlineStr"/>
      <c r="K4712" t="inlineStr"/>
      <c r="L4712" s="2" t="n">
        <v>7343</v>
      </c>
      <c r="M4712" t="inlineStr"/>
      <c r="N4712" t="inlineStr">
        <is>
          <t>20240801900401</t>
        </is>
      </c>
      <c r="O4712">
        <f>HYPERLINK("https://dart.fss.or.kr/dsaf001/main.do?rcpNo=20240801900401", "공시열람")</f>
        <v/>
      </c>
    </row>
    <row r="4713">
      <c r="A4713" t="inlineStr">
        <is>
          <t>2024-08-01</t>
        </is>
      </c>
      <c r="B4713" t="inlineStr">
        <is>
          <t>현대자동차</t>
        </is>
      </c>
      <c r="C4713" t="inlineStr">
        <is>
          <t>005380</t>
        </is>
      </c>
      <c r="D4713" t="inlineStr">
        <is>
          <t>별도</t>
        </is>
      </c>
      <c r="E4713" t="inlineStr">
        <is>
          <t>2024Q2</t>
        </is>
      </c>
      <c r="F4713" s="2" t="inlineStr"/>
      <c r="G4713" t="inlineStr"/>
      <c r="H4713" t="inlineStr"/>
      <c r="I4713" s="2" t="inlineStr"/>
      <c r="J4713" t="inlineStr"/>
      <c r="K4713" t="inlineStr"/>
      <c r="L4713" s="2" t="inlineStr"/>
      <c r="M4713" t="inlineStr"/>
      <c r="N4713" t="inlineStr">
        <is>
          <t>20240801800343</t>
        </is>
      </c>
      <c r="O4713">
        <f>HYPERLINK("https://dart.fss.or.kr/dsaf001/main.do?rcpNo=20240801800343", "공시열람")</f>
        <v/>
      </c>
    </row>
    <row r="4714">
      <c r="A4714" t="inlineStr">
        <is>
          <t>2024-08-01</t>
        </is>
      </c>
      <c r="B4714" t="inlineStr">
        <is>
          <t>엠로</t>
        </is>
      </c>
      <c r="C4714" t="inlineStr">
        <is>
          <t>058970</t>
        </is>
      </c>
      <c r="D4714" t="inlineStr">
        <is>
          <t>연결</t>
        </is>
      </c>
      <c r="E4714" t="inlineStr">
        <is>
          <t>2024Q2</t>
        </is>
      </c>
      <c r="F4714" s="2" t="n">
        <v>19200</v>
      </c>
      <c r="G4714" t="inlineStr"/>
      <c r="H4714" t="inlineStr"/>
      <c r="I4714" s="2" t="n">
        <v>1751</v>
      </c>
      <c r="J4714" t="inlineStr"/>
      <c r="K4714" t="inlineStr"/>
      <c r="L4714" s="2" t="n">
        <v>8717</v>
      </c>
      <c r="M4714" t="inlineStr"/>
      <c r="N4714" t="inlineStr">
        <is>
          <t>20240801900333</t>
        </is>
      </c>
      <c r="O4714">
        <f>HYPERLINK("https://dart.fss.or.kr/dsaf001/main.do?rcpNo=20240801900333", "공시열람")</f>
        <v/>
      </c>
    </row>
    <row r="4715">
      <c r="A4715" t="inlineStr">
        <is>
          <t>2024-08-01</t>
        </is>
      </c>
      <c r="B4715" t="inlineStr">
        <is>
          <t>롯데관광개발</t>
        </is>
      </c>
      <c r="C4715" t="inlineStr">
        <is>
          <t>032350</t>
        </is>
      </c>
      <c r="D4715" t="inlineStr">
        <is>
          <t>연결</t>
        </is>
      </c>
      <c r="E4715" t="inlineStr">
        <is>
          <t>2024Q2</t>
        </is>
      </c>
      <c r="F4715" s="2" t="inlineStr"/>
      <c r="G4715" t="inlineStr"/>
      <c r="H4715" t="inlineStr"/>
      <c r="I4715" s="2" t="inlineStr"/>
      <c r="J4715" t="inlineStr"/>
      <c r="K4715" t="inlineStr"/>
      <c r="L4715" s="2" t="inlineStr"/>
      <c r="M4715" t="inlineStr"/>
      <c r="N4715" t="inlineStr">
        <is>
          <t>20240801800303</t>
        </is>
      </c>
      <c r="O4715">
        <f>HYPERLINK("https://dart.fss.or.kr/dsaf001/main.do?rcpNo=20240801800303", "공시열람")</f>
        <v/>
      </c>
    </row>
    <row r="4716">
      <c r="A4716" t="inlineStr">
        <is>
          <t>2024-08-01</t>
        </is>
      </c>
      <c r="B4716" t="inlineStr">
        <is>
          <t>대덕전자</t>
        </is>
      </c>
      <c r="C4716" t="inlineStr">
        <is>
          <t>353200</t>
        </is>
      </c>
      <c r="D4716" t="inlineStr">
        <is>
          <t>연결</t>
        </is>
      </c>
      <c r="E4716" t="inlineStr">
        <is>
          <t>2024Q2</t>
        </is>
      </c>
      <c r="F4716" s="2" t="n">
        <v>238239</v>
      </c>
      <c r="G4716" t="n">
        <v>10.9</v>
      </c>
      <c r="H4716" t="n">
        <v>8.4</v>
      </c>
      <c r="I4716" s="2" t="n">
        <v>10904</v>
      </c>
      <c r="J4716" t="inlineStr"/>
      <c r="K4716" t="n">
        <v>94.3</v>
      </c>
      <c r="L4716" s="2" t="n">
        <v>12231</v>
      </c>
      <c r="M4716" t="n">
        <v>184.5</v>
      </c>
      <c r="N4716" t="inlineStr">
        <is>
          <t>20240801800299</t>
        </is>
      </c>
      <c r="O4716">
        <f>HYPERLINK("https://dart.fss.or.kr/dsaf001/main.do?rcpNo=20240801800299", "공시열람")</f>
        <v/>
      </c>
    </row>
    <row r="4717">
      <c r="A4717" t="inlineStr">
        <is>
          <t>2024-08-01</t>
        </is>
      </c>
      <c r="B4717" t="inlineStr">
        <is>
          <t>기아</t>
        </is>
      </c>
      <c r="C4717" t="inlineStr">
        <is>
          <t>000270</t>
        </is>
      </c>
      <c r="D4717" t="inlineStr">
        <is>
          <t>별도</t>
        </is>
      </c>
      <c r="E4717" t="inlineStr">
        <is>
          <t>2024Q2</t>
        </is>
      </c>
      <c r="F4717" s="2" t="inlineStr"/>
      <c r="G4717" t="inlineStr"/>
      <c r="H4717" t="inlineStr"/>
      <c r="I4717" s="2" t="inlineStr"/>
      <c r="J4717" t="inlineStr"/>
      <c r="K4717" t="inlineStr"/>
      <c r="L4717" s="2" t="inlineStr"/>
      <c r="M4717" t="inlineStr"/>
      <c r="N4717" t="inlineStr">
        <is>
          <t>20240801800305</t>
        </is>
      </c>
      <c r="O4717">
        <f>HYPERLINK("https://dart.fss.or.kr/dsaf001/main.do?rcpNo=20240801800305", "공시열람")</f>
        <v/>
      </c>
    </row>
    <row r="4718">
      <c r="A4718" t="inlineStr">
        <is>
          <t>2024-08-01</t>
        </is>
      </c>
      <c r="B4718" t="inlineStr">
        <is>
          <t>케이카</t>
        </is>
      </c>
      <c r="C4718" t="inlineStr">
        <is>
          <t>381970</t>
        </is>
      </c>
      <c r="D4718" t="inlineStr">
        <is>
          <t>별도</t>
        </is>
      </c>
      <c r="E4718" t="inlineStr">
        <is>
          <t>2024Q2</t>
        </is>
      </c>
      <c r="F4718" s="2" t="n">
        <v>589014</v>
      </c>
      <c r="G4718" t="n">
        <v>-2.6</v>
      </c>
      <c r="H4718" t="n">
        <v>16.5</v>
      </c>
      <c r="I4718" s="2" t="n">
        <v>18103</v>
      </c>
      <c r="J4718" t="n">
        <v>2.7</v>
      </c>
      <c r="K4718" t="n">
        <v>17</v>
      </c>
      <c r="L4718" s="2" t="n">
        <v>11813</v>
      </c>
      <c r="M4718" t="n">
        <v>19.7</v>
      </c>
      <c r="N4718" t="inlineStr">
        <is>
          <t>20240801800076</t>
        </is>
      </c>
      <c r="O4718">
        <f>HYPERLINK("https://dart.fss.or.kr/dsaf001/main.do?rcpNo=20240801800076", "공시열람")</f>
        <v/>
      </c>
    </row>
    <row r="4719">
      <c r="A4719" t="inlineStr">
        <is>
          <t>2024-08-01</t>
        </is>
      </c>
      <c r="B4719" t="inlineStr">
        <is>
          <t>ISC</t>
        </is>
      </c>
      <c r="C4719" t="inlineStr">
        <is>
          <t>095340</t>
        </is>
      </c>
      <c r="D4719" t="inlineStr">
        <is>
          <t>연결</t>
        </is>
      </c>
      <c r="E4719" t="inlineStr">
        <is>
          <t>2024Q2</t>
        </is>
      </c>
      <c r="F4719" s="2" t="n">
        <v>49758</v>
      </c>
      <c r="G4719" t="inlineStr"/>
      <c r="H4719" t="inlineStr"/>
      <c r="I4719" s="2" t="n">
        <v>14912</v>
      </c>
      <c r="J4719" t="inlineStr"/>
      <c r="K4719" t="inlineStr"/>
      <c r="L4719" s="2" t="n">
        <v>16056</v>
      </c>
      <c r="M4719" t="inlineStr"/>
      <c r="N4719" t="inlineStr">
        <is>
          <t>20240801900089</t>
        </is>
      </c>
      <c r="O4719">
        <f>HYPERLINK("https://dart.fss.or.kr/dsaf001/main.do?rcpNo=20240801900089", "공시열람")</f>
        <v/>
      </c>
    </row>
    <row r="4720">
      <c r="A4720" t="inlineStr">
        <is>
          <t>2024-08-01</t>
        </is>
      </c>
      <c r="B4720" t="inlineStr">
        <is>
          <t>레드캡투어</t>
        </is>
      </c>
      <c r="C4720" t="inlineStr">
        <is>
          <t>038390</t>
        </is>
      </c>
      <c r="D4720" t="inlineStr">
        <is>
          <t>연결</t>
        </is>
      </c>
      <c r="E4720" t="inlineStr">
        <is>
          <t>2024Q2</t>
        </is>
      </c>
      <c r="F4720" s="2" t="n">
        <v>90269</v>
      </c>
      <c r="G4720" t="inlineStr"/>
      <c r="H4720" t="inlineStr"/>
      <c r="I4720" s="2" t="n">
        <v>12184</v>
      </c>
      <c r="J4720" t="inlineStr"/>
      <c r="K4720" t="inlineStr"/>
      <c r="L4720" s="2" t="n">
        <v>6236</v>
      </c>
      <c r="M4720" t="inlineStr"/>
      <c r="N4720" t="inlineStr">
        <is>
          <t>20240801900203</t>
        </is>
      </c>
      <c r="O4720">
        <f>HYPERLINK("https://dart.fss.or.kr/dsaf001/main.do?rcpNo=20240801900203", "공시열람")</f>
        <v/>
      </c>
    </row>
    <row r="4721">
      <c r="A4721" t="inlineStr">
        <is>
          <t>2024-07-31</t>
        </is>
      </c>
      <c r="B4721" t="inlineStr">
        <is>
          <t>쎄트렉아이</t>
        </is>
      </c>
      <c r="C4721" t="inlineStr">
        <is>
          <t>099320</t>
        </is>
      </c>
      <c r="D4721" t="inlineStr">
        <is>
          <t>연결</t>
        </is>
      </c>
      <c r="E4721" t="inlineStr">
        <is>
          <t>2024Q2</t>
        </is>
      </c>
      <c r="F4721" s="2" t="n">
        <v>47464</v>
      </c>
      <c r="G4721" t="inlineStr"/>
      <c r="H4721" t="inlineStr"/>
      <c r="I4721" s="2" t="n">
        <v>-1528</v>
      </c>
      <c r="J4721" t="inlineStr"/>
      <c r="K4721" t="inlineStr"/>
      <c r="L4721" s="2" t="n">
        <v>3496</v>
      </c>
      <c r="M4721" t="inlineStr"/>
      <c r="N4721" t="inlineStr">
        <is>
          <t>20240731900141</t>
        </is>
      </c>
      <c r="O4721">
        <f>HYPERLINK("https://dart.fss.or.kr/dsaf001/main.do?rcpNo=20240731900141", "공시열람")</f>
        <v/>
      </c>
    </row>
    <row r="4722">
      <c r="A4722" t="inlineStr">
        <is>
          <t>2024-07-31</t>
        </is>
      </c>
      <c r="B4722" t="inlineStr">
        <is>
          <t>SK바이오사이언스</t>
        </is>
      </c>
      <c r="C4722" t="inlineStr">
        <is>
          <t>302440</t>
        </is>
      </c>
      <c r="D4722" t="inlineStr">
        <is>
          <t>연결</t>
        </is>
      </c>
      <c r="E4722" t="inlineStr">
        <is>
          <t>2024Q2</t>
        </is>
      </c>
      <c r="F4722" s="2" t="n">
        <v>26777</v>
      </c>
      <c r="G4722" t="n">
        <v>20.2</v>
      </c>
      <c r="H4722" t="n">
        <v>1.1</v>
      </c>
      <c r="I4722" s="2" t="n">
        <v>-19940</v>
      </c>
      <c r="J4722" t="n">
        <v>29</v>
      </c>
      <c r="K4722" t="n">
        <v>43.5</v>
      </c>
      <c r="L4722" s="2" t="n">
        <v>-11409</v>
      </c>
      <c r="M4722" t="n">
        <v>28.6</v>
      </c>
      <c r="N4722" t="inlineStr">
        <is>
          <t>20240731800378</t>
        </is>
      </c>
      <c r="O4722">
        <f>HYPERLINK("https://dart.fss.or.kr/dsaf001/main.do?rcpNo=20240731800378", "공시열람")</f>
        <v/>
      </c>
    </row>
    <row r="4723">
      <c r="A4723" t="inlineStr">
        <is>
          <t>2024-07-31</t>
        </is>
      </c>
      <c r="B4723" t="inlineStr">
        <is>
          <t>DB하이텍</t>
        </is>
      </c>
      <c r="C4723" t="inlineStr">
        <is>
          <t>000990</t>
        </is>
      </c>
      <c r="D4723" t="inlineStr">
        <is>
          <t>연결</t>
        </is>
      </c>
      <c r="E4723" t="inlineStr">
        <is>
          <t>2024Q2</t>
        </is>
      </c>
      <c r="F4723" s="2" t="n">
        <v>298883</v>
      </c>
      <c r="G4723" t="n">
        <v>14.3</v>
      </c>
      <c r="H4723" t="n">
        <v>-3.22</v>
      </c>
      <c r="I4723" s="2" t="n">
        <v>68261</v>
      </c>
      <c r="J4723" t="n">
        <v>66.31999999999999</v>
      </c>
      <c r="K4723" t="n">
        <v>-24.09</v>
      </c>
      <c r="L4723" s="2" t="n">
        <v>64465</v>
      </c>
      <c r="M4723" t="n">
        <v>-19.69</v>
      </c>
      <c r="N4723" t="inlineStr">
        <is>
          <t>20240731800705</t>
        </is>
      </c>
      <c r="O4723">
        <f>HYPERLINK("https://dart.fss.or.kr/dsaf001/main.do?rcpNo=20240731800705", "공시열람")</f>
        <v/>
      </c>
    </row>
    <row r="4724">
      <c r="A4724" t="inlineStr">
        <is>
          <t>2024-07-31</t>
        </is>
      </c>
      <c r="B4724" t="inlineStr">
        <is>
          <t>일동홀딩스</t>
        </is>
      </c>
      <c r="C4724" t="inlineStr">
        <is>
          <t>000230</t>
        </is>
      </c>
      <c r="D4724" t="inlineStr">
        <is>
          <t>연결</t>
        </is>
      </c>
      <c r="E4724" t="inlineStr">
        <is>
          <t>2024Q2</t>
        </is>
      </c>
      <c r="F4724" s="2" t="n">
        <v>168152</v>
      </c>
      <c r="G4724" t="inlineStr"/>
      <c r="H4724" t="inlineStr"/>
      <c r="I4724" s="2" t="n">
        <v>490</v>
      </c>
      <c r="J4724" t="inlineStr"/>
      <c r="K4724" t="inlineStr"/>
      <c r="L4724" s="2" t="n">
        <v>-9633</v>
      </c>
      <c r="M4724" t="inlineStr"/>
      <c r="N4724" t="inlineStr">
        <is>
          <t>20240731800644</t>
        </is>
      </c>
      <c r="O4724">
        <f>HYPERLINK("https://dart.fss.or.kr/dsaf001/main.do?rcpNo=20240731800644", "공시열람")</f>
        <v/>
      </c>
    </row>
    <row r="4725">
      <c r="A4725" t="inlineStr">
        <is>
          <t>2024-07-31</t>
        </is>
      </c>
      <c r="B4725" t="inlineStr">
        <is>
          <t>일동제약</t>
        </is>
      </c>
      <c r="C4725" t="inlineStr">
        <is>
          <t>249420</t>
        </is>
      </c>
      <c r="D4725" t="inlineStr">
        <is>
          <t>연결</t>
        </is>
      </c>
      <c r="E4725" t="inlineStr">
        <is>
          <t>2024Q2</t>
        </is>
      </c>
      <c r="F4725" s="2" t="n">
        <v>157500</v>
      </c>
      <c r="G4725" t="inlineStr"/>
      <c r="H4725" t="inlineStr"/>
      <c r="I4725" s="2" t="n">
        <v>4850</v>
      </c>
      <c r="J4725" t="inlineStr"/>
      <c r="K4725" t="inlineStr"/>
      <c r="L4725" s="2" t="n">
        <v>-341</v>
      </c>
      <c r="M4725" t="inlineStr"/>
      <c r="N4725" t="inlineStr">
        <is>
          <t>20240731800625</t>
        </is>
      </c>
      <c r="O4725">
        <f>HYPERLINK("https://dart.fss.or.kr/dsaf001/main.do?rcpNo=20240731800625", "공시열람")</f>
        <v/>
      </c>
    </row>
    <row r="4726">
      <c r="A4726" t="inlineStr">
        <is>
          <t>2024-07-31</t>
        </is>
      </c>
      <c r="B4726" t="inlineStr">
        <is>
          <t>일동제약</t>
        </is>
      </c>
      <c r="C4726" t="inlineStr">
        <is>
          <t>249420</t>
        </is>
      </c>
      <c r="D4726" t="inlineStr">
        <is>
          <t>별도</t>
        </is>
      </c>
      <c r="E4726" t="inlineStr">
        <is>
          <t>2024Q2</t>
        </is>
      </c>
      <c r="F4726" s="2" t="n">
        <v>153259</v>
      </c>
      <c r="G4726" t="inlineStr"/>
      <c r="H4726" t="inlineStr"/>
      <c r="I4726" s="2" t="n">
        <v>9390</v>
      </c>
      <c r="J4726" t="inlineStr"/>
      <c r="K4726" t="inlineStr"/>
      <c r="L4726" s="2" t="n">
        <v>4558</v>
      </c>
      <c r="M4726" t="inlineStr"/>
      <c r="N4726" t="inlineStr">
        <is>
          <t>20240731800616</t>
        </is>
      </c>
      <c r="O4726">
        <f>HYPERLINK("https://dart.fss.or.kr/dsaf001/main.do?rcpNo=20240731800616", "공시열람")</f>
        <v/>
      </c>
    </row>
    <row r="4727">
      <c r="A4727" t="inlineStr">
        <is>
          <t>2024-07-31</t>
        </is>
      </c>
      <c r="B4727" t="inlineStr">
        <is>
          <t>현대비앤지스틸</t>
        </is>
      </c>
      <c r="C4727" t="inlineStr">
        <is>
          <t>004560</t>
        </is>
      </c>
      <c r="D4727" t="inlineStr">
        <is>
          <t>연결</t>
        </is>
      </c>
      <c r="E4727" t="inlineStr">
        <is>
          <t>2024Q2</t>
        </is>
      </c>
      <c r="F4727" s="2" t="n">
        <v>231313</v>
      </c>
      <c r="G4727" t="n">
        <v>20.7</v>
      </c>
      <c r="H4727" t="n">
        <v>-16.3</v>
      </c>
      <c r="I4727" s="2" t="n">
        <v>19019</v>
      </c>
      <c r="J4727" t="inlineStr"/>
      <c r="K4727" t="inlineStr"/>
      <c r="L4727" s="2" t="n">
        <v>14480</v>
      </c>
      <c r="M4727" t="inlineStr"/>
      <c r="N4727" t="inlineStr">
        <is>
          <t>20240731800534</t>
        </is>
      </c>
      <c r="O4727">
        <f>HYPERLINK("https://dart.fss.or.kr/dsaf001/main.do?rcpNo=20240731800534", "공시열람")</f>
        <v/>
      </c>
    </row>
    <row r="4728">
      <c r="A4728" t="inlineStr">
        <is>
          <t>2024-07-31</t>
        </is>
      </c>
      <c r="B4728" t="inlineStr">
        <is>
          <t>보령</t>
        </is>
      </c>
      <c r="C4728" t="inlineStr">
        <is>
          <t>003850</t>
        </is>
      </c>
      <c r="D4728" t="inlineStr">
        <is>
          <t>연결</t>
        </is>
      </c>
      <c r="E4728" t="inlineStr">
        <is>
          <t>2024Q2</t>
        </is>
      </c>
      <c r="F4728" s="2" t="n">
        <v>255562</v>
      </c>
      <c r="G4728" t="n">
        <v>9.4</v>
      </c>
      <c r="H4728" t="n">
        <v>18.17</v>
      </c>
      <c r="I4728" s="2" t="n">
        <v>20121</v>
      </c>
      <c r="J4728" t="n">
        <v>23.09</v>
      </c>
      <c r="K4728" t="n">
        <v>5.69</v>
      </c>
      <c r="L4728" s="2" t="n">
        <v>23650</v>
      </c>
      <c r="M4728" t="n">
        <v>109.29</v>
      </c>
      <c r="N4728" t="inlineStr">
        <is>
          <t>20240731800430</t>
        </is>
      </c>
      <c r="O4728">
        <f>HYPERLINK("https://dart.fss.or.kr/dsaf001/main.do?rcpNo=20240731800430", "공시열람")</f>
        <v/>
      </c>
    </row>
    <row r="4729">
      <c r="A4729" t="inlineStr">
        <is>
          <t>2024-07-31</t>
        </is>
      </c>
      <c r="B4729" t="inlineStr">
        <is>
          <t>파트론</t>
        </is>
      </c>
      <c r="C4729" t="inlineStr">
        <is>
          <t>091700</t>
        </is>
      </c>
      <c r="D4729" t="inlineStr">
        <is>
          <t>연결</t>
        </is>
      </c>
      <c r="E4729" t="inlineStr">
        <is>
          <t>2024Q2</t>
        </is>
      </c>
      <c r="F4729" s="2" t="n">
        <v>369934</v>
      </c>
      <c r="G4729" t="inlineStr"/>
      <c r="H4729" t="inlineStr"/>
      <c r="I4729" s="2" t="n">
        <v>14336</v>
      </c>
      <c r="J4729" t="inlineStr"/>
      <c r="K4729" t="inlineStr"/>
      <c r="L4729" s="2" t="n">
        <v>15830</v>
      </c>
      <c r="M4729" t="inlineStr"/>
      <c r="N4729" t="inlineStr">
        <is>
          <t>20240731900405</t>
        </is>
      </c>
      <c r="O4729">
        <f>HYPERLINK("https://dart.fss.or.kr/dsaf001/main.do?rcpNo=20240731900405", "공시열람")</f>
        <v/>
      </c>
    </row>
    <row r="4730">
      <c r="A4730" t="inlineStr">
        <is>
          <t>2024-07-31</t>
        </is>
      </c>
      <c r="B4730" t="inlineStr">
        <is>
          <t>HS애드</t>
        </is>
      </c>
      <c r="C4730" t="inlineStr">
        <is>
          <t>035000</t>
        </is>
      </c>
      <c r="D4730" t="inlineStr">
        <is>
          <t>연결</t>
        </is>
      </c>
      <c r="E4730" t="inlineStr">
        <is>
          <t>2024Q2</t>
        </is>
      </c>
      <c r="F4730" s="2" t="n">
        <v>124782</v>
      </c>
      <c r="G4730" t="inlineStr"/>
      <c r="H4730" t="inlineStr"/>
      <c r="I4730" s="2" t="n">
        <v>6152</v>
      </c>
      <c r="J4730" t="inlineStr"/>
      <c r="K4730" t="inlineStr"/>
      <c r="L4730" s="2" t="n">
        <v>6807</v>
      </c>
      <c r="M4730" t="inlineStr"/>
      <c r="N4730" t="inlineStr">
        <is>
          <t>20240731800440</t>
        </is>
      </c>
      <c r="O4730">
        <f>HYPERLINK("https://dart.fss.or.kr/dsaf001/main.do?rcpNo=20240731800440", "공시열람")</f>
        <v/>
      </c>
    </row>
    <row r="4731">
      <c r="A4731" t="inlineStr">
        <is>
          <t>2024-07-31</t>
        </is>
      </c>
      <c r="B4731" t="inlineStr">
        <is>
          <t>제일기획</t>
        </is>
      </c>
      <c r="C4731" t="inlineStr">
        <is>
          <t>030000</t>
        </is>
      </c>
      <c r="D4731" t="inlineStr">
        <is>
          <t>연결</t>
        </is>
      </c>
      <c r="E4731" t="inlineStr">
        <is>
          <t>2024Q2</t>
        </is>
      </c>
      <c r="F4731" s="2" t="n">
        <v>1089447</v>
      </c>
      <c r="G4731" t="n">
        <v>7.02</v>
      </c>
      <c r="H4731" t="n">
        <v>12.15</v>
      </c>
      <c r="I4731" s="2" t="n">
        <v>88210</v>
      </c>
      <c r="J4731" t="n">
        <v>61.72</v>
      </c>
      <c r="K4731" t="n">
        <v>4.17</v>
      </c>
      <c r="L4731" s="2" t="n">
        <v>65323</v>
      </c>
      <c r="M4731" t="n">
        <v>0.11</v>
      </c>
      <c r="N4731" t="inlineStr">
        <is>
          <t>20240731800172</t>
        </is>
      </c>
      <c r="O4731">
        <f>HYPERLINK("https://dart.fss.or.kr/dsaf001/main.do?rcpNo=20240731800172", "공시열람")</f>
        <v/>
      </c>
    </row>
    <row r="4732">
      <c r="A4732" t="inlineStr">
        <is>
          <t>2024-07-31</t>
        </is>
      </c>
      <c r="B4732" t="inlineStr">
        <is>
          <t>애경산업</t>
        </is>
      </c>
      <c r="C4732" t="inlineStr">
        <is>
          <t>018250</t>
        </is>
      </c>
      <c r="D4732" t="inlineStr">
        <is>
          <t>연결</t>
        </is>
      </c>
      <c r="E4732" t="inlineStr">
        <is>
          <t>2024Q2</t>
        </is>
      </c>
      <c r="F4732" s="2" t="n">
        <v>173609</v>
      </c>
      <c r="G4732" t="inlineStr"/>
      <c r="H4732" t="inlineStr"/>
      <c r="I4732" s="2" t="n">
        <v>17458</v>
      </c>
      <c r="J4732" t="inlineStr"/>
      <c r="K4732" t="inlineStr"/>
      <c r="L4732" s="2" t="n">
        <v>12942</v>
      </c>
      <c r="M4732" t="inlineStr"/>
      <c r="N4732" t="inlineStr">
        <is>
          <t>20240731800404</t>
        </is>
      </c>
      <c r="O4732">
        <f>HYPERLINK("https://dart.fss.or.kr/dsaf001/main.do?rcpNo=20240731800404", "공시열람")</f>
        <v/>
      </c>
    </row>
    <row r="4733">
      <c r="A4733" t="inlineStr">
        <is>
          <t>2024-07-31</t>
        </is>
      </c>
      <c r="B4733" t="inlineStr">
        <is>
          <t>라온로보틱스</t>
        </is>
      </c>
      <c r="C4733" t="inlineStr">
        <is>
          <t>232680</t>
        </is>
      </c>
      <c r="D4733" t="inlineStr">
        <is>
          <t>별도</t>
        </is>
      </c>
      <c r="E4733" t="inlineStr">
        <is>
          <t>2024Q2</t>
        </is>
      </c>
      <c r="F4733" s="2" t="n">
        <v>10462</v>
      </c>
      <c r="G4733" t="inlineStr"/>
      <c r="H4733" t="inlineStr"/>
      <c r="I4733" s="2" t="n">
        <v>830</v>
      </c>
      <c r="J4733" t="inlineStr"/>
      <c r="K4733" t="inlineStr"/>
      <c r="L4733" s="2" t="n">
        <v>2129</v>
      </c>
      <c r="M4733" t="inlineStr"/>
      <c r="N4733" t="inlineStr">
        <is>
          <t>20240731900304</t>
        </is>
      </c>
      <c r="O4733">
        <f>HYPERLINK("https://dart.fss.or.kr/dsaf001/main.do?rcpNo=20240731900304", "공시열람")</f>
        <v/>
      </c>
    </row>
    <row r="4734">
      <c r="A4734" t="inlineStr">
        <is>
          <t>2024-07-31</t>
        </is>
      </c>
      <c r="B4734" t="inlineStr">
        <is>
          <t>엘컴텍</t>
        </is>
      </c>
      <c r="C4734" t="inlineStr">
        <is>
          <t>037950</t>
        </is>
      </c>
      <c r="D4734" t="inlineStr">
        <is>
          <t>연결</t>
        </is>
      </c>
      <c r="E4734" t="inlineStr">
        <is>
          <t>2024Q2</t>
        </is>
      </c>
      <c r="F4734" s="2" t="n">
        <v>16128</v>
      </c>
      <c r="G4734" t="inlineStr"/>
      <c r="H4734" t="inlineStr"/>
      <c r="I4734" s="2" t="n">
        <v>1269</v>
      </c>
      <c r="J4734" t="inlineStr"/>
      <c r="K4734" t="inlineStr"/>
      <c r="L4734" s="2" t="n">
        <v>1451</v>
      </c>
      <c r="M4734" t="inlineStr"/>
      <c r="N4734" t="inlineStr">
        <is>
          <t>20240731900406</t>
        </is>
      </c>
      <c r="O4734">
        <f>HYPERLINK("https://dart.fss.or.kr/dsaf001/main.do?rcpNo=20240731900406", "공시열람")</f>
        <v/>
      </c>
    </row>
    <row r="4735">
      <c r="A4735" t="inlineStr">
        <is>
          <t>2024-07-31</t>
        </is>
      </c>
      <c r="B4735" t="inlineStr">
        <is>
          <t>키움증권</t>
        </is>
      </c>
      <c r="C4735" t="inlineStr">
        <is>
          <t>039490</t>
        </is>
      </c>
      <c r="D4735" t="inlineStr">
        <is>
          <t>연결</t>
        </is>
      </c>
      <c r="E4735" t="inlineStr">
        <is>
          <t>2024Q2</t>
        </is>
      </c>
      <c r="F4735" s="2" t="n">
        <v>2280528</v>
      </c>
      <c r="G4735" t="n">
        <v>-13.73</v>
      </c>
      <c r="H4735" t="n">
        <v>2.64</v>
      </c>
      <c r="I4735" s="2" t="n">
        <v>312328</v>
      </c>
      <c r="J4735" t="n">
        <v>-7.51</v>
      </c>
      <c r="K4735" t="n">
        <v>72.68000000000001</v>
      </c>
      <c r="L4735" s="2" t="n">
        <v>232144</v>
      </c>
      <c r="M4735" t="n">
        <v>74.01000000000001</v>
      </c>
      <c r="N4735" t="inlineStr">
        <is>
          <t>20240731800004</t>
        </is>
      </c>
      <c r="O4735">
        <f>HYPERLINK("https://dart.fss.or.kr/dsaf001/main.do?rcpNo=20240731800004", "공시열람")</f>
        <v/>
      </c>
    </row>
    <row r="4736">
      <c r="A4736" t="inlineStr">
        <is>
          <t>2024-07-31</t>
        </is>
      </c>
      <c r="B4736" t="inlineStr">
        <is>
          <t>SOOP</t>
        </is>
      </c>
      <c r="C4736" t="inlineStr">
        <is>
          <t>067160</t>
        </is>
      </c>
      <c r="D4736" t="inlineStr">
        <is>
          <t>연결</t>
        </is>
      </c>
      <c r="E4736" t="inlineStr">
        <is>
          <t>2024Q2</t>
        </is>
      </c>
      <c r="F4736" s="2" t="n">
        <v>106530</v>
      </c>
      <c r="G4736" t="inlineStr"/>
      <c r="H4736" t="inlineStr"/>
      <c r="I4736" s="2" t="n">
        <v>33324</v>
      </c>
      <c r="J4736" t="inlineStr"/>
      <c r="K4736" t="inlineStr"/>
      <c r="L4736" s="2" t="n">
        <v>28330</v>
      </c>
      <c r="M4736" t="inlineStr"/>
      <c r="N4736" t="inlineStr">
        <is>
          <t>20240731900037</t>
        </is>
      </c>
      <c r="O4736">
        <f>HYPERLINK("https://dart.fss.or.kr/dsaf001/main.do?rcpNo=20240731900037", "공시열람")</f>
        <v/>
      </c>
    </row>
    <row r="4737">
      <c r="A4737" t="inlineStr">
        <is>
          <t>2024-07-31</t>
        </is>
      </c>
      <c r="B4737" t="inlineStr">
        <is>
          <t>삼성전자</t>
        </is>
      </c>
      <c r="C4737" t="inlineStr">
        <is>
          <t>005930</t>
        </is>
      </c>
      <c r="D4737" t="inlineStr">
        <is>
          <t>연결</t>
        </is>
      </c>
      <c r="E4737" t="inlineStr">
        <is>
          <t>2024Q2</t>
        </is>
      </c>
      <c r="F4737" s="2" t="n">
        <v>74068300</v>
      </c>
      <c r="G4737" t="n">
        <v>2.99</v>
      </c>
      <c r="H4737" t="n">
        <v>23.44</v>
      </c>
      <c r="I4737" s="2" t="n">
        <v>10443900</v>
      </c>
      <c r="J4737" t="n">
        <v>58.1</v>
      </c>
      <c r="K4737" t="n">
        <v>1462.29</v>
      </c>
      <c r="L4737" s="2" t="n">
        <v>9841300</v>
      </c>
      <c r="M4737" t="n">
        <v>470.97</v>
      </c>
      <c r="N4737" t="inlineStr">
        <is>
          <t>20240731800039</t>
        </is>
      </c>
      <c r="O4737">
        <f>HYPERLINK("https://dart.fss.or.kr/dsaf001/main.do?rcpNo=20240731800039", "공시열람")</f>
        <v/>
      </c>
    </row>
    <row r="4738">
      <c r="A4738" t="inlineStr">
        <is>
          <t>2024-07-31</t>
        </is>
      </c>
      <c r="B4738" t="inlineStr">
        <is>
          <t>삼성전자</t>
        </is>
      </c>
      <c r="C4738" t="inlineStr">
        <is>
          <t>005930</t>
        </is>
      </c>
      <c r="D4738" t="inlineStr">
        <is>
          <t>연결</t>
        </is>
      </c>
      <c r="E4738" t="inlineStr">
        <is>
          <t>2024Q2</t>
        </is>
      </c>
      <c r="F4738" s="2" t="n">
        <v>74</v>
      </c>
      <c r="G4738" t="n">
        <v>2.99</v>
      </c>
      <c r="H4738" t="n">
        <v>23.44</v>
      </c>
      <c r="I4738" s="2" t="n">
        <v>10</v>
      </c>
      <c r="J4738" t="n">
        <v>58.1</v>
      </c>
      <c r="K4738" t="n">
        <v>1462.29</v>
      </c>
      <c r="L4738" s="2" t="inlineStr"/>
      <c r="M4738" t="inlineStr"/>
      <c r="N4738" t="inlineStr">
        <is>
          <t>20240731800047</t>
        </is>
      </c>
      <c r="O4738">
        <f>HYPERLINK("https://dart.fss.or.kr/dsaf001/main.do?rcpNo=20240731800047", "공시열람")</f>
        <v/>
      </c>
    </row>
    <row r="4739">
      <c r="A4739" t="inlineStr">
        <is>
          <t>2024-07-31</t>
        </is>
      </c>
      <c r="B4739" t="inlineStr">
        <is>
          <t>에이피알</t>
        </is>
      </c>
      <c r="C4739" t="inlineStr">
        <is>
          <t>278470</t>
        </is>
      </c>
      <c r="D4739" t="inlineStr">
        <is>
          <t>연결</t>
        </is>
      </c>
      <c r="E4739" t="inlineStr">
        <is>
          <t>2024Q2</t>
        </is>
      </c>
      <c r="F4739" s="2" t="n">
        <v>155494</v>
      </c>
      <c r="G4739" t="n">
        <v>4.4</v>
      </c>
      <c r="H4739" t="n">
        <v>21.8</v>
      </c>
      <c r="I4739" s="2" t="n">
        <v>28011</v>
      </c>
      <c r="J4739" t="n">
        <v>0.9</v>
      </c>
      <c r="K4739" t="n">
        <v>13</v>
      </c>
      <c r="L4739" s="2" t="n">
        <v>24099</v>
      </c>
      <c r="M4739" t="n">
        <v>28.4</v>
      </c>
      <c r="N4739" t="inlineStr">
        <is>
          <t>20240731800065</t>
        </is>
      </c>
      <c r="O4739">
        <f>HYPERLINK("https://dart.fss.or.kr/dsaf001/main.do?rcpNo=20240731800065", "공시열람")</f>
        <v/>
      </c>
    </row>
    <row r="4740">
      <c r="A4740" t="inlineStr">
        <is>
          <t>2024-07-31</t>
        </is>
      </c>
      <c r="B4740" t="inlineStr">
        <is>
          <t>샘씨엔에스</t>
        </is>
      </c>
      <c r="C4740" t="inlineStr">
        <is>
          <t>252990</t>
        </is>
      </c>
      <c r="D4740" t="inlineStr">
        <is>
          <t>별도</t>
        </is>
      </c>
      <c r="E4740" t="inlineStr">
        <is>
          <t>2024Q2</t>
        </is>
      </c>
      <c r="F4740" s="2" t="n">
        <v>13530</v>
      </c>
      <c r="G4740" t="inlineStr"/>
      <c r="H4740" t="inlineStr"/>
      <c r="I4740" s="2" t="n">
        <v>3044</v>
      </c>
      <c r="J4740" t="inlineStr"/>
      <c r="K4740" t="inlineStr"/>
      <c r="L4740" s="2" t="n">
        <v>2179</v>
      </c>
      <c r="M4740" t="inlineStr"/>
      <c r="N4740" t="inlineStr">
        <is>
          <t>20240731900081</t>
        </is>
      </c>
      <c r="O4740">
        <f>HYPERLINK("https://dart.fss.or.kr/dsaf001/main.do?rcpNo=20240731900081", "공시열람")</f>
        <v/>
      </c>
    </row>
    <row r="4741">
      <c r="A4741" t="inlineStr">
        <is>
          <t>2024-07-31</t>
        </is>
      </c>
      <c r="B4741" t="inlineStr">
        <is>
          <t>하츠</t>
        </is>
      </c>
      <c r="C4741" t="inlineStr">
        <is>
          <t>066130</t>
        </is>
      </c>
      <c r="D4741" t="inlineStr">
        <is>
          <t>별도</t>
        </is>
      </c>
      <c r="E4741" t="inlineStr">
        <is>
          <t>2024Q2</t>
        </is>
      </c>
      <c r="F4741" s="2" t="n">
        <v>49928</v>
      </c>
      <c r="G4741" t="inlineStr"/>
      <c r="H4741" t="inlineStr"/>
      <c r="I4741" s="2" t="n">
        <v>5957</v>
      </c>
      <c r="J4741" t="inlineStr"/>
      <c r="K4741" t="inlineStr"/>
      <c r="L4741" s="2" t="n">
        <v>4767</v>
      </c>
      <c r="M4741" t="inlineStr"/>
      <c r="N4741" t="inlineStr">
        <is>
          <t>20240731900093</t>
        </is>
      </c>
      <c r="O4741">
        <f>HYPERLINK("https://dart.fss.or.kr/dsaf001/main.do?rcpNo=20240731900093", "공시열람")</f>
        <v/>
      </c>
    </row>
    <row r="4742">
      <c r="A4742" t="inlineStr">
        <is>
          <t>2024-07-31</t>
        </is>
      </c>
      <c r="B4742" t="inlineStr">
        <is>
          <t>BNK금융지주</t>
        </is>
      </c>
      <c r="C4742" t="inlineStr">
        <is>
          <t>138930</t>
        </is>
      </c>
      <c r="D4742" t="inlineStr">
        <is>
          <t>연결</t>
        </is>
      </c>
      <c r="E4742" t="inlineStr">
        <is>
          <t>2024Q2</t>
        </is>
      </c>
      <c r="F4742" s="2" t="n">
        <v>273051</v>
      </c>
      <c r="G4742" t="n">
        <v>-8.58</v>
      </c>
      <c r="H4742" t="n">
        <v>30.12</v>
      </c>
      <c r="I4742" s="2" t="n">
        <v>-9423</v>
      </c>
      <c r="J4742" t="inlineStr"/>
      <c r="K4742" t="n">
        <v>-3030.31</v>
      </c>
      <c r="L4742" s="2" t="n">
        <v>-7434</v>
      </c>
      <c r="M4742" t="n">
        <v>-1934.92</v>
      </c>
      <c r="N4742" t="inlineStr">
        <is>
          <t>20240731800197</t>
        </is>
      </c>
      <c r="O4742">
        <f>HYPERLINK("https://dart.fss.or.kr/dsaf001/main.do?rcpNo=20240731800197", "공시열람")</f>
        <v/>
      </c>
    </row>
    <row r="4743">
      <c r="A4743" t="inlineStr">
        <is>
          <t>2024-07-31</t>
        </is>
      </c>
      <c r="B4743" t="inlineStr">
        <is>
          <t>BNK금융지주</t>
        </is>
      </c>
      <c r="C4743" t="inlineStr">
        <is>
          <t>138930</t>
        </is>
      </c>
      <c r="D4743" t="inlineStr">
        <is>
          <t>연결</t>
        </is>
      </c>
      <c r="E4743" t="inlineStr">
        <is>
          <t>2024Q2</t>
        </is>
      </c>
      <c r="F4743" s="2" t="n">
        <v>713781</v>
      </c>
      <c r="G4743" t="n">
        <v>-0.57</v>
      </c>
      <c r="H4743" t="n">
        <v>14.55</v>
      </c>
      <c r="I4743" s="2" t="n">
        <v>124025</v>
      </c>
      <c r="J4743" t="n">
        <v>-2.38</v>
      </c>
      <c r="K4743" t="n">
        <v>31.24</v>
      </c>
      <c r="L4743" s="2" t="n">
        <v>103089</v>
      </c>
      <c r="M4743" t="n">
        <v>34.97</v>
      </c>
      <c r="N4743" t="inlineStr">
        <is>
          <t>20240731800202</t>
        </is>
      </c>
      <c r="O4743">
        <f>HYPERLINK("https://dart.fss.or.kr/dsaf001/main.do?rcpNo=20240731800202", "공시열람")</f>
        <v/>
      </c>
    </row>
    <row r="4744">
      <c r="A4744" t="inlineStr">
        <is>
          <t>2024-07-31</t>
        </is>
      </c>
      <c r="B4744" t="inlineStr">
        <is>
          <t>BNK금융지주</t>
        </is>
      </c>
      <c r="C4744" t="inlineStr">
        <is>
          <t>138930</t>
        </is>
      </c>
      <c r="D4744" t="inlineStr">
        <is>
          <t>연결</t>
        </is>
      </c>
      <c r="E4744" t="inlineStr">
        <is>
          <t>2024Q2</t>
        </is>
      </c>
      <c r="F4744" s="2" t="n">
        <v>1079160</v>
      </c>
      <c r="G4744" t="n">
        <v>-13.06</v>
      </c>
      <c r="H4744" t="n">
        <v>-1.93</v>
      </c>
      <c r="I4744" s="2" t="n">
        <v>145666</v>
      </c>
      <c r="J4744" t="n">
        <v>-1.88</v>
      </c>
      <c r="K4744" t="n">
        <v>-3.93</v>
      </c>
      <c r="L4744" s="2" t="n">
        <v>126268</v>
      </c>
      <c r="M4744" t="n">
        <v>4.45</v>
      </c>
      <c r="N4744" t="inlineStr">
        <is>
          <t>20240731800204</t>
        </is>
      </c>
      <c r="O4744">
        <f>HYPERLINK("https://dart.fss.or.kr/dsaf001/main.do?rcpNo=20240731800204", "공시열람")</f>
        <v/>
      </c>
    </row>
    <row r="4745">
      <c r="A4745" t="inlineStr">
        <is>
          <t>2024-07-31</t>
        </is>
      </c>
      <c r="B4745" t="inlineStr">
        <is>
          <t>삼성전기</t>
        </is>
      </c>
      <c r="C4745" t="inlineStr">
        <is>
          <t>009150</t>
        </is>
      </c>
      <c r="D4745" t="inlineStr">
        <is>
          <t>연결</t>
        </is>
      </c>
      <c r="E4745" t="inlineStr">
        <is>
          <t>2024Q2</t>
        </is>
      </c>
      <c r="F4745" s="2" t="n">
        <v>2580132</v>
      </c>
      <c r="G4745" t="inlineStr"/>
      <c r="H4745" t="inlineStr"/>
      <c r="I4745" s="2" t="n">
        <v>208100</v>
      </c>
      <c r="J4745" t="inlineStr"/>
      <c r="K4745" t="inlineStr"/>
      <c r="L4745" s="2" t="n">
        <v>181376</v>
      </c>
      <c r="M4745" t="inlineStr"/>
      <c r="N4745" t="inlineStr">
        <is>
          <t>20240731800180</t>
        </is>
      </c>
      <c r="O4745">
        <f>HYPERLINK("https://dart.fss.or.kr/dsaf001/main.do?rcpNo=20240731800180", "공시열람")</f>
        <v/>
      </c>
    </row>
    <row r="4746">
      <c r="A4746" t="inlineStr">
        <is>
          <t>2024-07-31</t>
        </is>
      </c>
      <c r="B4746" t="inlineStr">
        <is>
          <t>넥센타이어</t>
        </is>
      </c>
      <c r="C4746" t="inlineStr">
        <is>
          <t>002350</t>
        </is>
      </c>
      <c r="D4746" t="inlineStr">
        <is>
          <t>연결</t>
        </is>
      </c>
      <c r="E4746" t="inlineStr">
        <is>
          <t>2024Q2</t>
        </is>
      </c>
      <c r="F4746" s="2" t="n">
        <v>763753</v>
      </c>
      <c r="G4746" t="inlineStr"/>
      <c r="H4746" t="inlineStr"/>
      <c r="I4746" s="2" t="n">
        <v>62860</v>
      </c>
      <c r="J4746" t="inlineStr"/>
      <c r="K4746" t="inlineStr"/>
      <c r="L4746" s="2" t="n">
        <v>44405</v>
      </c>
      <c r="M4746" t="inlineStr"/>
      <c r="N4746" t="inlineStr">
        <is>
          <t>20240731800293</t>
        </is>
      </c>
      <c r="O4746">
        <f>HYPERLINK("https://dart.fss.or.kr/dsaf001/main.do?rcpNo=20240731800293", "공시열람")</f>
        <v/>
      </c>
    </row>
    <row r="4747">
      <c r="A4747" t="inlineStr">
        <is>
          <t>2024-07-31</t>
        </is>
      </c>
      <c r="B4747" t="inlineStr">
        <is>
          <t>BNK금융지주</t>
        </is>
      </c>
      <c r="C4747" t="inlineStr">
        <is>
          <t>138930</t>
        </is>
      </c>
      <c r="D4747" t="inlineStr">
        <is>
          <t>연결</t>
        </is>
      </c>
      <c r="E4747" t="inlineStr">
        <is>
          <t>2024Q2</t>
        </is>
      </c>
      <c r="F4747" s="2" t="n">
        <v>2485214</v>
      </c>
      <c r="G4747" t="n">
        <v>-6.2</v>
      </c>
      <c r="H4747" t="n">
        <v>7.96</v>
      </c>
      <c r="I4747" s="2" t="n">
        <v>294309</v>
      </c>
      <c r="J4747" t="n">
        <v>-5.51</v>
      </c>
      <c r="K4747" t="n">
        <v>5.48</v>
      </c>
      <c r="L4747" s="2" t="n">
        <v>248232</v>
      </c>
      <c r="M4747" t="n">
        <v>15.46</v>
      </c>
      <c r="N4747" t="inlineStr">
        <is>
          <t>20240731800207</t>
        </is>
      </c>
      <c r="O4747">
        <f>HYPERLINK("https://dart.fss.or.kr/dsaf001/main.do?rcpNo=20240731800207", "공시열람")</f>
        <v/>
      </c>
    </row>
    <row r="4748">
      <c r="A4748" t="inlineStr">
        <is>
          <t>2024-07-31</t>
        </is>
      </c>
      <c r="B4748" t="inlineStr">
        <is>
          <t>아이센스</t>
        </is>
      </c>
      <c r="C4748" t="inlineStr">
        <is>
          <t>099190</t>
        </is>
      </c>
      <c r="D4748" t="inlineStr">
        <is>
          <t>연결</t>
        </is>
      </c>
      <c r="E4748" t="inlineStr">
        <is>
          <t>2024Q2</t>
        </is>
      </c>
      <c r="F4748" s="2" t="n">
        <v>69900</v>
      </c>
      <c r="G4748" t="inlineStr"/>
      <c r="H4748" t="inlineStr"/>
      <c r="I4748" s="2" t="n">
        <v>1970</v>
      </c>
      <c r="J4748" t="inlineStr"/>
      <c r="K4748" t="inlineStr"/>
      <c r="L4748" s="2" t="n">
        <v>29</v>
      </c>
      <c r="M4748" t="inlineStr"/>
      <c r="N4748" t="inlineStr">
        <is>
          <t>20240731900394</t>
        </is>
      </c>
      <c r="O4748">
        <f>HYPERLINK("https://dart.fss.or.kr/dsaf001/main.do?rcpNo=20240731900394", "공시열람")</f>
        <v/>
      </c>
    </row>
    <row r="4749">
      <c r="A4749" t="inlineStr">
        <is>
          <t>2024-07-31</t>
        </is>
      </c>
      <c r="B4749" t="inlineStr">
        <is>
          <t>HK이노엔</t>
        </is>
      </c>
      <c r="C4749" t="inlineStr">
        <is>
          <t>195940</t>
        </is>
      </c>
      <c r="D4749" t="inlineStr">
        <is>
          <t>별도</t>
        </is>
      </c>
      <c r="E4749" t="inlineStr">
        <is>
          <t>2024Q2</t>
        </is>
      </c>
      <c r="F4749" s="2" t="n">
        <v>219285</v>
      </c>
      <c r="G4749" t="inlineStr"/>
      <c r="H4749" t="inlineStr"/>
      <c r="I4749" s="2" t="n">
        <v>24348</v>
      </c>
      <c r="J4749" t="inlineStr"/>
      <c r="K4749" t="inlineStr"/>
      <c r="L4749" s="2" t="n">
        <v>17416</v>
      </c>
      <c r="M4749" t="inlineStr"/>
      <c r="N4749" t="inlineStr">
        <is>
          <t>20240731900120</t>
        </is>
      </c>
      <c r="O4749">
        <f>HYPERLINK("https://dart.fss.or.kr/dsaf001/main.do?rcpNo=20240731900120", "공시열람")</f>
        <v/>
      </c>
    </row>
    <row r="4750">
      <c r="A4750" t="inlineStr">
        <is>
          <t>2024-07-31</t>
        </is>
      </c>
      <c r="B4750" t="inlineStr">
        <is>
          <t>SK아이이테크놀로지</t>
        </is>
      </c>
      <c r="C4750" t="inlineStr">
        <is>
          <t>361610</t>
        </is>
      </c>
      <c r="D4750" t="inlineStr">
        <is>
          <t>연결</t>
        </is>
      </c>
      <c r="E4750" t="inlineStr">
        <is>
          <t>2024Q2</t>
        </is>
      </c>
      <c r="F4750" s="2" t="n">
        <v>61695</v>
      </c>
      <c r="G4750" t="inlineStr"/>
      <c r="H4750" t="inlineStr"/>
      <c r="I4750" s="2" t="n">
        <v>-58673</v>
      </c>
      <c r="J4750" t="inlineStr"/>
      <c r="K4750" t="inlineStr"/>
      <c r="L4750" s="2" t="n">
        <v>-47967</v>
      </c>
      <c r="M4750" t="inlineStr"/>
      <c r="N4750" t="inlineStr">
        <is>
          <t>20240731800370</t>
        </is>
      </c>
      <c r="O4750">
        <f>HYPERLINK("https://dart.fss.or.kr/dsaf001/main.do?rcpNo=20240731800370", "공시열람")</f>
        <v/>
      </c>
    </row>
    <row r="4751">
      <c r="A4751" t="inlineStr">
        <is>
          <t>2024-07-31</t>
        </is>
      </c>
      <c r="B4751" t="inlineStr">
        <is>
          <t>삼성물산</t>
        </is>
      </c>
      <c r="C4751" t="inlineStr">
        <is>
          <t>028260</t>
        </is>
      </c>
      <c r="D4751" t="inlineStr">
        <is>
          <t>연결</t>
        </is>
      </c>
      <c r="E4751" t="inlineStr">
        <is>
          <t>2024Q2</t>
        </is>
      </c>
      <c r="F4751" s="2" t="n">
        <v>11004819</v>
      </c>
      <c r="G4751" t="inlineStr"/>
      <c r="H4751" t="inlineStr"/>
      <c r="I4751" s="2" t="n">
        <v>900372</v>
      </c>
      <c r="J4751" t="inlineStr"/>
      <c r="K4751" t="inlineStr"/>
      <c r="L4751" s="2" t="n">
        <v>734036</v>
      </c>
      <c r="M4751" t="inlineStr"/>
      <c r="N4751" t="inlineStr">
        <is>
          <t>20240731800362</t>
        </is>
      </c>
      <c r="O4751">
        <f>HYPERLINK("https://dart.fss.or.kr/dsaf001/main.do?rcpNo=20240731800362", "공시열람")</f>
        <v/>
      </c>
    </row>
    <row r="4752">
      <c r="A4752" t="inlineStr">
        <is>
          <t>2024-07-30</t>
        </is>
      </c>
      <c r="B4752" t="inlineStr">
        <is>
          <t>한화시스템</t>
        </is>
      </c>
      <c r="C4752" t="inlineStr">
        <is>
          <t>272210</t>
        </is>
      </c>
      <c r="D4752" t="inlineStr">
        <is>
          <t>연결</t>
        </is>
      </c>
      <c r="E4752" t="inlineStr">
        <is>
          <t>2024Q2</t>
        </is>
      </c>
      <c r="F4752" s="2" t="n">
        <v>687319</v>
      </c>
      <c r="G4752" t="n">
        <v>26.26</v>
      </c>
      <c r="H4752" t="n">
        <v>12.55</v>
      </c>
      <c r="I4752" s="2" t="n">
        <v>79837</v>
      </c>
      <c r="J4752" t="n">
        <v>103.33</v>
      </c>
      <c r="K4752" t="n">
        <v>167.05</v>
      </c>
      <c r="L4752" s="2" t="n">
        <v>27036</v>
      </c>
      <c r="M4752" t="n">
        <v>-63.83</v>
      </c>
      <c r="N4752" t="inlineStr">
        <is>
          <t>20240730800089</t>
        </is>
      </c>
      <c r="O4752">
        <f>HYPERLINK("https://dart.fss.or.kr/dsaf001/main.do?rcpNo=20240730800089", "공시열람")</f>
        <v/>
      </c>
    </row>
    <row r="4753">
      <c r="A4753" t="inlineStr">
        <is>
          <t>2024-07-30</t>
        </is>
      </c>
      <c r="B4753" t="inlineStr">
        <is>
          <t>에코프로비엠</t>
        </is>
      </c>
      <c r="C4753" t="inlineStr">
        <is>
          <t>247540</t>
        </is>
      </c>
      <c r="D4753" t="inlineStr">
        <is>
          <t>연결</t>
        </is>
      </c>
      <c r="E4753" t="inlineStr">
        <is>
          <t>2024Q2</t>
        </is>
      </c>
      <c r="F4753" s="2" t="n">
        <v>809517</v>
      </c>
      <c r="G4753" t="inlineStr"/>
      <c r="H4753" t="inlineStr"/>
      <c r="I4753" s="2" t="n">
        <v>3903</v>
      </c>
      <c r="J4753" t="inlineStr"/>
      <c r="K4753" t="inlineStr"/>
      <c r="L4753" s="2" t="n">
        <v>-8843</v>
      </c>
      <c r="M4753" t="inlineStr"/>
      <c r="N4753" t="inlineStr">
        <is>
          <t>20240730900340</t>
        </is>
      </c>
      <c r="O4753">
        <f>HYPERLINK("https://dart.fss.or.kr/dsaf001/main.do?rcpNo=20240730900340", "공시열람")</f>
        <v/>
      </c>
    </row>
    <row r="4754">
      <c r="A4754" t="inlineStr">
        <is>
          <t>2024-07-30</t>
        </is>
      </c>
      <c r="B4754" t="inlineStr">
        <is>
          <t>롯데칠성음료</t>
        </is>
      </c>
      <c r="C4754" t="inlineStr">
        <is>
          <t>005300</t>
        </is>
      </c>
      <c r="D4754" t="inlineStr">
        <is>
          <t>연결</t>
        </is>
      </c>
      <c r="E4754" t="inlineStr">
        <is>
          <t>2024Q2</t>
        </is>
      </c>
      <c r="F4754" s="2" t="n">
        <v>1099250</v>
      </c>
      <c r="G4754" t="n">
        <v>17.3</v>
      </c>
      <c r="H4754" t="n">
        <v>38.1</v>
      </c>
      <c r="I4754" s="2" t="n">
        <v>60243</v>
      </c>
      <c r="J4754" t="n">
        <v>63.9</v>
      </c>
      <c r="K4754" t="n">
        <v>1.8</v>
      </c>
      <c r="L4754" s="2" t="n">
        <v>21081</v>
      </c>
      <c r="M4754" t="n">
        <v>-36.1</v>
      </c>
      <c r="N4754" t="inlineStr">
        <is>
          <t>20240730800311</t>
        </is>
      </c>
      <c r="O4754">
        <f>HYPERLINK("https://dart.fss.or.kr/dsaf001/main.do?rcpNo=20240730800311", "공시열람")</f>
        <v/>
      </c>
    </row>
    <row r="4755">
      <c r="A4755" t="inlineStr">
        <is>
          <t>2024-07-30</t>
        </is>
      </c>
      <c r="B4755" t="inlineStr">
        <is>
          <t>슈프리마</t>
        </is>
      </c>
      <c r="C4755" t="inlineStr">
        <is>
          <t>236200</t>
        </is>
      </c>
      <c r="D4755" t="inlineStr">
        <is>
          <t>연결</t>
        </is>
      </c>
      <c r="E4755" t="inlineStr">
        <is>
          <t>2024Q2</t>
        </is>
      </c>
      <c r="F4755" s="2" t="n">
        <v>28140</v>
      </c>
      <c r="G4755" t="inlineStr"/>
      <c r="H4755" t="inlineStr"/>
      <c r="I4755" s="2" t="n">
        <v>6728</v>
      </c>
      <c r="J4755" t="inlineStr"/>
      <c r="K4755" t="inlineStr"/>
      <c r="L4755" s="2" t="n">
        <v>8846</v>
      </c>
      <c r="M4755" t="inlineStr"/>
      <c r="N4755" t="inlineStr">
        <is>
          <t>20240730900337</t>
        </is>
      </c>
      <c r="O4755">
        <f>HYPERLINK("https://dart.fss.or.kr/dsaf001/main.do?rcpNo=20240730900337", "공시열람")</f>
        <v/>
      </c>
    </row>
    <row r="4756">
      <c r="A4756" t="inlineStr">
        <is>
          <t>2024-07-30</t>
        </is>
      </c>
      <c r="B4756" t="inlineStr">
        <is>
          <t>금호타이어</t>
        </is>
      </c>
      <c r="C4756" t="inlineStr">
        <is>
          <t>073240</t>
        </is>
      </c>
      <c r="D4756" t="inlineStr">
        <is>
          <t>연결</t>
        </is>
      </c>
      <c r="E4756" t="inlineStr">
        <is>
          <t>2024Q2</t>
        </is>
      </c>
      <c r="F4756" s="2" t="n">
        <v>1131937</v>
      </c>
      <c r="G4756" t="n">
        <v>8.4</v>
      </c>
      <c r="H4756" t="n">
        <v>12.7</v>
      </c>
      <c r="I4756" s="2" t="n">
        <v>151509</v>
      </c>
      <c r="J4756" t="n">
        <v>4</v>
      </c>
      <c r="K4756" t="n">
        <v>72</v>
      </c>
      <c r="L4756" s="2" t="n">
        <v>80810</v>
      </c>
      <c r="M4756" t="n">
        <v>167.1</v>
      </c>
      <c r="N4756" t="inlineStr">
        <is>
          <t>20240730800323</t>
        </is>
      </c>
      <c r="O4756">
        <f>HYPERLINK("https://dart.fss.or.kr/dsaf001/main.do?rcpNo=20240730800323", "공시열람")</f>
        <v/>
      </c>
    </row>
    <row r="4757">
      <c r="A4757" t="inlineStr">
        <is>
          <t>2024-07-30</t>
        </is>
      </c>
      <c r="B4757" t="inlineStr">
        <is>
          <t>에이치시티</t>
        </is>
      </c>
      <c r="C4757" t="inlineStr">
        <is>
          <t>072990</t>
        </is>
      </c>
      <c r="D4757" t="inlineStr">
        <is>
          <t>연결</t>
        </is>
      </c>
      <c r="E4757" t="inlineStr">
        <is>
          <t>2024Q2</t>
        </is>
      </c>
      <c r="F4757" s="2" t="n">
        <v>23980</v>
      </c>
      <c r="G4757" t="inlineStr"/>
      <c r="H4757" t="inlineStr"/>
      <c r="I4757" s="2" t="n">
        <v>3846</v>
      </c>
      <c r="J4757" t="inlineStr"/>
      <c r="K4757" t="inlineStr"/>
      <c r="L4757" s="2" t="n">
        <v>2953</v>
      </c>
      <c r="M4757" t="inlineStr"/>
      <c r="N4757" t="inlineStr">
        <is>
          <t>20240730900233</t>
        </is>
      </c>
      <c r="O4757">
        <f>HYPERLINK("https://dart.fss.or.kr/dsaf001/main.do?rcpNo=20240730900233", "공시열람")</f>
        <v/>
      </c>
    </row>
    <row r="4758">
      <c r="A4758" t="inlineStr">
        <is>
          <t>2024-07-30</t>
        </is>
      </c>
      <c r="B4758" t="inlineStr">
        <is>
          <t>롯데정밀화학</t>
        </is>
      </c>
      <c r="C4758" t="inlineStr">
        <is>
          <t>004000</t>
        </is>
      </c>
      <c r="D4758" t="inlineStr">
        <is>
          <t>연결</t>
        </is>
      </c>
      <c r="E4758" t="inlineStr">
        <is>
          <t>2024Q2</t>
        </is>
      </c>
      <c r="F4758" s="2" t="n">
        <v>422100</v>
      </c>
      <c r="G4758" t="n">
        <v>5.7</v>
      </c>
      <c r="H4758" t="n">
        <v>-2.1</v>
      </c>
      <c r="I4758" s="2" t="n">
        <v>17100</v>
      </c>
      <c r="J4758" t="n">
        <v>58.3</v>
      </c>
      <c r="K4758" t="n">
        <v>-75.3</v>
      </c>
      <c r="L4758" s="2" t="n">
        <v>43300</v>
      </c>
      <c r="M4758" t="inlineStr"/>
      <c r="N4758" t="inlineStr">
        <is>
          <t>20240730800217</t>
        </is>
      </c>
      <c r="O4758">
        <f>HYPERLINK("https://dart.fss.or.kr/dsaf001/main.do?rcpNo=20240730800217", "공시열람")</f>
        <v/>
      </c>
    </row>
    <row r="4759">
      <c r="A4759" t="inlineStr">
        <is>
          <t>2024-07-30</t>
        </is>
      </c>
      <c r="B4759" t="inlineStr">
        <is>
          <t>유한양행</t>
        </is>
      </c>
      <c r="C4759" t="inlineStr">
        <is>
          <t>000100</t>
        </is>
      </c>
      <c r="D4759" t="inlineStr">
        <is>
          <t>별도</t>
        </is>
      </c>
      <c r="E4759" t="inlineStr">
        <is>
          <t>2024Q1</t>
        </is>
      </c>
      <c r="F4759" s="2" t="n">
        <v>514627</v>
      </c>
      <c r="G4759" t="n">
        <v>18.8</v>
      </c>
      <c r="H4759" t="n">
        <v>6.8</v>
      </c>
      <c r="I4759" s="2" t="n">
        <v>15731</v>
      </c>
      <c r="J4759" t="n">
        <v>156.1</v>
      </c>
      <c r="K4759" t="n">
        <v>-35.5</v>
      </c>
      <c r="L4759" s="2" t="n">
        <v>24525</v>
      </c>
      <c r="M4759" t="n">
        <v>37.5</v>
      </c>
      <c r="N4759" t="inlineStr">
        <is>
          <t>20240730800192</t>
        </is>
      </c>
      <c r="O4759">
        <f>HYPERLINK("https://dart.fss.or.kr/dsaf001/main.do?rcpNo=20240730800192", "공시열람")</f>
        <v/>
      </c>
    </row>
    <row r="4760">
      <c r="A4760" t="inlineStr">
        <is>
          <t>2024-07-30</t>
        </is>
      </c>
      <c r="B4760" t="inlineStr">
        <is>
          <t>에코프로머티</t>
        </is>
      </c>
      <c r="C4760" t="inlineStr">
        <is>
          <t>450080</t>
        </is>
      </c>
      <c r="D4760" t="inlineStr">
        <is>
          <t>별도</t>
        </is>
      </c>
      <c r="E4760" t="inlineStr">
        <is>
          <t>2024Q2</t>
        </is>
      </c>
      <c r="F4760" s="2" t="n">
        <v>66692</v>
      </c>
      <c r="G4760" t="n">
        <v>-15.8</v>
      </c>
      <c r="H4760" t="n">
        <v>-76.90000000000001</v>
      </c>
      <c r="I4760" s="2" t="n">
        <v>-3667</v>
      </c>
      <c r="J4760" t="n">
        <v>71.7</v>
      </c>
      <c r="K4760" t="inlineStr"/>
      <c r="L4760" s="2" t="n">
        <v>-847</v>
      </c>
      <c r="M4760" t="inlineStr"/>
      <c r="N4760" t="inlineStr">
        <is>
          <t>20240730800332</t>
        </is>
      </c>
      <c r="O4760">
        <f>HYPERLINK("https://dart.fss.or.kr/dsaf001/main.do?rcpNo=20240730800332", "공시열람")</f>
        <v/>
      </c>
    </row>
    <row r="4761">
      <c r="A4761" t="inlineStr">
        <is>
          <t>2024-07-30</t>
        </is>
      </c>
      <c r="B4761" t="inlineStr">
        <is>
          <t>에코프로</t>
        </is>
      </c>
      <c r="C4761" t="inlineStr">
        <is>
          <t>086520</t>
        </is>
      </c>
      <c r="D4761" t="inlineStr">
        <is>
          <t>연결</t>
        </is>
      </c>
      <c r="E4761" t="inlineStr">
        <is>
          <t>2024Q2</t>
        </is>
      </c>
      <c r="F4761" s="2" t="n">
        <v>864090</v>
      </c>
      <c r="G4761" t="inlineStr"/>
      <c r="H4761" t="inlineStr"/>
      <c r="I4761" s="2" t="n">
        <v>-54637</v>
      </c>
      <c r="J4761" t="inlineStr"/>
      <c r="K4761" t="inlineStr"/>
      <c r="L4761" s="2" t="n">
        <v>-63620</v>
      </c>
      <c r="M4761" t="inlineStr"/>
      <c r="N4761" t="inlineStr">
        <is>
          <t>20240730900339</t>
        </is>
      </c>
      <c r="O4761">
        <f>HYPERLINK("https://dart.fss.or.kr/dsaf001/main.do?rcpNo=20240730900339", "공시열람")</f>
        <v/>
      </c>
    </row>
    <row r="4762">
      <c r="A4762" t="inlineStr">
        <is>
          <t>2024-07-30</t>
        </is>
      </c>
      <c r="B4762" t="inlineStr">
        <is>
          <t>에코프로에이치엔</t>
        </is>
      </c>
      <c r="C4762" t="inlineStr">
        <is>
          <t>383310</t>
        </is>
      </c>
      <c r="D4762" t="inlineStr">
        <is>
          <t>연결</t>
        </is>
      </c>
      <c r="E4762" t="inlineStr">
        <is>
          <t>2024Q2</t>
        </is>
      </c>
      <c r="F4762" s="2" t="n">
        <v>46833</v>
      </c>
      <c r="G4762" t="inlineStr"/>
      <c r="H4762" t="inlineStr"/>
      <c r="I4762" s="2" t="n">
        <v>3599</v>
      </c>
      <c r="J4762" t="inlineStr"/>
      <c r="K4762" t="inlineStr"/>
      <c r="L4762" s="2" t="n">
        <v>3182</v>
      </c>
      <c r="M4762" t="inlineStr"/>
      <c r="N4762" t="inlineStr">
        <is>
          <t>20240730900336</t>
        </is>
      </c>
      <c r="O4762">
        <f>HYPERLINK("https://dart.fss.or.kr/dsaf001/main.do?rcpNo=20240730900336", "공시열람")</f>
        <v/>
      </c>
    </row>
    <row r="4763">
      <c r="A4763" t="inlineStr">
        <is>
          <t>2024-07-30</t>
        </is>
      </c>
      <c r="B4763" t="inlineStr">
        <is>
          <t>대우건설</t>
        </is>
      </c>
      <c r="C4763" t="inlineStr">
        <is>
          <t>047040</t>
        </is>
      </c>
      <c r="D4763" t="inlineStr">
        <is>
          <t>연결</t>
        </is>
      </c>
      <c r="E4763" t="inlineStr">
        <is>
          <t>2024Q2</t>
        </is>
      </c>
      <c r="F4763" s="2" t="n">
        <v>2821500</v>
      </c>
      <c r="G4763" t="n">
        <v>13.4</v>
      </c>
      <c r="H4763" t="n">
        <v>-13.8</v>
      </c>
      <c r="I4763" s="2" t="n">
        <v>104800</v>
      </c>
      <c r="J4763" t="n">
        <v>-8.699999999999999</v>
      </c>
      <c r="K4763" t="n">
        <v>-51.9</v>
      </c>
      <c r="L4763" s="2" t="n">
        <v>96500</v>
      </c>
      <c r="M4763" t="n">
        <v>-52.7</v>
      </c>
      <c r="N4763" t="inlineStr">
        <is>
          <t>20240730800042</t>
        </is>
      </c>
      <c r="O4763">
        <f>HYPERLINK("https://dart.fss.or.kr/dsaf001/main.do?rcpNo=20240730800042", "공시열람")</f>
        <v/>
      </c>
    </row>
    <row r="4764">
      <c r="A4764" t="inlineStr">
        <is>
          <t>2024-07-30</t>
        </is>
      </c>
      <c r="B4764" t="inlineStr">
        <is>
          <t>PI첨단소재</t>
        </is>
      </c>
      <c r="C4764" t="inlineStr">
        <is>
          <t>178920</t>
        </is>
      </c>
      <c r="D4764" t="inlineStr">
        <is>
          <t>별도</t>
        </is>
      </c>
      <c r="E4764" t="inlineStr">
        <is>
          <t>2024Q2</t>
        </is>
      </c>
      <c r="F4764" s="2" t="n">
        <v>73713</v>
      </c>
      <c r="G4764" t="inlineStr"/>
      <c r="H4764" t="inlineStr"/>
      <c r="I4764" s="2" t="n">
        <v>17702</v>
      </c>
      <c r="J4764" t="inlineStr"/>
      <c r="K4764" t="inlineStr"/>
      <c r="L4764" s="2" t="n">
        <v>13478</v>
      </c>
      <c r="M4764" t="inlineStr"/>
      <c r="N4764" t="inlineStr">
        <is>
          <t>20240730800051</t>
        </is>
      </c>
      <c r="O4764">
        <f>HYPERLINK("https://dart.fss.or.kr/dsaf001/main.do?rcpNo=20240730800051", "공시열람")</f>
        <v/>
      </c>
    </row>
    <row r="4765">
      <c r="A4765" t="inlineStr">
        <is>
          <t>2024-07-30</t>
        </is>
      </c>
      <c r="B4765" t="inlineStr">
        <is>
          <t>대한전선</t>
        </is>
      </c>
      <c r="C4765" t="inlineStr">
        <is>
          <t>001440</t>
        </is>
      </c>
      <c r="D4765" t="inlineStr">
        <is>
          <t>연결</t>
        </is>
      </c>
      <c r="E4765" t="inlineStr">
        <is>
          <t>2024Q2</t>
        </is>
      </c>
      <c r="F4765" s="2" t="n">
        <v>864349</v>
      </c>
      <c r="G4765" t="n">
        <v>9.619999999999999</v>
      </c>
      <c r="H4765" t="n">
        <v>14.58</v>
      </c>
      <c r="I4765" s="2" t="n">
        <v>37387</v>
      </c>
      <c r="J4765" t="n">
        <v>29.96</v>
      </c>
      <c r="K4765" t="n">
        <v>55.84</v>
      </c>
      <c r="L4765" s="2" t="inlineStr"/>
      <c r="M4765" t="inlineStr"/>
      <c r="N4765" t="inlineStr">
        <is>
          <t>20240730800048</t>
        </is>
      </c>
      <c r="O4765">
        <f>HYPERLINK("https://dart.fss.or.kr/dsaf001/main.do?rcpNo=20240730800048", "공시열람")</f>
        <v/>
      </c>
    </row>
    <row r="4766">
      <c r="A4766" t="inlineStr">
        <is>
          <t>2024-07-30</t>
        </is>
      </c>
      <c r="B4766" t="inlineStr">
        <is>
          <t>삼성SDI</t>
        </is>
      </c>
      <c r="C4766" t="inlineStr">
        <is>
          <t>006400</t>
        </is>
      </c>
      <c r="D4766" t="inlineStr">
        <is>
          <t>연결</t>
        </is>
      </c>
      <c r="E4766" t="inlineStr">
        <is>
          <t>2024Q2</t>
        </is>
      </c>
      <c r="F4766" s="2" t="n">
        <v>4450134</v>
      </c>
      <c r="G4766" t="n">
        <v>-13.3</v>
      </c>
      <c r="H4766" t="n">
        <v>-23.8</v>
      </c>
      <c r="I4766" s="2" t="n">
        <v>280220</v>
      </c>
      <c r="J4766" t="n">
        <v>4.8</v>
      </c>
      <c r="K4766" t="n">
        <v>-37.8</v>
      </c>
      <c r="L4766" s="2" t="n">
        <v>301157</v>
      </c>
      <c r="M4766" t="n">
        <v>-38</v>
      </c>
      <c r="N4766" t="inlineStr">
        <is>
          <t>20240730800064</t>
        </is>
      </c>
      <c r="O4766">
        <f>HYPERLINK("https://dart.fss.or.kr/dsaf001/main.do?rcpNo=20240730800064", "공시열람")</f>
        <v/>
      </c>
    </row>
    <row r="4767">
      <c r="A4767" t="inlineStr">
        <is>
          <t>2024-07-30</t>
        </is>
      </c>
      <c r="B4767" t="inlineStr">
        <is>
          <t>대교</t>
        </is>
      </c>
      <c r="C4767" t="inlineStr">
        <is>
          <t>019680</t>
        </is>
      </c>
      <c r="D4767" t="inlineStr">
        <is>
          <t>연결</t>
        </is>
      </c>
      <c r="E4767" t="inlineStr">
        <is>
          <t>2024Q2</t>
        </is>
      </c>
      <c r="F4767" s="2" t="n">
        <v>160400</v>
      </c>
      <c r="G4767" t="n">
        <v>-3.4</v>
      </c>
      <c r="H4767" t="n">
        <v>-2.5</v>
      </c>
      <c r="I4767" s="2" t="n">
        <v>-5500</v>
      </c>
      <c r="J4767" t="n">
        <v>-234.4</v>
      </c>
      <c r="K4767" t="n">
        <v>62.9</v>
      </c>
      <c r="L4767" s="2" t="n">
        <v>-4400</v>
      </c>
      <c r="M4767" t="n">
        <v>71</v>
      </c>
      <c r="N4767" t="inlineStr">
        <is>
          <t>20240730800123</t>
        </is>
      </c>
      <c r="O4767">
        <f>HYPERLINK("https://dart.fss.or.kr/dsaf001/main.do?rcpNo=20240730800123", "공시열람")</f>
        <v/>
      </c>
    </row>
    <row r="4768">
      <c r="A4768" t="inlineStr">
        <is>
          <t>2024-07-30</t>
        </is>
      </c>
      <c r="B4768" t="inlineStr">
        <is>
          <t>윈스테크넷</t>
        </is>
      </c>
      <c r="C4768" t="inlineStr">
        <is>
          <t>136540</t>
        </is>
      </c>
      <c r="D4768" t="inlineStr">
        <is>
          <t>별도</t>
        </is>
      </c>
      <c r="E4768" t="inlineStr">
        <is>
          <t>2024Q2</t>
        </is>
      </c>
      <c r="F4768" s="2" t="n">
        <v>21796</v>
      </c>
      <c r="G4768" t="inlineStr"/>
      <c r="H4768" t="inlineStr"/>
      <c r="I4768" s="2" t="n">
        <v>3958</v>
      </c>
      <c r="J4768" t="inlineStr"/>
      <c r="K4768" t="inlineStr"/>
      <c r="L4768" s="2" t="n">
        <v>3776</v>
      </c>
      <c r="M4768" t="inlineStr"/>
      <c r="N4768" t="inlineStr">
        <is>
          <t>20240730900115</t>
        </is>
      </c>
      <c r="O4768">
        <f>HYPERLINK("https://dart.fss.or.kr/dsaf001/main.do?rcpNo=20240730900115", "공시열람")</f>
        <v/>
      </c>
    </row>
    <row r="4769">
      <c r="A4769" t="inlineStr">
        <is>
          <t>2024-07-30</t>
        </is>
      </c>
      <c r="B4769" t="inlineStr">
        <is>
          <t>환인제약</t>
        </is>
      </c>
      <c r="C4769" t="inlineStr">
        <is>
          <t>016580</t>
        </is>
      </c>
      <c r="D4769" t="inlineStr">
        <is>
          <t>연결</t>
        </is>
      </c>
      <c r="E4769" t="inlineStr">
        <is>
          <t>2024Q2</t>
        </is>
      </c>
      <c r="F4769" s="2" t="n">
        <v>63619</v>
      </c>
      <c r="G4769" t="n">
        <v>3.3</v>
      </c>
      <c r="H4769" t="n">
        <v>10.4</v>
      </c>
      <c r="I4769" s="2" t="n">
        <v>6975</v>
      </c>
      <c r="J4769" t="n">
        <v>-16.1</v>
      </c>
      <c r="K4769" t="n">
        <v>-18.4</v>
      </c>
      <c r="L4769" s="2" t="n">
        <v>6209</v>
      </c>
      <c r="M4769" t="n">
        <v>-29.2</v>
      </c>
      <c r="N4769" t="inlineStr">
        <is>
          <t>20240730800102</t>
        </is>
      </c>
      <c r="O4769">
        <f>HYPERLINK("https://dart.fss.or.kr/dsaf001/main.do?rcpNo=20240730800102", "공시열람")</f>
        <v/>
      </c>
    </row>
    <row r="4770">
      <c r="A4770" t="inlineStr">
        <is>
          <t>2024-07-30</t>
        </is>
      </c>
      <c r="B4770" t="inlineStr">
        <is>
          <t>윈스테크넷</t>
        </is>
      </c>
      <c r="C4770" t="inlineStr">
        <is>
          <t>136540</t>
        </is>
      </c>
      <c r="D4770" t="inlineStr">
        <is>
          <t>연결</t>
        </is>
      </c>
      <c r="E4770" t="inlineStr">
        <is>
          <t>2024Q2</t>
        </is>
      </c>
      <c r="F4770" s="2" t="n">
        <v>22955</v>
      </c>
      <c r="G4770" t="inlineStr"/>
      <c r="H4770" t="inlineStr"/>
      <c r="I4770" s="2" t="n">
        <v>3981</v>
      </c>
      <c r="J4770" t="inlineStr"/>
      <c r="K4770" t="inlineStr"/>
      <c r="L4770" s="2" t="n">
        <v>3769</v>
      </c>
      <c r="M4770" t="inlineStr"/>
      <c r="N4770" t="inlineStr">
        <is>
          <t>20240730900113</t>
        </is>
      </c>
      <c r="O4770">
        <f>HYPERLINK("https://dart.fss.or.kr/dsaf001/main.do?rcpNo=20240730900113", "공시열람")</f>
        <v/>
      </c>
    </row>
    <row r="4771">
      <c r="A4771" t="inlineStr">
        <is>
          <t>2024-07-30</t>
        </is>
      </c>
      <c r="B4771" t="inlineStr">
        <is>
          <t>칩스앤미디어</t>
        </is>
      </c>
      <c r="C4771" t="inlineStr">
        <is>
          <t>094360</t>
        </is>
      </c>
      <c r="D4771" t="inlineStr">
        <is>
          <t>연결</t>
        </is>
      </c>
      <c r="E4771" t="inlineStr">
        <is>
          <t>2024Q2</t>
        </is>
      </c>
      <c r="F4771" s="2" t="n">
        <v>6050</v>
      </c>
      <c r="G4771" t="inlineStr"/>
      <c r="H4771" t="inlineStr"/>
      <c r="I4771" s="2" t="n">
        <v>629</v>
      </c>
      <c r="J4771" t="inlineStr"/>
      <c r="K4771" t="inlineStr"/>
      <c r="L4771" s="2" t="n">
        <v>1246</v>
      </c>
      <c r="M4771" t="inlineStr"/>
      <c r="N4771" t="inlineStr">
        <is>
          <t>20240730900078</t>
        </is>
      </c>
      <c r="O4771">
        <f>HYPERLINK("https://dart.fss.or.kr/dsaf001/main.do?rcpNo=20240730900078", "공시열람")</f>
        <v/>
      </c>
    </row>
    <row r="4772">
      <c r="A4772" t="inlineStr">
        <is>
          <t>2024-07-30</t>
        </is>
      </c>
      <c r="B4772" t="inlineStr">
        <is>
          <t>한솔제지</t>
        </is>
      </c>
      <c r="C4772" t="inlineStr">
        <is>
          <t>213500</t>
        </is>
      </c>
      <c r="D4772" t="inlineStr">
        <is>
          <t>별도</t>
        </is>
      </c>
      <c r="E4772" t="inlineStr">
        <is>
          <t>2024Q2</t>
        </is>
      </c>
      <c r="F4772" s="2" t="n">
        <v>539350</v>
      </c>
      <c r="G4772" t="n">
        <v>4.4</v>
      </c>
      <c r="H4772" t="n">
        <v>8.1</v>
      </c>
      <c r="I4772" s="2" t="n">
        <v>6702</v>
      </c>
      <c r="J4772" t="n">
        <v>-81</v>
      </c>
      <c r="K4772" t="n">
        <v>-56.6</v>
      </c>
      <c r="L4772" s="2" t="n">
        <v>-8505</v>
      </c>
      <c r="M4772" t="inlineStr"/>
      <c r="N4772" t="inlineStr">
        <is>
          <t>20240730800377</t>
        </is>
      </c>
      <c r="O4772">
        <f>HYPERLINK("https://dart.fss.or.kr/dsaf001/main.do?rcpNo=20240730800377", "공시열람")</f>
        <v/>
      </c>
    </row>
    <row r="4773">
      <c r="A4773" t="inlineStr">
        <is>
          <t>2024-07-30</t>
        </is>
      </c>
      <c r="B4773" t="inlineStr">
        <is>
          <t>대한유화</t>
        </is>
      </c>
      <c r="C4773" t="inlineStr">
        <is>
          <t>006650</t>
        </is>
      </c>
      <c r="D4773" t="inlineStr">
        <is>
          <t>연결</t>
        </is>
      </c>
      <c r="E4773" t="inlineStr">
        <is>
          <t>2024Q2</t>
        </is>
      </c>
      <c r="F4773" s="2" t="n">
        <v>741622</v>
      </c>
      <c r="G4773" t="n">
        <v>11.76</v>
      </c>
      <c r="H4773" t="n">
        <v>17.21</v>
      </c>
      <c r="I4773" s="2" t="n">
        <v>-6315</v>
      </c>
      <c r="J4773" t="n">
        <v>59.65</v>
      </c>
      <c r="K4773" t="n">
        <v>81.98999999999999</v>
      </c>
      <c r="L4773" s="2" t="n">
        <v>-1783</v>
      </c>
      <c r="M4773" t="n">
        <v>93.04000000000001</v>
      </c>
      <c r="N4773" t="inlineStr">
        <is>
          <t>20240730800404</t>
        </is>
      </c>
      <c r="O4773">
        <f>HYPERLINK("https://dart.fss.or.kr/dsaf001/main.do?rcpNo=20240730800404", "공시열람")</f>
        <v/>
      </c>
    </row>
    <row r="4774">
      <c r="A4774" t="inlineStr">
        <is>
          <t>2024-07-30</t>
        </is>
      </c>
      <c r="B4774" t="inlineStr">
        <is>
          <t>한솔제지</t>
        </is>
      </c>
      <c r="C4774" t="inlineStr">
        <is>
          <t>213500</t>
        </is>
      </c>
      <c r="D4774" t="inlineStr">
        <is>
          <t>연결</t>
        </is>
      </c>
      <c r="E4774" t="inlineStr">
        <is>
          <t>2024Q2</t>
        </is>
      </c>
      <c r="F4774" s="2" t="n">
        <v>562970</v>
      </c>
      <c r="G4774" t="n">
        <v>5.4</v>
      </c>
      <c r="H4774" t="n">
        <v>6.6</v>
      </c>
      <c r="I4774" s="2" t="n">
        <v>5072</v>
      </c>
      <c r="J4774" t="n">
        <v>-85.09999999999999</v>
      </c>
      <c r="K4774" t="n">
        <v>-66.59999999999999</v>
      </c>
      <c r="L4774" s="2" t="n">
        <v>-9540</v>
      </c>
      <c r="M4774" t="inlineStr"/>
      <c r="N4774" t="inlineStr">
        <is>
          <t>20240730800375</t>
        </is>
      </c>
      <c r="O4774">
        <f>HYPERLINK("https://dart.fss.or.kr/dsaf001/main.do?rcpNo=20240730800375", "공시열람")</f>
        <v/>
      </c>
    </row>
    <row r="4775">
      <c r="A4775" t="inlineStr">
        <is>
          <t>2024-07-30</t>
        </is>
      </c>
      <c r="B4775" t="inlineStr">
        <is>
          <t>한화에어로스페이스</t>
        </is>
      </c>
      <c r="C4775" t="inlineStr">
        <is>
          <t>012450</t>
        </is>
      </c>
      <c r="D4775" t="inlineStr">
        <is>
          <t>연결</t>
        </is>
      </c>
      <c r="E4775" t="inlineStr">
        <is>
          <t>2024Q2</t>
        </is>
      </c>
      <c r="F4775" s="2" t="n">
        <v>2786000</v>
      </c>
      <c r="G4775" t="n">
        <v>50.7</v>
      </c>
      <c r="H4775" t="n">
        <v>46</v>
      </c>
      <c r="I4775" s="2" t="n">
        <v>358800</v>
      </c>
      <c r="J4775" t="n">
        <v>859.4</v>
      </c>
      <c r="K4775" t="n">
        <v>356.5</v>
      </c>
      <c r="L4775" s="2" t="n">
        <v>159900</v>
      </c>
      <c r="M4775" t="n">
        <v>-46.6</v>
      </c>
      <c r="N4775" t="inlineStr">
        <is>
          <t>20240730800521</t>
        </is>
      </c>
      <c r="O4775">
        <f>HYPERLINK("https://dart.fss.or.kr/dsaf001/main.do?rcpNo=20240730800521", "공시열람")</f>
        <v/>
      </c>
    </row>
    <row r="4776">
      <c r="A4776" t="inlineStr">
        <is>
          <t>2024-07-30</t>
        </is>
      </c>
      <c r="B4776" t="inlineStr">
        <is>
          <t>한미약품</t>
        </is>
      </c>
      <c r="C4776" t="inlineStr">
        <is>
          <t>128940</t>
        </is>
      </c>
      <c r="D4776" t="inlineStr">
        <is>
          <t>연결</t>
        </is>
      </c>
      <c r="E4776" t="inlineStr">
        <is>
          <t>2024Q2</t>
        </is>
      </c>
      <c r="F4776" s="2" t="n">
        <v>378133</v>
      </c>
      <c r="G4776" t="inlineStr"/>
      <c r="H4776" t="inlineStr"/>
      <c r="I4776" s="2" t="n">
        <v>58109</v>
      </c>
      <c r="J4776" t="inlineStr"/>
      <c r="K4776" t="inlineStr"/>
      <c r="L4776" s="2" t="n">
        <v>46988</v>
      </c>
      <c r="M4776" t="inlineStr"/>
      <c r="N4776" t="inlineStr">
        <is>
          <t>20240730800425</t>
        </is>
      </c>
      <c r="O4776">
        <f>HYPERLINK("https://dart.fss.or.kr/dsaf001/main.do?rcpNo=20240730800425", "공시열람")</f>
        <v/>
      </c>
    </row>
    <row r="4777">
      <c r="A4777" t="inlineStr">
        <is>
          <t>2024-07-30</t>
        </is>
      </c>
      <c r="B4777" t="inlineStr">
        <is>
          <t>한미사이언스</t>
        </is>
      </c>
      <c r="C4777" t="inlineStr">
        <is>
          <t>008930</t>
        </is>
      </c>
      <c r="D4777" t="inlineStr">
        <is>
          <t>연결</t>
        </is>
      </c>
      <c r="E4777" t="inlineStr">
        <is>
          <t>2024Q2</t>
        </is>
      </c>
      <c r="F4777" s="2" t="n">
        <v>309096</v>
      </c>
      <c r="G4777" t="inlineStr"/>
      <c r="H4777" t="inlineStr"/>
      <c r="I4777" s="2" t="n">
        <v>26565</v>
      </c>
      <c r="J4777" t="inlineStr"/>
      <c r="K4777" t="inlineStr"/>
      <c r="L4777" s="2" t="n">
        <v>20422</v>
      </c>
      <c r="M4777" t="inlineStr"/>
      <c r="N4777" t="inlineStr">
        <is>
          <t>20240730800446</t>
        </is>
      </c>
      <c r="O4777">
        <f>HYPERLINK("https://dart.fss.or.kr/dsaf001/main.do?rcpNo=20240730800446", "공시열람")</f>
        <v/>
      </c>
    </row>
    <row r="4778">
      <c r="A4778" t="inlineStr">
        <is>
          <t>2024-07-29</t>
        </is>
      </c>
      <c r="B4778" t="inlineStr">
        <is>
          <t>스톰테크</t>
        </is>
      </c>
      <c r="C4778" t="inlineStr">
        <is>
          <t>352090</t>
        </is>
      </c>
      <c r="D4778" t="inlineStr">
        <is>
          <t>별도</t>
        </is>
      </c>
      <c r="E4778" t="inlineStr">
        <is>
          <t>2024Q2</t>
        </is>
      </c>
      <c r="F4778" s="2" t="n">
        <v>16866</v>
      </c>
      <c r="G4778" t="inlineStr"/>
      <c r="H4778" t="inlineStr"/>
      <c r="I4778" s="2" t="n">
        <v>4334</v>
      </c>
      <c r="J4778" t="inlineStr"/>
      <c r="K4778" t="inlineStr"/>
      <c r="L4778" s="2" t="n">
        <v>3901</v>
      </c>
      <c r="M4778" t="inlineStr"/>
      <c r="N4778" t="inlineStr">
        <is>
          <t>20240729900469</t>
        </is>
      </c>
      <c r="O4778">
        <f>HYPERLINK("https://dart.fss.or.kr/dsaf001/main.do?rcpNo=20240729900469", "공시열람")</f>
        <v/>
      </c>
    </row>
    <row r="4779">
      <c r="A4779" t="inlineStr">
        <is>
          <t>2024-07-29</t>
        </is>
      </c>
      <c r="B4779" t="inlineStr">
        <is>
          <t>도이치모터스</t>
        </is>
      </c>
      <c r="C4779" t="inlineStr">
        <is>
          <t>067990</t>
        </is>
      </c>
      <c r="D4779" t="inlineStr">
        <is>
          <t>연결</t>
        </is>
      </c>
      <c r="E4779" t="inlineStr">
        <is>
          <t>2024Q2</t>
        </is>
      </c>
      <c r="F4779" s="2" t="n">
        <v>503540</v>
      </c>
      <c r="G4779" t="inlineStr"/>
      <c r="H4779" t="inlineStr"/>
      <c r="I4779" s="2" t="n">
        <v>6242</v>
      </c>
      <c r="J4779" t="inlineStr"/>
      <c r="K4779" t="inlineStr"/>
      <c r="L4779" s="2" t="n">
        <v>3325</v>
      </c>
      <c r="M4779" t="inlineStr"/>
      <c r="N4779" t="inlineStr">
        <is>
          <t>20240729900624</t>
        </is>
      </c>
      <c r="O4779">
        <f>HYPERLINK("https://dart.fss.or.kr/dsaf001/main.do?rcpNo=20240729900624", "공시열람")</f>
        <v/>
      </c>
    </row>
    <row r="4780">
      <c r="A4780" t="inlineStr">
        <is>
          <t>2024-07-29</t>
        </is>
      </c>
      <c r="B4780" t="inlineStr">
        <is>
          <t>현대코퍼레이션</t>
        </is>
      </c>
      <c r="C4780" t="inlineStr">
        <is>
          <t>011760</t>
        </is>
      </c>
      <c r="D4780" t="inlineStr">
        <is>
          <t>연결</t>
        </is>
      </c>
      <c r="E4780" t="inlineStr">
        <is>
          <t>2024Q2</t>
        </is>
      </c>
      <c r="F4780" s="2" t="n">
        <v>1728936</v>
      </c>
      <c r="G4780" t="n">
        <v>7.17</v>
      </c>
      <c r="H4780" t="n">
        <v>11.76</v>
      </c>
      <c r="I4780" s="2" t="n">
        <v>36523</v>
      </c>
      <c r="J4780" t="n">
        <v>30.22</v>
      </c>
      <c r="K4780" t="n">
        <v>35.19</v>
      </c>
      <c r="L4780" s="2" t="n">
        <v>30752</v>
      </c>
      <c r="M4780" t="n">
        <v>25.96</v>
      </c>
      <c r="N4780" t="inlineStr">
        <is>
          <t>20240729800745</t>
        </is>
      </c>
      <c r="O4780">
        <f>HYPERLINK("https://dart.fss.or.kr/dsaf001/main.do?rcpNo=20240729800745", "공시열람")</f>
        <v/>
      </c>
    </row>
    <row r="4781">
      <c r="A4781" t="inlineStr">
        <is>
          <t>2024-07-29</t>
        </is>
      </c>
      <c r="B4781" t="inlineStr">
        <is>
          <t>iM금융지주</t>
        </is>
      </c>
      <c r="C4781" t="inlineStr">
        <is>
          <t>139130</t>
        </is>
      </c>
      <c r="D4781" t="inlineStr">
        <is>
          <t>연결</t>
        </is>
      </c>
      <c r="E4781" t="inlineStr">
        <is>
          <t>2024Q2</t>
        </is>
      </c>
      <c r="F4781" s="2" t="n">
        <v>2020774</v>
      </c>
      <c r="G4781" t="n">
        <v>-5</v>
      </c>
      <c r="H4781" t="n">
        <v>-0.9</v>
      </c>
      <c r="I4781" s="2" t="n">
        <v>33466</v>
      </c>
      <c r="J4781" t="n">
        <v>-78.90000000000001</v>
      </c>
      <c r="K4781" t="n">
        <v>-82.59999999999999</v>
      </c>
      <c r="L4781" s="2" t="n">
        <v>30774</v>
      </c>
      <c r="M4781" t="n">
        <v>-79.59999999999999</v>
      </c>
      <c r="N4781" t="inlineStr">
        <is>
          <t>20240729800340</t>
        </is>
      </c>
      <c r="O4781">
        <f>HYPERLINK("https://dart.fss.or.kr/dsaf001/main.do?rcpNo=20240729800340", "공시열람")</f>
        <v/>
      </c>
    </row>
    <row r="4782">
      <c r="A4782" t="inlineStr">
        <is>
          <t>2024-07-29</t>
        </is>
      </c>
      <c r="B4782" t="inlineStr">
        <is>
          <t>iM금융지주</t>
        </is>
      </c>
      <c r="C4782" t="inlineStr">
        <is>
          <t>139130</t>
        </is>
      </c>
      <c r="D4782" t="inlineStr">
        <is>
          <t>연결</t>
        </is>
      </c>
      <c r="E4782" t="inlineStr">
        <is>
          <t>2024Q2</t>
        </is>
      </c>
      <c r="F4782" s="2" t="n">
        <v>1147895</v>
      </c>
      <c r="G4782" t="n">
        <v>-4.6</v>
      </c>
      <c r="H4782" t="n">
        <v>1.4</v>
      </c>
      <c r="I4782" s="2" t="n">
        <v>108949</v>
      </c>
      <c r="J4782" t="n">
        <v>-28.8</v>
      </c>
      <c r="K4782" t="n">
        <v>-28</v>
      </c>
      <c r="L4782" s="2" t="n">
        <v>90614</v>
      </c>
      <c r="M4782" t="n">
        <v>-26.1</v>
      </c>
      <c r="N4782" t="inlineStr">
        <is>
          <t>20240729800339</t>
        </is>
      </c>
      <c r="O4782">
        <f>HYPERLINK("https://dart.fss.or.kr/dsaf001/main.do?rcpNo=20240729800339", "공시열람")</f>
        <v/>
      </c>
    </row>
    <row r="4783">
      <c r="A4783" t="inlineStr">
        <is>
          <t>2024-07-29</t>
        </is>
      </c>
      <c r="B4783" t="inlineStr">
        <is>
          <t>iM금융지주</t>
        </is>
      </c>
      <c r="C4783" t="inlineStr">
        <is>
          <t>139130</t>
        </is>
      </c>
      <c r="D4783" t="inlineStr">
        <is>
          <t>연결</t>
        </is>
      </c>
      <c r="E4783" t="inlineStr">
        <is>
          <t>2024Q2</t>
        </is>
      </c>
      <c r="F4783" s="2" t="n">
        <v>554233</v>
      </c>
      <c r="G4783" t="n">
        <v>0.7</v>
      </c>
      <c r="H4783" t="n">
        <v>-11.7</v>
      </c>
      <c r="I4783" s="2" t="n">
        <v>-100279</v>
      </c>
      <c r="J4783" t="n">
        <v>-731.3</v>
      </c>
      <c r="K4783" t="inlineStr"/>
      <c r="L4783" s="2" t="n">
        <v>-76514</v>
      </c>
      <c r="M4783" t="inlineStr"/>
      <c r="N4783" t="inlineStr">
        <is>
          <t>20240729800336</t>
        </is>
      </c>
      <c r="O4783">
        <f>HYPERLINK("https://dart.fss.or.kr/dsaf001/main.do?rcpNo=20240729800336", "공시열람")</f>
        <v/>
      </c>
    </row>
    <row r="4784">
      <c r="A4784" t="inlineStr">
        <is>
          <t>2024-07-29</t>
        </is>
      </c>
      <c r="B4784" t="inlineStr">
        <is>
          <t>바이오니아</t>
        </is>
      </c>
      <c r="C4784" t="inlineStr">
        <is>
          <t>064550</t>
        </is>
      </c>
      <c r="D4784" t="inlineStr">
        <is>
          <t>연결</t>
        </is>
      </c>
      <c r="E4784" t="inlineStr">
        <is>
          <t>2024Q2</t>
        </is>
      </c>
      <c r="F4784" s="2" t="n">
        <v>78444</v>
      </c>
      <c r="G4784" t="inlineStr"/>
      <c r="H4784" t="inlineStr"/>
      <c r="I4784" s="2" t="n">
        <v>-595</v>
      </c>
      <c r="J4784" t="inlineStr"/>
      <c r="K4784" t="inlineStr"/>
      <c r="L4784" s="2" t="n">
        <v>-1857</v>
      </c>
      <c r="M4784" t="inlineStr"/>
      <c r="N4784" t="inlineStr">
        <is>
          <t>20240729900304</t>
        </is>
      </c>
      <c r="O4784">
        <f>HYPERLINK("https://dart.fss.or.kr/dsaf001/main.do?rcpNo=20240729900304", "공시열람")</f>
        <v/>
      </c>
    </row>
    <row r="4785">
      <c r="A4785" t="inlineStr">
        <is>
          <t>2024-07-29</t>
        </is>
      </c>
      <c r="B4785" t="inlineStr">
        <is>
          <t>RFHIC</t>
        </is>
      </c>
      <c r="C4785" t="inlineStr">
        <is>
          <t>218410</t>
        </is>
      </c>
      <c r="D4785" t="inlineStr">
        <is>
          <t>연결</t>
        </is>
      </c>
      <c r="E4785" t="inlineStr">
        <is>
          <t>2024Q2</t>
        </is>
      </c>
      <c r="F4785" s="2" t="n">
        <v>26074</v>
      </c>
      <c r="G4785" t="inlineStr"/>
      <c r="H4785" t="inlineStr"/>
      <c r="I4785" s="2" t="n">
        <v>-211</v>
      </c>
      <c r="J4785" t="inlineStr"/>
      <c r="K4785" t="inlineStr"/>
      <c r="L4785" s="2" t="n">
        <v>2478</v>
      </c>
      <c r="M4785" t="inlineStr"/>
      <c r="N4785" t="inlineStr">
        <is>
          <t>20240729900292</t>
        </is>
      </c>
      <c r="O4785">
        <f>HYPERLINK("https://dart.fss.or.kr/dsaf001/main.do?rcpNo=20240729900292", "공시열람")</f>
        <v/>
      </c>
    </row>
    <row r="4786">
      <c r="A4786" t="inlineStr">
        <is>
          <t>2024-07-29</t>
        </is>
      </c>
      <c r="B4786" t="inlineStr">
        <is>
          <t>RF머트리얼즈</t>
        </is>
      </c>
      <c r="C4786" t="inlineStr">
        <is>
          <t>327260</t>
        </is>
      </c>
      <c r="D4786" t="inlineStr">
        <is>
          <t>연결</t>
        </is>
      </c>
      <c r="E4786" t="inlineStr">
        <is>
          <t>2024Q2</t>
        </is>
      </c>
      <c r="F4786" s="2" t="n">
        <v>11386</v>
      </c>
      <c r="G4786" t="inlineStr"/>
      <c r="H4786" t="inlineStr"/>
      <c r="I4786" s="2" t="n">
        <v>-602</v>
      </c>
      <c r="J4786" t="inlineStr"/>
      <c r="K4786" t="inlineStr"/>
      <c r="L4786" s="2" t="n">
        <v>-509</v>
      </c>
      <c r="M4786" t="inlineStr"/>
      <c r="N4786" t="inlineStr">
        <is>
          <t>20240729900282</t>
        </is>
      </c>
      <c r="O4786">
        <f>HYPERLINK("https://dart.fss.or.kr/dsaf001/main.do?rcpNo=20240729900282", "공시열람")</f>
        <v/>
      </c>
    </row>
    <row r="4787">
      <c r="A4787" t="inlineStr">
        <is>
          <t>2024-07-29</t>
        </is>
      </c>
      <c r="B4787" t="inlineStr">
        <is>
          <t>기업은행</t>
        </is>
      </c>
      <c r="C4787" t="inlineStr">
        <is>
          <t>024110</t>
        </is>
      </c>
      <c r="D4787" t="inlineStr">
        <is>
          <t>연결</t>
        </is>
      </c>
      <c r="E4787" t="inlineStr">
        <is>
          <t>2024Q2</t>
        </is>
      </c>
      <c r="F4787" s="2" t="n">
        <v>8402316</v>
      </c>
      <c r="G4787" t="n">
        <v>-6.7</v>
      </c>
      <c r="H4787" t="n">
        <v>22.7</v>
      </c>
      <c r="I4787" s="2" t="n">
        <v>827586</v>
      </c>
      <c r="J4787" t="n">
        <v>-19.6</v>
      </c>
      <c r="K4787" t="n">
        <v>-2.5</v>
      </c>
      <c r="L4787" s="2" t="n">
        <v>609693</v>
      </c>
      <c r="M4787" t="n">
        <v>-8.6</v>
      </c>
      <c r="N4787" t="inlineStr">
        <is>
          <t>20240729800271</t>
        </is>
      </c>
      <c r="O4787">
        <f>HYPERLINK("https://dart.fss.or.kr/dsaf001/main.do?rcpNo=20240729800271", "공시열람")</f>
        <v/>
      </c>
    </row>
    <row r="4788">
      <c r="A4788" t="inlineStr">
        <is>
          <t>2024-07-29</t>
        </is>
      </c>
      <c r="B4788" t="inlineStr">
        <is>
          <t>아바코</t>
        </is>
      </c>
      <c r="C4788" t="inlineStr">
        <is>
          <t>083930</t>
        </is>
      </c>
      <c r="D4788" t="inlineStr">
        <is>
          <t>별도</t>
        </is>
      </c>
      <c r="E4788" t="inlineStr">
        <is>
          <t>2024Q2</t>
        </is>
      </c>
      <c r="F4788" s="2" t="n">
        <v>57933</v>
      </c>
      <c r="G4788" t="inlineStr"/>
      <c r="H4788" t="inlineStr"/>
      <c r="I4788" s="2" t="n">
        <v>2641</v>
      </c>
      <c r="J4788" t="inlineStr"/>
      <c r="K4788" t="inlineStr"/>
      <c r="L4788" s="2" t="n">
        <v>1650</v>
      </c>
      <c r="M4788" t="inlineStr"/>
      <c r="N4788" t="inlineStr">
        <is>
          <t>20240729900133</t>
        </is>
      </c>
      <c r="O4788">
        <f>HYPERLINK("https://dart.fss.or.kr/dsaf001/main.do?rcpNo=20240729900133", "공시열람")</f>
        <v/>
      </c>
    </row>
    <row r="4789">
      <c r="A4789" t="inlineStr">
        <is>
          <t>2024-07-29</t>
        </is>
      </c>
      <c r="B4789" t="inlineStr">
        <is>
          <t>한국항공우주</t>
        </is>
      </c>
      <c r="C4789" t="inlineStr">
        <is>
          <t>047810</t>
        </is>
      </c>
      <c r="D4789" t="inlineStr">
        <is>
          <t>연결</t>
        </is>
      </c>
      <c r="E4789" t="inlineStr">
        <is>
          <t>2024Q2</t>
        </is>
      </c>
      <c r="F4789" s="2" t="n">
        <v>891800</v>
      </c>
      <c r="G4789" t="n">
        <v>20.5</v>
      </c>
      <c r="H4789" t="n">
        <v>21.6</v>
      </c>
      <c r="I4789" s="2" t="n">
        <v>74300</v>
      </c>
      <c r="J4789" t="n">
        <v>54.7</v>
      </c>
      <c r="K4789" t="n">
        <v>785.7</v>
      </c>
      <c r="L4789" s="2" t="n">
        <v>55400</v>
      </c>
      <c r="M4789" t="n">
        <v>462.1</v>
      </c>
      <c r="N4789" t="inlineStr">
        <is>
          <t>20240729800142</t>
        </is>
      </c>
      <c r="O4789">
        <f>HYPERLINK("https://dart.fss.or.kr/dsaf001/main.do?rcpNo=20240729800142", "공시열람")</f>
        <v/>
      </c>
    </row>
    <row r="4790">
      <c r="A4790" t="inlineStr">
        <is>
          <t>2024-07-29</t>
        </is>
      </c>
      <c r="B4790" t="inlineStr">
        <is>
          <t>안랩</t>
        </is>
      </c>
      <c r="C4790" t="inlineStr">
        <is>
          <t>053800</t>
        </is>
      </c>
      <c r="D4790" t="inlineStr">
        <is>
          <t>연결</t>
        </is>
      </c>
      <c r="E4790" t="inlineStr">
        <is>
          <t>2024Q2</t>
        </is>
      </c>
      <c r="F4790" s="2" t="n">
        <v>59903</v>
      </c>
      <c r="G4790" t="inlineStr"/>
      <c r="H4790" t="inlineStr"/>
      <c r="I4790" s="2" t="n">
        <v>3539</v>
      </c>
      <c r="J4790" t="inlineStr"/>
      <c r="K4790" t="inlineStr"/>
      <c r="L4790" s="2" t="n">
        <v>4769</v>
      </c>
      <c r="M4790" t="inlineStr"/>
      <c r="N4790" t="inlineStr">
        <is>
          <t>20240729900057</t>
        </is>
      </c>
      <c r="O4790">
        <f>HYPERLINK("https://dart.fss.or.kr/dsaf001/main.do?rcpNo=20240729900057", "공시열람")</f>
        <v/>
      </c>
    </row>
    <row r="4791">
      <c r="A4791" t="inlineStr">
        <is>
          <t>2024-07-29</t>
        </is>
      </c>
      <c r="B4791" t="inlineStr">
        <is>
          <t>영화금속</t>
        </is>
      </c>
      <c r="C4791" t="inlineStr">
        <is>
          <t>012280</t>
        </is>
      </c>
      <c r="D4791" t="inlineStr">
        <is>
          <t>별도</t>
        </is>
      </c>
      <c r="E4791" t="inlineStr">
        <is>
          <t>2024Q2</t>
        </is>
      </c>
      <c r="F4791" s="2" t="n">
        <v>79091</v>
      </c>
      <c r="G4791" t="n">
        <v>12.5</v>
      </c>
      <c r="H4791" t="n">
        <v>16.2</v>
      </c>
      <c r="I4791" s="2" t="n">
        <v>2027</v>
      </c>
      <c r="J4791" t="n">
        <v>1.8</v>
      </c>
      <c r="K4791" t="n">
        <v>-44.7</v>
      </c>
      <c r="L4791" s="2" t="n">
        <v>1504</v>
      </c>
      <c r="M4791" t="n">
        <v>-35</v>
      </c>
      <c r="N4791" t="inlineStr">
        <is>
          <t>20240729800085</t>
        </is>
      </c>
      <c r="O4791">
        <f>HYPERLINK("https://dart.fss.or.kr/dsaf001/main.do?rcpNo=20240729800085", "공시열람")</f>
        <v/>
      </c>
    </row>
    <row r="4792">
      <c r="A4792" t="inlineStr">
        <is>
          <t>2024-07-29</t>
        </is>
      </c>
      <c r="B4792" t="inlineStr">
        <is>
          <t>에스앤에스텍</t>
        </is>
      </c>
      <c r="C4792" t="inlineStr">
        <is>
          <t>101490</t>
        </is>
      </c>
      <c r="D4792" t="inlineStr">
        <is>
          <t>연결</t>
        </is>
      </c>
      <c r="E4792" t="inlineStr">
        <is>
          <t>2024Q2</t>
        </is>
      </c>
      <c r="F4792" s="2" t="n">
        <v>42442</v>
      </c>
      <c r="G4792" t="inlineStr"/>
      <c r="H4792" t="inlineStr"/>
      <c r="I4792" s="2" t="n">
        <v>8513</v>
      </c>
      <c r="J4792" t="inlineStr"/>
      <c r="K4792" t="inlineStr"/>
      <c r="L4792" s="2" t="n">
        <v>7844</v>
      </c>
      <c r="M4792" t="inlineStr"/>
      <c r="N4792" t="inlineStr">
        <is>
          <t>20240729900082</t>
        </is>
      </c>
      <c r="O4792">
        <f>HYPERLINK("https://dart.fss.or.kr/dsaf001/main.do?rcpNo=20240729900082", "공시열람")</f>
        <v/>
      </c>
    </row>
    <row r="4793">
      <c r="A4793" t="inlineStr">
        <is>
          <t>2024-07-29</t>
        </is>
      </c>
      <c r="B4793" t="inlineStr">
        <is>
          <t>포스코스틸리온</t>
        </is>
      </c>
      <c r="C4793" t="inlineStr">
        <is>
          <t>058430</t>
        </is>
      </c>
      <c r="D4793" t="inlineStr">
        <is>
          <t>연결</t>
        </is>
      </c>
      <c r="E4793" t="inlineStr">
        <is>
          <t>2024Q2</t>
        </is>
      </c>
      <c r="F4793" s="2" t="n">
        <v>328400</v>
      </c>
      <c r="G4793" t="n">
        <v>5.1</v>
      </c>
      <c r="H4793" t="n">
        <v>6.2</v>
      </c>
      <c r="I4793" s="2" t="n">
        <v>15500</v>
      </c>
      <c r="J4793" t="n">
        <v>24.3</v>
      </c>
      <c r="K4793" t="n">
        <v>26.9</v>
      </c>
      <c r="L4793" s="2" t="n">
        <v>11200</v>
      </c>
      <c r="M4793" t="n">
        <v>22.6</v>
      </c>
      <c r="N4793" t="inlineStr">
        <is>
          <t>20240729800070</t>
        </is>
      </c>
      <c r="O4793">
        <f>HYPERLINK("https://dart.fss.or.kr/dsaf001/main.do?rcpNo=20240729800070", "공시열람")</f>
        <v/>
      </c>
    </row>
    <row r="4794">
      <c r="A4794" t="inlineStr">
        <is>
          <t>2024-07-29</t>
        </is>
      </c>
      <c r="B4794" t="inlineStr">
        <is>
          <t>DN오토모티브</t>
        </is>
      </c>
      <c r="C4794" t="inlineStr">
        <is>
          <t>007340</t>
        </is>
      </c>
      <c r="D4794" t="inlineStr">
        <is>
          <t>연결</t>
        </is>
      </c>
      <c r="E4794" t="inlineStr">
        <is>
          <t>2024Q2</t>
        </is>
      </c>
      <c r="F4794" s="2" t="n">
        <v>885167</v>
      </c>
      <c r="G4794" t="inlineStr"/>
      <c r="H4794" t="inlineStr"/>
      <c r="I4794" s="2" t="n">
        <v>148593</v>
      </c>
      <c r="J4794" t="inlineStr"/>
      <c r="K4794" t="inlineStr"/>
      <c r="L4794" s="2" t="n">
        <v>112978</v>
      </c>
      <c r="M4794" t="inlineStr"/>
      <c r="N4794" t="inlineStr">
        <is>
          <t>20240729800061</t>
        </is>
      </c>
      <c r="O4794">
        <f>HYPERLINK("https://dart.fss.or.kr/dsaf001/main.do?rcpNo=20240729800061", "공시열람")</f>
        <v/>
      </c>
    </row>
    <row r="4795">
      <c r="A4795" t="inlineStr">
        <is>
          <t>2024-07-29</t>
        </is>
      </c>
      <c r="B4795" t="inlineStr">
        <is>
          <t>안랩</t>
        </is>
      </c>
      <c r="C4795" t="inlineStr">
        <is>
          <t>053800</t>
        </is>
      </c>
      <c r="D4795" t="inlineStr">
        <is>
          <t>별도</t>
        </is>
      </c>
      <c r="E4795" t="inlineStr">
        <is>
          <t>2024Q2</t>
        </is>
      </c>
      <c r="F4795" s="2" t="n">
        <v>53272</v>
      </c>
      <c r="G4795" t="inlineStr"/>
      <c r="H4795" t="inlineStr"/>
      <c r="I4795" s="2" t="n">
        <v>6395</v>
      </c>
      <c r="J4795" t="inlineStr"/>
      <c r="K4795" t="inlineStr"/>
      <c r="L4795" s="2" t="n">
        <v>6682</v>
      </c>
      <c r="M4795" t="inlineStr"/>
      <c r="N4795" t="inlineStr">
        <is>
          <t>20240729900058</t>
        </is>
      </c>
      <c r="O4795">
        <f>HYPERLINK("https://dart.fss.or.kr/dsaf001/main.do?rcpNo=20240729900058", "공시열람")</f>
        <v/>
      </c>
    </row>
    <row r="4796">
      <c r="A4796" t="inlineStr">
        <is>
          <t>2024-07-29</t>
        </is>
      </c>
      <c r="B4796" t="inlineStr">
        <is>
          <t>폰드그룹</t>
        </is>
      </c>
      <c r="C4796" t="inlineStr">
        <is>
          <t>472850</t>
        </is>
      </c>
      <c r="D4796" t="inlineStr">
        <is>
          <t>연결</t>
        </is>
      </c>
      <c r="E4796" t="inlineStr">
        <is>
          <t>2024Q2</t>
        </is>
      </c>
      <c r="F4796" s="2" t="n">
        <v>82843</v>
      </c>
      <c r="G4796" t="inlineStr"/>
      <c r="H4796" t="inlineStr"/>
      <c r="I4796" s="2" t="n">
        <v>11017</v>
      </c>
      <c r="J4796" t="inlineStr"/>
      <c r="K4796" t="inlineStr"/>
      <c r="L4796" s="2" t="n">
        <v>8164</v>
      </c>
      <c r="M4796" t="inlineStr"/>
      <c r="N4796" t="inlineStr">
        <is>
          <t>20240729900035</t>
        </is>
      </c>
      <c r="O4796">
        <f>HYPERLINK("https://dart.fss.or.kr/dsaf001/main.do?rcpNo=20240729900035", "공시열람")</f>
        <v/>
      </c>
    </row>
    <row r="4797">
      <c r="A4797" t="inlineStr">
        <is>
          <t>2024-07-26</t>
        </is>
      </c>
      <c r="B4797" t="inlineStr">
        <is>
          <t>풍산홀딩스</t>
        </is>
      </c>
      <c r="C4797" t="inlineStr">
        <is>
          <t>005810</t>
        </is>
      </c>
      <c r="D4797" t="inlineStr">
        <is>
          <t>별도</t>
        </is>
      </c>
      <c r="E4797" t="inlineStr">
        <is>
          <t>2024Q2</t>
        </is>
      </c>
      <c r="F4797" s="2" t="n">
        <v>32182</v>
      </c>
      <c r="G4797" t="n">
        <v>-15.4</v>
      </c>
      <c r="H4797" t="n">
        <v>8.699999999999999</v>
      </c>
      <c r="I4797" s="2" t="n">
        <v>3341</v>
      </c>
      <c r="J4797" t="n">
        <v>-75.90000000000001</v>
      </c>
      <c r="K4797" t="n">
        <v>36.4</v>
      </c>
      <c r="L4797" s="2" t="n">
        <v>2853</v>
      </c>
      <c r="M4797" t="n">
        <v>38.7</v>
      </c>
      <c r="N4797" t="inlineStr">
        <is>
          <t>20240726800257</t>
        </is>
      </c>
      <c r="O4797">
        <f>HYPERLINK("https://dart.fss.or.kr/dsaf001/main.do?rcpNo=20240726800257", "공시열람")</f>
        <v/>
      </c>
    </row>
    <row r="4798">
      <c r="A4798" t="inlineStr">
        <is>
          <t>2024-07-26</t>
        </is>
      </c>
      <c r="B4798" t="inlineStr">
        <is>
          <t>동국씨엠</t>
        </is>
      </c>
      <c r="C4798" t="inlineStr">
        <is>
          <t>460850</t>
        </is>
      </c>
      <c r="D4798" t="inlineStr">
        <is>
          <t>별도</t>
        </is>
      </c>
      <c r="E4798" t="inlineStr">
        <is>
          <t>2024Q2</t>
        </is>
      </c>
      <c r="F4798" s="2" t="n">
        <v>562796</v>
      </c>
      <c r="G4798" t="n">
        <v>1.14</v>
      </c>
      <c r="H4798" t="inlineStr"/>
      <c r="I4798" s="2" t="n">
        <v>29089</v>
      </c>
      <c r="J4798" t="n">
        <v>22.02</v>
      </c>
      <c r="K4798" t="inlineStr"/>
      <c r="L4798" s="2" t="n">
        <v>22884</v>
      </c>
      <c r="M4798" t="inlineStr"/>
      <c r="N4798" t="inlineStr">
        <is>
          <t>20240726800241</t>
        </is>
      </c>
      <c r="O4798">
        <f>HYPERLINK("https://dart.fss.or.kr/dsaf001/main.do?rcpNo=20240726800241", "공시열람")</f>
        <v/>
      </c>
    </row>
    <row r="4799">
      <c r="A4799" t="inlineStr">
        <is>
          <t>2024-07-26</t>
        </is>
      </c>
      <c r="B4799" t="inlineStr">
        <is>
          <t>SNT다이내믹스</t>
        </is>
      </c>
      <c r="C4799" t="inlineStr">
        <is>
          <t>003570</t>
        </is>
      </c>
      <c r="D4799" t="inlineStr">
        <is>
          <t>연결</t>
        </is>
      </c>
      <c r="E4799" t="inlineStr">
        <is>
          <t>2024Q2</t>
        </is>
      </c>
      <c r="F4799" s="2" t="n">
        <v>145063</v>
      </c>
      <c r="G4799" t="n">
        <v>27.2</v>
      </c>
      <c r="H4799" t="n">
        <v>42.4</v>
      </c>
      <c r="I4799" s="2" t="n">
        <v>57442</v>
      </c>
      <c r="J4799" t="n">
        <v>420.5</v>
      </c>
      <c r="K4799" t="n">
        <v>497</v>
      </c>
      <c r="L4799" s="2" t="n">
        <v>47020</v>
      </c>
      <c r="M4799" t="n">
        <v>423.7</v>
      </c>
      <c r="N4799" t="inlineStr">
        <is>
          <t>20240726800243</t>
        </is>
      </c>
      <c r="O4799">
        <f>HYPERLINK("https://dart.fss.or.kr/dsaf001/main.do?rcpNo=20240726800243", "공시열람")</f>
        <v/>
      </c>
    </row>
    <row r="4800">
      <c r="A4800" t="inlineStr">
        <is>
          <t>2024-07-26</t>
        </is>
      </c>
      <c r="B4800" t="inlineStr">
        <is>
          <t>SNT에너지</t>
        </is>
      </c>
      <c r="C4800" t="inlineStr">
        <is>
          <t>100840</t>
        </is>
      </c>
      <c r="D4800" t="inlineStr">
        <is>
          <t>연결</t>
        </is>
      </c>
      <c r="E4800" t="inlineStr">
        <is>
          <t>2024Q2</t>
        </is>
      </c>
      <c r="F4800" s="2" t="n">
        <v>67258</v>
      </c>
      <c r="G4800" t="n">
        <v>9.1</v>
      </c>
      <c r="H4800" t="n">
        <v>-10.3</v>
      </c>
      <c r="I4800" s="2" t="n">
        <v>5020</v>
      </c>
      <c r="J4800" t="n">
        <v>66.8</v>
      </c>
      <c r="K4800" t="n">
        <v>-1.9</v>
      </c>
      <c r="L4800" s="2" t="n">
        <v>8327</v>
      </c>
      <c r="M4800" t="n">
        <v>-0.3</v>
      </c>
      <c r="N4800" t="inlineStr">
        <is>
          <t>20240726800244</t>
        </is>
      </c>
      <c r="O4800">
        <f>HYPERLINK("https://dart.fss.or.kr/dsaf001/main.do?rcpNo=20240726800244", "공시열람")</f>
        <v/>
      </c>
    </row>
    <row r="4801">
      <c r="A4801" t="inlineStr">
        <is>
          <t>2024-07-26</t>
        </is>
      </c>
      <c r="B4801" t="inlineStr">
        <is>
          <t>SNT모티브</t>
        </is>
      </c>
      <c r="C4801" t="inlineStr">
        <is>
          <t>064960</t>
        </is>
      </c>
      <c r="D4801" t="inlineStr">
        <is>
          <t>연결</t>
        </is>
      </c>
      <c r="E4801" t="inlineStr">
        <is>
          <t>2024Q2</t>
        </is>
      </c>
      <c r="F4801" s="2" t="n">
        <v>240286</v>
      </c>
      <c r="G4801" t="n">
        <v>8.199999999999999</v>
      </c>
      <c r="H4801" t="n">
        <v>-16.8</v>
      </c>
      <c r="I4801" s="2" t="n">
        <v>25092</v>
      </c>
      <c r="J4801" t="n">
        <v>14</v>
      </c>
      <c r="K4801" t="n">
        <v>-12.1</v>
      </c>
      <c r="L4801" s="2" t="n">
        <v>27243</v>
      </c>
      <c r="M4801" t="n">
        <v>0.3</v>
      </c>
      <c r="N4801" t="inlineStr">
        <is>
          <t>20240726800245</t>
        </is>
      </c>
      <c r="O4801">
        <f>HYPERLINK("https://dart.fss.or.kr/dsaf001/main.do?rcpNo=20240726800245", "공시열람")</f>
        <v/>
      </c>
    </row>
    <row r="4802">
      <c r="A4802" t="inlineStr">
        <is>
          <t>2024-07-26</t>
        </is>
      </c>
      <c r="B4802" t="inlineStr">
        <is>
          <t>풍산</t>
        </is>
      </c>
      <c r="C4802" t="inlineStr">
        <is>
          <t>103140</t>
        </is>
      </c>
      <c r="D4802" t="inlineStr">
        <is>
          <t>별도</t>
        </is>
      </c>
      <c r="E4802" t="inlineStr">
        <is>
          <t>2024Q2</t>
        </is>
      </c>
      <c r="F4802" s="2" t="n">
        <v>977570</v>
      </c>
      <c r="G4802" t="n">
        <v>36.7</v>
      </c>
      <c r="H4802" t="n">
        <v>26.2</v>
      </c>
      <c r="I4802" s="2" t="n">
        <v>140902</v>
      </c>
      <c r="J4802" t="n">
        <v>300.1</v>
      </c>
      <c r="K4802" t="n">
        <v>198.3</v>
      </c>
      <c r="L4802" s="2" t="n">
        <v>111262</v>
      </c>
      <c r="M4802" t="n">
        <v>147.6</v>
      </c>
      <c r="N4802" t="inlineStr">
        <is>
          <t>20240726800250</t>
        </is>
      </c>
      <c r="O4802">
        <f>HYPERLINK("https://dart.fss.or.kr/dsaf001/main.do?rcpNo=20240726800250", "공시열람")</f>
        <v/>
      </c>
    </row>
    <row r="4803">
      <c r="A4803" t="inlineStr">
        <is>
          <t>2024-07-26</t>
        </is>
      </c>
      <c r="B4803" t="inlineStr">
        <is>
          <t>신한지주</t>
        </is>
      </c>
      <c r="C4803" t="inlineStr">
        <is>
          <t>055550</t>
        </is>
      </c>
      <c r="D4803" t="inlineStr">
        <is>
          <t>연결</t>
        </is>
      </c>
      <c r="E4803" t="inlineStr">
        <is>
          <t>2024Q2</t>
        </is>
      </c>
      <c r="F4803" s="2" t="n">
        <v>1547150</v>
      </c>
      <c r="G4803" t="n">
        <v>1.66</v>
      </c>
      <c r="H4803" t="n">
        <v>18.56</v>
      </c>
      <c r="I4803" s="2" t="n">
        <v>247444</v>
      </c>
      <c r="J4803" t="n">
        <v>4.39</v>
      </c>
      <c r="K4803" t="n">
        <v>22.69</v>
      </c>
      <c r="L4803" s="2" t="n">
        <v>195149</v>
      </c>
      <c r="M4803" t="n">
        <v>29.76</v>
      </c>
      <c r="N4803" t="inlineStr">
        <is>
          <t>20240726800256</t>
        </is>
      </c>
      <c r="O4803">
        <f>HYPERLINK("https://dart.fss.or.kr/dsaf001/main.do?rcpNo=20240726800256", "공시열람")</f>
        <v/>
      </c>
    </row>
    <row r="4804">
      <c r="A4804" t="inlineStr">
        <is>
          <t>2024-07-26</t>
        </is>
      </c>
      <c r="B4804" t="inlineStr">
        <is>
          <t>신한지주</t>
        </is>
      </c>
      <c r="C4804" t="inlineStr">
        <is>
          <t>055550</t>
        </is>
      </c>
      <c r="D4804" t="inlineStr">
        <is>
          <t>연결</t>
        </is>
      </c>
      <c r="E4804" t="inlineStr">
        <is>
          <t>2024Q2</t>
        </is>
      </c>
      <c r="F4804" s="2" t="n">
        <v>17971913</v>
      </c>
      <c r="G4804" t="n">
        <v>-10.69</v>
      </c>
      <c r="H4804" t="n">
        <v>32.31</v>
      </c>
      <c r="I4804" s="2" t="n">
        <v>1852543</v>
      </c>
      <c r="J4804" t="n">
        <v>-10.43</v>
      </c>
      <c r="K4804" t="n">
        <v>6.71</v>
      </c>
      <c r="L4804" s="2" t="n">
        <v>1450986</v>
      </c>
      <c r="M4804" t="n">
        <v>14.36</v>
      </c>
      <c r="N4804" t="inlineStr">
        <is>
          <t>20240726800253</t>
        </is>
      </c>
      <c r="O4804">
        <f>HYPERLINK("https://dart.fss.or.kr/dsaf001/main.do?rcpNo=20240726800253", "공시열람")</f>
        <v/>
      </c>
    </row>
    <row r="4805">
      <c r="A4805" t="inlineStr">
        <is>
          <t>2024-07-26</t>
        </is>
      </c>
      <c r="B4805" t="inlineStr">
        <is>
          <t>신한지주</t>
        </is>
      </c>
      <c r="C4805" t="inlineStr">
        <is>
          <t>055550</t>
        </is>
      </c>
      <c r="D4805" t="inlineStr">
        <is>
          <t>연결</t>
        </is>
      </c>
      <c r="E4805" t="inlineStr">
        <is>
          <t>2024Q2</t>
        </is>
      </c>
      <c r="F4805" s="2" t="n">
        <v>11189259</v>
      </c>
      <c r="G4805" t="n">
        <v>-11.62</v>
      </c>
      <c r="H4805" t="n">
        <v>34.85</v>
      </c>
      <c r="I4805" s="2" t="n">
        <v>1351723</v>
      </c>
      <c r="J4805" t="n">
        <v>-9.699999999999999</v>
      </c>
      <c r="K4805" t="n">
        <v>27.34</v>
      </c>
      <c r="L4805" s="2" t="n">
        <v>1124946</v>
      </c>
      <c r="M4805" t="n">
        <v>50.18</v>
      </c>
      <c r="N4805" t="inlineStr">
        <is>
          <t>20240726800255</t>
        </is>
      </c>
      <c r="O4805">
        <f>HYPERLINK("https://dart.fss.or.kr/dsaf001/main.do?rcpNo=20240726800255", "공시열람")</f>
        <v/>
      </c>
    </row>
    <row r="4806">
      <c r="A4806" t="inlineStr">
        <is>
          <t>2024-07-26</t>
        </is>
      </c>
      <c r="B4806" t="inlineStr">
        <is>
          <t>송원산업</t>
        </is>
      </c>
      <c r="C4806" t="inlineStr">
        <is>
          <t>004430</t>
        </is>
      </c>
      <c r="D4806" t="inlineStr">
        <is>
          <t>연결</t>
        </is>
      </c>
      <c r="E4806" t="inlineStr">
        <is>
          <t>2024Q2</t>
        </is>
      </c>
      <c r="F4806" s="2" t="n">
        <v>273521</v>
      </c>
      <c r="G4806" t="inlineStr"/>
      <c r="H4806" t="inlineStr"/>
      <c r="I4806" s="2" t="n">
        <v>16417</v>
      </c>
      <c r="J4806" t="inlineStr"/>
      <c r="K4806" t="inlineStr"/>
      <c r="L4806" s="2" t="n">
        <v>10575</v>
      </c>
      <c r="M4806" t="inlineStr"/>
      <c r="N4806" t="inlineStr">
        <is>
          <t>20240726800176</t>
        </is>
      </c>
      <c r="O4806">
        <f>HYPERLINK("https://dart.fss.or.kr/dsaf001/main.do?rcpNo=20240726800176", "공시열람")</f>
        <v/>
      </c>
    </row>
    <row r="4807">
      <c r="A4807" t="inlineStr">
        <is>
          <t>2024-07-26</t>
        </is>
      </c>
      <c r="B4807" t="inlineStr">
        <is>
          <t>SNT홀딩스</t>
        </is>
      </c>
      <c r="C4807" t="inlineStr">
        <is>
          <t>036530</t>
        </is>
      </c>
      <c r="D4807" t="inlineStr">
        <is>
          <t>연결</t>
        </is>
      </c>
      <c r="E4807" t="inlineStr">
        <is>
          <t>2024Q2</t>
        </is>
      </c>
      <c r="F4807" s="2" t="n">
        <v>439479</v>
      </c>
      <c r="G4807" t="n">
        <v>13.8</v>
      </c>
      <c r="H4807" t="n">
        <v>-3.3</v>
      </c>
      <c r="I4807" s="2" t="n">
        <v>87487</v>
      </c>
      <c r="J4807" t="n">
        <v>141</v>
      </c>
      <c r="K4807" t="n">
        <v>101.4</v>
      </c>
      <c r="L4807" s="2" t="n">
        <v>81983</v>
      </c>
      <c r="M4807" t="n">
        <v>84.7</v>
      </c>
      <c r="N4807" t="inlineStr">
        <is>
          <t>20240726800251</t>
        </is>
      </c>
      <c r="O4807">
        <f>HYPERLINK("https://dart.fss.or.kr/dsaf001/main.do?rcpNo=20240726800251", "공시열람")</f>
        <v/>
      </c>
    </row>
    <row r="4808">
      <c r="A4808" t="inlineStr">
        <is>
          <t>2024-07-26</t>
        </is>
      </c>
      <c r="B4808" t="inlineStr">
        <is>
          <t>풍산홀딩스</t>
        </is>
      </c>
      <c r="C4808" t="inlineStr">
        <is>
          <t>005810</t>
        </is>
      </c>
      <c r="D4808" t="inlineStr">
        <is>
          <t>연결</t>
        </is>
      </c>
      <c r="E4808" t="inlineStr">
        <is>
          <t>2024Q2</t>
        </is>
      </c>
      <c r="F4808" s="2" t="n">
        <v>126120</v>
      </c>
      <c r="G4808" t="n">
        <v>36.7</v>
      </c>
      <c r="H4808" t="n">
        <v>27</v>
      </c>
      <c r="I4808" s="2" t="n">
        <v>49053</v>
      </c>
      <c r="J4808" t="n">
        <v>218</v>
      </c>
      <c r="K4808" t="n">
        <v>139.4</v>
      </c>
      <c r="L4808" s="2" t="n">
        <v>46092</v>
      </c>
      <c r="M4808" t="n">
        <v>147.7</v>
      </c>
      <c r="N4808" t="inlineStr">
        <is>
          <t>20240726800254</t>
        </is>
      </c>
      <c r="O4808">
        <f>HYPERLINK("https://dart.fss.or.kr/dsaf001/main.do?rcpNo=20240726800254", "공시열람")</f>
        <v/>
      </c>
    </row>
    <row r="4809">
      <c r="A4809" t="inlineStr">
        <is>
          <t>2024-07-26</t>
        </is>
      </c>
      <c r="B4809" t="inlineStr">
        <is>
          <t>신한지주</t>
        </is>
      </c>
      <c r="C4809" t="inlineStr">
        <is>
          <t>055550</t>
        </is>
      </c>
      <c r="D4809" t="inlineStr">
        <is>
          <t>연결</t>
        </is>
      </c>
      <c r="E4809" t="inlineStr">
        <is>
          <t>2024Q2</t>
        </is>
      </c>
      <c r="F4809" s="2" t="n">
        <v>1707232</v>
      </c>
      <c r="G4809" t="n">
        <v>-9.31</v>
      </c>
      <c r="H4809" t="n">
        <v>12.13</v>
      </c>
      <c r="I4809" s="2" t="n">
        <v>218114</v>
      </c>
      <c r="J4809" t="n">
        <v>0.45</v>
      </c>
      <c r="K4809" t="n">
        <v>-7.47</v>
      </c>
      <c r="L4809" s="2" t="n">
        <v>158715</v>
      </c>
      <c r="M4809" t="n">
        <v>-10.77</v>
      </c>
      <c r="N4809" t="inlineStr">
        <is>
          <t>20240726800258</t>
        </is>
      </c>
      <c r="O4809">
        <f>HYPERLINK("https://dart.fss.or.kr/dsaf001/main.do?rcpNo=20240726800258", "공시열람")</f>
        <v/>
      </c>
    </row>
    <row r="4810">
      <c r="A4810" t="inlineStr">
        <is>
          <t>2024-07-26</t>
        </is>
      </c>
      <c r="B4810" t="inlineStr">
        <is>
          <t>KG모빌리티</t>
        </is>
      </c>
      <c r="C4810" t="inlineStr">
        <is>
          <t>003620</t>
        </is>
      </c>
      <c r="D4810" t="inlineStr">
        <is>
          <t>연결</t>
        </is>
      </c>
      <c r="E4810" t="inlineStr">
        <is>
          <t>2024Q2</t>
        </is>
      </c>
      <c r="F4810" s="2" t="n">
        <v>984860</v>
      </c>
      <c r="G4810" t="n">
        <v>-1.69</v>
      </c>
      <c r="H4810" t="n">
        <v>-2.04</v>
      </c>
      <c r="I4810" s="2" t="n">
        <v>10583</v>
      </c>
      <c r="J4810" t="n">
        <v>-30</v>
      </c>
      <c r="K4810" t="n">
        <v>-43.65</v>
      </c>
      <c r="L4810" s="2" t="n">
        <v>32613</v>
      </c>
      <c r="M4810" t="n">
        <v>81.55</v>
      </c>
      <c r="N4810" t="inlineStr">
        <is>
          <t>20240726800212</t>
        </is>
      </c>
      <c r="O4810">
        <f>HYPERLINK("https://dart.fss.or.kr/dsaf001/main.do?rcpNo=20240726800212", "공시열람")</f>
        <v/>
      </c>
    </row>
    <row r="4811">
      <c r="A4811" t="inlineStr">
        <is>
          <t>2024-07-26</t>
        </is>
      </c>
      <c r="B4811" t="inlineStr">
        <is>
          <t>골프존</t>
        </is>
      </c>
      <c r="C4811" t="inlineStr">
        <is>
          <t>215000</t>
        </is>
      </c>
      <c r="D4811" t="inlineStr">
        <is>
          <t>연결</t>
        </is>
      </c>
      <c r="E4811" t="inlineStr">
        <is>
          <t>2024Q2</t>
        </is>
      </c>
      <c r="F4811" s="2" t="n">
        <v>160714</v>
      </c>
      <c r="G4811" t="inlineStr"/>
      <c r="H4811" t="inlineStr"/>
      <c r="I4811" s="2" t="n">
        <v>25625</v>
      </c>
      <c r="J4811" t="inlineStr"/>
      <c r="K4811" t="inlineStr"/>
      <c r="L4811" s="2" t="inlineStr"/>
      <c r="M4811" t="inlineStr"/>
      <c r="N4811" t="inlineStr">
        <is>
          <t>20240726900718</t>
        </is>
      </c>
      <c r="O4811">
        <f>HYPERLINK("https://dart.fss.or.kr/dsaf001/main.do?rcpNo=20240726900718", "공시열람")</f>
        <v/>
      </c>
    </row>
    <row r="4812">
      <c r="A4812" t="inlineStr">
        <is>
          <t>2024-07-26</t>
        </is>
      </c>
      <c r="B4812" t="inlineStr">
        <is>
          <t>종근당바이오</t>
        </is>
      </c>
      <c r="C4812" t="inlineStr">
        <is>
          <t>063160</t>
        </is>
      </c>
      <c r="D4812" t="inlineStr">
        <is>
          <t>별도</t>
        </is>
      </c>
      <c r="E4812" t="inlineStr">
        <is>
          <t>2024Q2</t>
        </is>
      </c>
      <c r="F4812" s="2" t="n">
        <v>50914</v>
      </c>
      <c r="G4812" t="inlineStr"/>
      <c r="H4812" t="inlineStr"/>
      <c r="I4812" s="2" t="n">
        <v>4981</v>
      </c>
      <c r="J4812" t="inlineStr"/>
      <c r="K4812" t="inlineStr"/>
      <c r="L4812" s="2" t="n">
        <v>4404</v>
      </c>
      <c r="M4812" t="inlineStr"/>
      <c r="N4812" t="inlineStr">
        <is>
          <t>20240726800141</t>
        </is>
      </c>
      <c r="O4812">
        <f>HYPERLINK("https://dart.fss.or.kr/dsaf001/main.do?rcpNo=20240726800141", "공시열람")</f>
        <v/>
      </c>
    </row>
    <row r="4813">
      <c r="A4813" t="inlineStr">
        <is>
          <t>2024-07-26</t>
        </is>
      </c>
      <c r="B4813" t="inlineStr">
        <is>
          <t>F&amp;F</t>
        </is>
      </c>
      <c r="C4813" t="inlineStr">
        <is>
          <t>383220</t>
        </is>
      </c>
      <c r="D4813" t="inlineStr">
        <is>
          <t>연결</t>
        </is>
      </c>
      <c r="E4813" t="inlineStr">
        <is>
          <t>2024Q2</t>
        </is>
      </c>
      <c r="F4813" s="2" t="n">
        <v>391473</v>
      </c>
      <c r="G4813" t="n">
        <v>-22.8</v>
      </c>
      <c r="H4813" t="n">
        <v>-3.5</v>
      </c>
      <c r="I4813" s="2" t="n">
        <v>91801</v>
      </c>
      <c r="J4813" t="n">
        <v>-29.5</v>
      </c>
      <c r="K4813" t="n">
        <v>-16.6</v>
      </c>
      <c r="L4813" s="2" t="n">
        <v>74505</v>
      </c>
      <c r="M4813" t="n">
        <v>-14.7</v>
      </c>
      <c r="N4813" t="inlineStr">
        <is>
          <t>20240726800476</t>
        </is>
      </c>
      <c r="O4813">
        <f>HYPERLINK("https://dart.fss.or.kr/dsaf001/main.do?rcpNo=20240726800476", "공시열람")</f>
        <v/>
      </c>
    </row>
    <row r="4814">
      <c r="A4814" t="inlineStr">
        <is>
          <t>2024-07-26</t>
        </is>
      </c>
      <c r="B4814" t="inlineStr">
        <is>
          <t>호텔신라</t>
        </is>
      </c>
      <c r="C4814" t="inlineStr">
        <is>
          <t>008770</t>
        </is>
      </c>
      <c r="D4814" t="inlineStr">
        <is>
          <t>연결</t>
        </is>
      </c>
      <c r="E4814" t="inlineStr">
        <is>
          <t>2024Q2</t>
        </is>
      </c>
      <c r="F4814" s="2" t="n">
        <v>1002686</v>
      </c>
      <c r="G4814" t="n">
        <v>2.2</v>
      </c>
      <c r="H4814" t="n">
        <v>15.7</v>
      </c>
      <c r="I4814" s="2" t="n">
        <v>27628</v>
      </c>
      <c r="J4814" t="n">
        <v>127.9</v>
      </c>
      <c r="K4814" t="n">
        <v>-58.9</v>
      </c>
      <c r="L4814" s="2" t="n">
        <v>27431</v>
      </c>
      <c r="M4814" t="n">
        <v>-62.1</v>
      </c>
      <c r="N4814" t="inlineStr">
        <is>
          <t>20240726800471</t>
        </is>
      </c>
      <c r="O4814">
        <f>HYPERLINK("https://dart.fss.or.kr/dsaf001/main.do?rcpNo=20240726800471", "공시열람")</f>
        <v/>
      </c>
    </row>
    <row r="4815">
      <c r="A4815" t="inlineStr">
        <is>
          <t>2024-07-26</t>
        </is>
      </c>
      <c r="B4815" t="inlineStr">
        <is>
          <t>해성디에스</t>
        </is>
      </c>
      <c r="C4815" t="inlineStr">
        <is>
          <t>195870</t>
        </is>
      </c>
      <c r="D4815" t="inlineStr">
        <is>
          <t>연결</t>
        </is>
      </c>
      <c r="E4815" t="inlineStr">
        <is>
          <t>2024Q2</t>
        </is>
      </c>
      <c r="F4815" s="2" t="n">
        <v>153500</v>
      </c>
      <c r="G4815" t="n">
        <v>-0.9</v>
      </c>
      <c r="H4815" t="n">
        <v>-14.4</v>
      </c>
      <c r="I4815" s="2" t="n">
        <v>18000</v>
      </c>
      <c r="J4815" t="n">
        <v>-13.8</v>
      </c>
      <c r="K4815" t="n">
        <v>-49.6</v>
      </c>
      <c r="L4815" s="2" t="n">
        <v>21000</v>
      </c>
      <c r="M4815" t="n">
        <v>-28.6</v>
      </c>
      <c r="N4815" t="inlineStr">
        <is>
          <t>20240726800480</t>
        </is>
      </c>
      <c r="O4815">
        <f>HYPERLINK("https://dart.fss.or.kr/dsaf001/main.do?rcpNo=20240726800480", "공시열람")</f>
        <v/>
      </c>
    </row>
    <row r="4816">
      <c r="A4816" t="inlineStr">
        <is>
          <t>2024-07-26</t>
        </is>
      </c>
      <c r="B4816" t="inlineStr">
        <is>
          <t>두산퓨얼셀</t>
        </is>
      </c>
      <c r="C4816" t="inlineStr">
        <is>
          <t>336260</t>
        </is>
      </c>
      <c r="D4816" t="inlineStr">
        <is>
          <t>연결</t>
        </is>
      </c>
      <c r="E4816" t="inlineStr">
        <is>
          <t>2024Q1</t>
        </is>
      </c>
      <c r="F4816" s="2" t="n">
        <v>86488</v>
      </c>
      <c r="G4816" t="inlineStr"/>
      <c r="H4816" t="inlineStr"/>
      <c r="I4816" s="2" t="n">
        <v>2167</v>
      </c>
      <c r="J4816" t="inlineStr"/>
      <c r="K4816" t="inlineStr"/>
      <c r="L4816" s="2" t="n">
        <v>-332</v>
      </c>
      <c r="M4816" t="inlineStr"/>
      <c r="N4816" t="inlineStr">
        <is>
          <t>20240726800472</t>
        </is>
      </c>
      <c r="O4816">
        <f>HYPERLINK("https://dart.fss.or.kr/dsaf001/main.do?rcpNo=20240726800472", "공시열람")</f>
        <v/>
      </c>
    </row>
    <row r="4817">
      <c r="A4817" t="inlineStr">
        <is>
          <t>2024-07-26</t>
        </is>
      </c>
      <c r="B4817" t="inlineStr">
        <is>
          <t>HDC랩스</t>
        </is>
      </c>
      <c r="C4817" t="inlineStr">
        <is>
          <t>039570</t>
        </is>
      </c>
      <c r="D4817" t="inlineStr">
        <is>
          <t>연결</t>
        </is>
      </c>
      <c r="E4817" t="inlineStr">
        <is>
          <t>2024Q2</t>
        </is>
      </c>
      <c r="F4817" s="2" t="n">
        <v>154567</v>
      </c>
      <c r="G4817" t="n">
        <v>15.7</v>
      </c>
      <c r="H4817" t="n">
        <v>2</v>
      </c>
      <c r="I4817" s="2" t="n">
        <v>2026</v>
      </c>
      <c r="J4817" t="n">
        <v>1588.3</v>
      </c>
      <c r="K4817" t="n">
        <v>-18.3</v>
      </c>
      <c r="L4817" s="2" t="n">
        <v>2827</v>
      </c>
      <c r="M4817" t="n">
        <v>-12.2</v>
      </c>
      <c r="N4817" t="inlineStr">
        <is>
          <t>20240726800135</t>
        </is>
      </c>
      <c r="O4817">
        <f>HYPERLINK("https://dart.fss.or.kr/dsaf001/main.do?rcpNo=20240726800135", "공시열람")</f>
        <v/>
      </c>
    </row>
    <row r="4818">
      <c r="A4818" t="inlineStr">
        <is>
          <t>2024-07-26</t>
        </is>
      </c>
      <c r="B4818" t="inlineStr">
        <is>
          <t>풍산</t>
        </is>
      </c>
      <c r="C4818" t="inlineStr">
        <is>
          <t>103140</t>
        </is>
      </c>
      <c r="D4818" t="inlineStr">
        <is>
          <t>연결</t>
        </is>
      </c>
      <c r="E4818" t="inlineStr">
        <is>
          <t>2024Q2</t>
        </is>
      </c>
      <c r="F4818" s="2" t="n">
        <v>1233626</v>
      </c>
      <c r="G4818" t="n">
        <v>28</v>
      </c>
      <c r="H4818" t="n">
        <v>19.1</v>
      </c>
      <c r="I4818" s="2" t="n">
        <v>161314</v>
      </c>
      <c r="J4818" t="n">
        <v>197.5</v>
      </c>
      <c r="K4818" t="n">
        <v>199.4</v>
      </c>
      <c r="L4818" s="2" t="n">
        <v>111262</v>
      </c>
      <c r="M4818" t="n">
        <v>147.6</v>
      </c>
      <c r="N4818" t="inlineStr">
        <is>
          <t>20240726800261</t>
        </is>
      </c>
      <c r="O4818">
        <f>HYPERLINK("https://dart.fss.or.kr/dsaf001/main.do?rcpNo=20240726800261", "공시열람")</f>
        <v/>
      </c>
    </row>
    <row r="4819">
      <c r="A4819" t="inlineStr">
        <is>
          <t>2024-07-26</t>
        </is>
      </c>
      <c r="B4819" t="inlineStr">
        <is>
          <t>LIG디펜스앤에어로스페이스</t>
        </is>
      </c>
      <c r="C4819" t="inlineStr">
        <is>
          <t>079550</t>
        </is>
      </c>
      <c r="D4819" t="inlineStr">
        <is>
          <t>연결</t>
        </is>
      </c>
      <c r="E4819" t="inlineStr">
        <is>
          <t>2024Q2</t>
        </is>
      </c>
      <c r="F4819" s="2" t="n">
        <v>604700</v>
      </c>
      <c r="G4819" t="n">
        <v>-20.8</v>
      </c>
      <c r="H4819" t="n">
        <v>10.8</v>
      </c>
      <c r="I4819" s="2" t="n">
        <v>49100</v>
      </c>
      <c r="J4819" t="n">
        <v>-26.6</v>
      </c>
      <c r="K4819" t="n">
        <v>22.2</v>
      </c>
      <c r="L4819" s="2" t="n">
        <v>45700</v>
      </c>
      <c r="M4819" t="n">
        <v>44.5</v>
      </c>
      <c r="N4819" t="inlineStr">
        <is>
          <t>20240726800266</t>
        </is>
      </c>
      <c r="O4819">
        <f>HYPERLINK("https://dart.fss.or.kr/dsaf001/main.do?rcpNo=20240726800266", "공시열람")</f>
        <v/>
      </c>
    </row>
    <row r="4820">
      <c r="A4820" t="inlineStr">
        <is>
          <t>2024-07-26</t>
        </is>
      </c>
      <c r="B4820" t="inlineStr">
        <is>
          <t>한화오션</t>
        </is>
      </c>
      <c r="C4820" t="inlineStr">
        <is>
          <t>042660</t>
        </is>
      </c>
      <c r="D4820" t="inlineStr">
        <is>
          <t>연결</t>
        </is>
      </c>
      <c r="E4820" t="inlineStr">
        <is>
          <t>2024Q2</t>
        </is>
      </c>
      <c r="F4820" s="2" t="n">
        <v>2536100</v>
      </c>
      <c r="G4820" t="n">
        <v>11.1</v>
      </c>
      <c r="H4820" t="n">
        <v>39.3</v>
      </c>
      <c r="I4820" s="2" t="n">
        <v>-9600</v>
      </c>
      <c r="J4820" t="inlineStr"/>
      <c r="K4820" t="n">
        <v>94</v>
      </c>
      <c r="L4820" s="2" t="n">
        <v>-27400</v>
      </c>
      <c r="M4820" t="n">
        <v>88.40000000000001</v>
      </c>
      <c r="N4820" t="inlineStr">
        <is>
          <t>20240726800293</t>
        </is>
      </c>
      <c r="O4820">
        <f>HYPERLINK("https://dart.fss.or.kr/dsaf001/main.do?rcpNo=20240726800293", "공시열람")</f>
        <v/>
      </c>
    </row>
    <row r="4821">
      <c r="A4821" t="inlineStr">
        <is>
          <t>2024-07-26</t>
        </is>
      </c>
      <c r="B4821" t="inlineStr">
        <is>
          <t>경보제약</t>
        </is>
      </c>
      <c r="C4821" t="inlineStr">
        <is>
          <t>214390</t>
        </is>
      </c>
      <c r="D4821" t="inlineStr">
        <is>
          <t>별도</t>
        </is>
      </c>
      <c r="E4821" t="inlineStr">
        <is>
          <t>2024Q2</t>
        </is>
      </c>
      <c r="F4821" s="2" t="n">
        <v>58412</v>
      </c>
      <c r="G4821" t="n">
        <v>-6.7</v>
      </c>
      <c r="H4821" t="n">
        <v>11.1</v>
      </c>
      <c r="I4821" s="2" t="n">
        <v>1268</v>
      </c>
      <c r="J4821" t="n">
        <v>-58.5</v>
      </c>
      <c r="K4821" t="n">
        <v>-14.8</v>
      </c>
      <c r="L4821" s="2" t="n">
        <v>157</v>
      </c>
      <c r="M4821" t="n">
        <v>-82.8</v>
      </c>
      <c r="N4821" t="inlineStr">
        <is>
          <t>20240726800294</t>
        </is>
      </c>
      <c r="O4821">
        <f>HYPERLINK("https://dart.fss.or.kr/dsaf001/main.do?rcpNo=20240726800294", "공시열람")</f>
        <v/>
      </c>
    </row>
    <row r="4822">
      <c r="A4822" t="inlineStr">
        <is>
          <t>2024-07-26</t>
        </is>
      </c>
      <c r="B4822" t="inlineStr">
        <is>
          <t>현대위아</t>
        </is>
      </c>
      <c r="C4822" t="inlineStr">
        <is>
          <t>011210</t>
        </is>
      </c>
      <c r="D4822" t="inlineStr">
        <is>
          <t>연결</t>
        </is>
      </c>
      <c r="E4822" t="inlineStr">
        <is>
          <t>2024Q2</t>
        </is>
      </c>
      <c r="F4822" s="2" t="n">
        <v>2233112</v>
      </c>
      <c r="G4822" t="n">
        <v>4.3</v>
      </c>
      <c r="H4822" t="n">
        <v>-2.3</v>
      </c>
      <c r="I4822" s="2" t="n">
        <v>69238</v>
      </c>
      <c r="J4822" t="n">
        <v>15.9</v>
      </c>
      <c r="K4822" t="n">
        <v>6.2</v>
      </c>
      <c r="L4822" s="2" t="n">
        <v>45729</v>
      </c>
      <c r="M4822" t="n">
        <v>3201.7</v>
      </c>
      <c r="N4822" t="inlineStr">
        <is>
          <t>20240726800330</t>
        </is>
      </c>
      <c r="O4822">
        <f>HYPERLINK("https://dart.fss.or.kr/dsaf001/main.do?rcpNo=20240726800330", "공시열람")</f>
        <v/>
      </c>
    </row>
    <row r="4823">
      <c r="A4823" t="inlineStr">
        <is>
          <t>2024-07-26</t>
        </is>
      </c>
      <c r="B4823" t="inlineStr">
        <is>
          <t>동국제강</t>
        </is>
      </c>
      <c r="C4823" t="inlineStr">
        <is>
          <t>460860</t>
        </is>
      </c>
      <c r="D4823" t="inlineStr">
        <is>
          <t>별도</t>
        </is>
      </c>
      <c r="E4823" t="inlineStr">
        <is>
          <t>2024Q2</t>
        </is>
      </c>
      <c r="F4823" s="2" t="n">
        <v>940166</v>
      </c>
      <c r="G4823" t="n">
        <v>1.39</v>
      </c>
      <c r="H4823" t="n">
        <v>118.4</v>
      </c>
      <c r="I4823" s="2" t="n">
        <v>40473</v>
      </c>
      <c r="J4823" t="n">
        <v>-22.97</v>
      </c>
      <c r="K4823" t="n">
        <v>-21.4</v>
      </c>
      <c r="L4823" s="2" t="n">
        <v>23150</v>
      </c>
      <c r="M4823" t="n">
        <v>-40.61</v>
      </c>
      <c r="N4823" t="inlineStr">
        <is>
          <t>20240726800313</t>
        </is>
      </c>
      <c r="O4823">
        <f>HYPERLINK("https://dart.fss.or.kr/dsaf001/main.do?rcpNo=20240726800313", "공시열람")</f>
        <v/>
      </c>
    </row>
    <row r="4824">
      <c r="A4824" t="inlineStr">
        <is>
          <t>2024-07-26</t>
        </is>
      </c>
      <c r="B4824" t="inlineStr">
        <is>
          <t>현대오토에버</t>
        </is>
      </c>
      <c r="C4824" t="inlineStr">
        <is>
          <t>307950</t>
        </is>
      </c>
      <c r="D4824" t="inlineStr">
        <is>
          <t>연결</t>
        </is>
      </c>
      <c r="E4824" t="inlineStr">
        <is>
          <t>2024Q2</t>
        </is>
      </c>
      <c r="F4824" s="2" t="n">
        <v>918097</v>
      </c>
      <c r="G4824" t="n">
        <v>25.5</v>
      </c>
      <c r="H4824" t="n">
        <v>21.8</v>
      </c>
      <c r="I4824" s="2" t="n">
        <v>68548</v>
      </c>
      <c r="J4824" t="n">
        <v>123</v>
      </c>
      <c r="K4824" t="n">
        <v>30</v>
      </c>
      <c r="L4824" s="2" t="n">
        <v>52651</v>
      </c>
      <c r="M4824" t="n">
        <v>35.1</v>
      </c>
      <c r="N4824" t="inlineStr">
        <is>
          <t>20240726800351</t>
        </is>
      </c>
      <c r="O4824">
        <f>HYPERLINK("https://dart.fss.or.kr/dsaf001/main.do?rcpNo=20240726800351", "공시열람")</f>
        <v/>
      </c>
    </row>
    <row r="4825">
      <c r="A4825" t="inlineStr">
        <is>
          <t>2024-07-26</t>
        </is>
      </c>
      <c r="B4825" t="inlineStr">
        <is>
          <t>하나금융지주</t>
        </is>
      </c>
      <c r="C4825" t="inlineStr">
        <is>
          <t>086790</t>
        </is>
      </c>
      <c r="D4825" t="inlineStr">
        <is>
          <t>연결</t>
        </is>
      </c>
      <c r="E4825" t="inlineStr">
        <is>
          <t>2024Q2</t>
        </is>
      </c>
      <c r="F4825" s="2" t="n">
        <v>19710699</v>
      </c>
      <c r="G4825" t="n">
        <v>-12.15</v>
      </c>
      <c r="H4825" t="n">
        <v>29.78</v>
      </c>
      <c r="I4825" s="2" t="n">
        <v>1359048</v>
      </c>
      <c r="J4825" t="n">
        <v>-13.06</v>
      </c>
      <c r="K4825" t="n">
        <v>1.47</v>
      </c>
      <c r="L4825" s="2" t="n">
        <v>1045525</v>
      </c>
      <c r="M4825" t="n">
        <v>11.73</v>
      </c>
      <c r="N4825" t="inlineStr">
        <is>
          <t>20240726800366</t>
        </is>
      </c>
      <c r="O4825">
        <f>HYPERLINK("https://dart.fss.or.kr/dsaf001/main.do?rcpNo=20240726800366", "공시열람")</f>
        <v/>
      </c>
    </row>
    <row r="4826">
      <c r="A4826" t="inlineStr">
        <is>
          <t>2024-07-26</t>
        </is>
      </c>
      <c r="B4826" t="inlineStr">
        <is>
          <t>하나금융지주</t>
        </is>
      </c>
      <c r="C4826" t="inlineStr">
        <is>
          <t>086790</t>
        </is>
      </c>
      <c r="D4826" t="inlineStr">
        <is>
          <t>연결</t>
        </is>
      </c>
      <c r="E4826" t="inlineStr">
        <is>
          <t>2024Q2</t>
        </is>
      </c>
      <c r="F4826" s="2" t="n">
        <v>15405596</v>
      </c>
      <c r="G4826" t="n">
        <v>-10.57</v>
      </c>
      <c r="H4826" t="n">
        <v>31.39</v>
      </c>
      <c r="I4826" s="2" t="n">
        <v>1207236</v>
      </c>
      <c r="J4826" t="n">
        <v>-6.8</v>
      </c>
      <c r="K4826" t="n">
        <v>0.5</v>
      </c>
      <c r="L4826" s="2" t="n">
        <v>911087</v>
      </c>
      <c r="M4826" t="n">
        <v>4.67</v>
      </c>
      <c r="N4826" t="inlineStr">
        <is>
          <t>20240726800371</t>
        </is>
      </c>
      <c r="O4826">
        <f>HYPERLINK("https://dart.fss.or.kr/dsaf001/main.do?rcpNo=20240726800371", "공시열람")</f>
        <v/>
      </c>
    </row>
    <row r="4827">
      <c r="A4827" t="inlineStr">
        <is>
          <t>2024-07-26</t>
        </is>
      </c>
      <c r="B4827" t="inlineStr">
        <is>
          <t>하나금융지주</t>
        </is>
      </c>
      <c r="C4827" t="inlineStr">
        <is>
          <t>086790</t>
        </is>
      </c>
      <c r="D4827" t="inlineStr">
        <is>
          <t>연결</t>
        </is>
      </c>
      <c r="E4827" t="inlineStr">
        <is>
          <t>2024Q2</t>
        </is>
      </c>
      <c r="F4827" s="2" t="n">
        <v>2818102</v>
      </c>
      <c r="G4827" t="n">
        <v>-27.32</v>
      </c>
      <c r="H4827" t="n">
        <v>23.88</v>
      </c>
      <c r="I4827" s="2" t="n">
        <v>51732</v>
      </c>
      <c r="J4827" t="n">
        <v>-52.54</v>
      </c>
      <c r="K4827" t="inlineStr"/>
      <c r="L4827" s="2" t="n">
        <v>41507</v>
      </c>
      <c r="M4827" t="inlineStr"/>
      <c r="N4827" t="inlineStr">
        <is>
          <t>20240726800375</t>
        </is>
      </c>
      <c r="O4827">
        <f>HYPERLINK("https://dart.fss.or.kr/dsaf001/main.do?rcpNo=20240726800375", "공시열람")</f>
        <v/>
      </c>
    </row>
    <row r="4828">
      <c r="A4828" t="inlineStr">
        <is>
          <t>2024-07-26</t>
        </is>
      </c>
      <c r="B4828" t="inlineStr">
        <is>
          <t>종근당</t>
        </is>
      </c>
      <c r="C4828" t="inlineStr">
        <is>
          <t>185750</t>
        </is>
      </c>
      <c r="D4828" t="inlineStr">
        <is>
          <t>별도</t>
        </is>
      </c>
      <c r="E4828" t="inlineStr">
        <is>
          <t>2024Q2</t>
        </is>
      </c>
      <c r="F4828" s="2" t="n">
        <v>384999</v>
      </c>
      <c r="G4828" t="n">
        <v>8.9</v>
      </c>
      <c r="H4828" t="n">
        <v>-1.7</v>
      </c>
      <c r="I4828" s="2" t="n">
        <v>28370</v>
      </c>
      <c r="J4828" t="n">
        <v>6</v>
      </c>
      <c r="K4828" t="n">
        <v>-34.6</v>
      </c>
      <c r="L4828" s="2" t="n">
        <v>53229</v>
      </c>
      <c r="M4828" t="n">
        <v>27.2</v>
      </c>
      <c r="N4828" t="inlineStr">
        <is>
          <t>20240726800388</t>
        </is>
      </c>
      <c r="O4828">
        <f>HYPERLINK("https://dart.fss.or.kr/dsaf001/main.do?rcpNo=20240726800388", "공시열람")</f>
        <v/>
      </c>
    </row>
    <row r="4829">
      <c r="A4829" t="inlineStr">
        <is>
          <t>2024-07-26</t>
        </is>
      </c>
      <c r="B4829" t="inlineStr">
        <is>
          <t>한솔테크닉스</t>
        </is>
      </c>
      <c r="C4829" t="inlineStr">
        <is>
          <t>004710</t>
        </is>
      </c>
      <c r="D4829" t="inlineStr">
        <is>
          <t>연결</t>
        </is>
      </c>
      <c r="E4829" t="inlineStr">
        <is>
          <t>2024Q2</t>
        </is>
      </c>
      <c r="F4829" s="2" t="n">
        <v>282466</v>
      </c>
      <c r="G4829" t="n">
        <v>5.36</v>
      </c>
      <c r="H4829" t="n">
        <v>-13.17</v>
      </c>
      <c r="I4829" s="2" t="n">
        <v>9976</v>
      </c>
      <c r="J4829" t="n">
        <v>-20.16</v>
      </c>
      <c r="K4829" t="n">
        <v>-41.34</v>
      </c>
      <c r="L4829" s="2" t="n">
        <v>12322</v>
      </c>
      <c r="M4829" t="n">
        <v>31.81</v>
      </c>
      <c r="N4829" t="inlineStr">
        <is>
          <t>20240726800433</t>
        </is>
      </c>
      <c r="O4829">
        <f>HYPERLINK("https://dart.fss.or.kr/dsaf001/main.do?rcpNo=20240726800433", "공시열람")</f>
        <v/>
      </c>
    </row>
    <row r="4830">
      <c r="A4830" t="inlineStr">
        <is>
          <t>2024-07-26</t>
        </is>
      </c>
      <c r="B4830" t="inlineStr">
        <is>
          <t>자이에스앤디</t>
        </is>
      </c>
      <c r="C4830" t="inlineStr">
        <is>
          <t>317400</t>
        </is>
      </c>
      <c r="D4830" t="inlineStr">
        <is>
          <t>연결</t>
        </is>
      </c>
      <c r="E4830" t="inlineStr">
        <is>
          <t>2024Q2</t>
        </is>
      </c>
      <c r="F4830" s="2" t="n">
        <v>427369</v>
      </c>
      <c r="G4830" t="n">
        <v>6.72</v>
      </c>
      <c r="H4830" t="n">
        <v>-30.52</v>
      </c>
      <c r="I4830" s="2" t="n">
        <v>1083</v>
      </c>
      <c r="J4830" t="n">
        <v>83.25</v>
      </c>
      <c r="K4830" t="n">
        <v>-97.13</v>
      </c>
      <c r="L4830" s="2" t="n">
        <v>1708</v>
      </c>
      <c r="M4830" t="n">
        <v>-92.95999999999999</v>
      </c>
      <c r="N4830" t="inlineStr">
        <is>
          <t>20240726800445</t>
        </is>
      </c>
      <c r="O4830">
        <f>HYPERLINK("https://dart.fss.or.kr/dsaf001/main.do?rcpNo=20240726800445", "공시열람")</f>
        <v/>
      </c>
    </row>
    <row r="4831">
      <c r="A4831" t="inlineStr">
        <is>
          <t>2024-07-26</t>
        </is>
      </c>
      <c r="B4831" t="inlineStr">
        <is>
          <t>HL만도</t>
        </is>
      </c>
      <c r="C4831" t="inlineStr">
        <is>
          <t>204320</t>
        </is>
      </c>
      <c r="D4831" t="inlineStr">
        <is>
          <t>연결</t>
        </is>
      </c>
      <c r="E4831" t="inlineStr">
        <is>
          <t>2024Q2</t>
        </is>
      </c>
      <c r="F4831" s="2" t="n">
        <v>2147360</v>
      </c>
      <c r="G4831" t="n">
        <v>1.9</v>
      </c>
      <c r="H4831" t="n">
        <v>2.9</v>
      </c>
      <c r="I4831" s="2" t="n">
        <v>89625</v>
      </c>
      <c r="J4831" t="n">
        <v>18.5</v>
      </c>
      <c r="K4831" t="n">
        <v>16.4</v>
      </c>
      <c r="L4831" s="2" t="n">
        <v>11876</v>
      </c>
      <c r="M4831" t="n">
        <v>-76.8</v>
      </c>
      <c r="N4831" t="inlineStr">
        <is>
          <t>20240726800485</t>
        </is>
      </c>
      <c r="O4831">
        <f>HYPERLINK("https://dart.fss.or.kr/dsaf001/main.do?rcpNo=20240726800485", "공시열람")</f>
        <v/>
      </c>
    </row>
    <row r="4832">
      <c r="A4832" t="inlineStr">
        <is>
          <t>2024-07-26</t>
        </is>
      </c>
      <c r="B4832" t="inlineStr">
        <is>
          <t>두산에너빌리티</t>
        </is>
      </c>
      <c r="C4832" t="inlineStr">
        <is>
          <t>034020</t>
        </is>
      </c>
      <c r="D4832" t="inlineStr">
        <is>
          <t>연결</t>
        </is>
      </c>
      <c r="E4832" t="inlineStr">
        <is>
          <t>2024Q2</t>
        </is>
      </c>
      <c r="F4832" s="2" t="n">
        <v>4150487</v>
      </c>
      <c r="G4832" t="n">
        <v>1.28</v>
      </c>
      <c r="H4832" t="n">
        <v>-8.57</v>
      </c>
      <c r="I4832" s="2" t="n">
        <v>309790</v>
      </c>
      <c r="J4832" t="n">
        <v>-13.48</v>
      </c>
      <c r="K4832" t="n">
        <v>-37.37</v>
      </c>
      <c r="L4832" s="2" t="n">
        <v>220767</v>
      </c>
      <c r="M4832" t="n">
        <v>-15.99</v>
      </c>
      <c r="N4832" t="inlineStr">
        <is>
          <t>20240726800460</t>
        </is>
      </c>
      <c r="O4832">
        <f>HYPERLINK("https://dart.fss.or.kr/dsaf001/main.do?rcpNo=20240726800460", "공시열람")</f>
        <v/>
      </c>
    </row>
    <row r="4833">
      <c r="A4833" t="inlineStr">
        <is>
          <t>2024-07-26</t>
        </is>
      </c>
      <c r="B4833" t="inlineStr">
        <is>
          <t>기아</t>
        </is>
      </c>
      <c r="C4833" t="inlineStr">
        <is>
          <t>000270</t>
        </is>
      </c>
      <c r="D4833" t="inlineStr">
        <is>
          <t>연결</t>
        </is>
      </c>
      <c r="E4833" t="inlineStr">
        <is>
          <t>2024Q2</t>
        </is>
      </c>
      <c r="F4833" s="2" t="n">
        <v>27567907</v>
      </c>
      <c r="G4833" t="n">
        <v>5.2</v>
      </c>
      <c r="H4833" t="n">
        <v>5</v>
      </c>
      <c r="I4833" s="2" t="n">
        <v>3643732</v>
      </c>
      <c r="J4833" t="n">
        <v>6.4</v>
      </c>
      <c r="K4833" t="n">
        <v>7.1</v>
      </c>
      <c r="L4833" s="2" t="n">
        <v>2956622</v>
      </c>
      <c r="M4833" t="n">
        <v>5</v>
      </c>
      <c r="N4833" t="inlineStr">
        <is>
          <t>20240726800532</t>
        </is>
      </c>
      <c r="O4833">
        <f>HYPERLINK("https://dart.fss.or.kr/dsaf001/main.do?rcpNo=20240726800532", "공시열람")</f>
        <v/>
      </c>
    </row>
    <row r="4834">
      <c r="A4834" t="inlineStr">
        <is>
          <t>2024-07-26</t>
        </is>
      </c>
      <c r="B4834" t="inlineStr">
        <is>
          <t>한미반도체</t>
        </is>
      </c>
      <c r="C4834" t="inlineStr">
        <is>
          <t>042700</t>
        </is>
      </c>
      <c r="D4834" t="inlineStr">
        <is>
          <t>연결</t>
        </is>
      </c>
      <c r="E4834" t="inlineStr">
        <is>
          <t>2024Q2</t>
        </is>
      </c>
      <c r="F4834" s="2" t="n">
        <v>123478</v>
      </c>
      <c r="G4834" t="inlineStr"/>
      <c r="H4834" t="inlineStr"/>
      <c r="I4834" s="2" t="n">
        <v>55438</v>
      </c>
      <c r="J4834" t="inlineStr"/>
      <c r="K4834" t="inlineStr"/>
      <c r="L4834" s="2" t="inlineStr"/>
      <c r="M4834" t="inlineStr"/>
      <c r="N4834" t="inlineStr">
        <is>
          <t>20240726800110</t>
        </is>
      </c>
      <c r="O4834">
        <f>HYPERLINK("https://dart.fss.or.kr/dsaf001/main.do?rcpNo=20240726800110", "공시열람")</f>
        <v/>
      </c>
    </row>
    <row r="4835">
      <c r="A4835" t="inlineStr">
        <is>
          <t>2024-07-26</t>
        </is>
      </c>
      <c r="B4835" t="inlineStr">
        <is>
          <t>S-Oil</t>
        </is>
      </c>
      <c r="C4835" t="inlineStr">
        <is>
          <t>010950</t>
        </is>
      </c>
      <c r="D4835" t="inlineStr">
        <is>
          <t>연결</t>
        </is>
      </c>
      <c r="E4835" t="inlineStr">
        <is>
          <t>2024Q2</t>
        </is>
      </c>
      <c r="F4835" s="2" t="n">
        <v>9570838</v>
      </c>
      <c r="G4835" t="inlineStr"/>
      <c r="H4835" t="inlineStr"/>
      <c r="I4835" s="2" t="n">
        <v>160647</v>
      </c>
      <c r="J4835" t="inlineStr"/>
      <c r="K4835" t="inlineStr"/>
      <c r="L4835" s="2" t="n">
        <v>-21337</v>
      </c>
      <c r="M4835" t="inlineStr"/>
      <c r="N4835" t="inlineStr">
        <is>
          <t>20240726800062</t>
        </is>
      </c>
      <c r="O4835">
        <f>HYPERLINK("https://dart.fss.or.kr/dsaf001/main.do?rcpNo=20240726800062", "공시열람")</f>
        <v/>
      </c>
    </row>
    <row r="4836">
      <c r="A4836" t="inlineStr">
        <is>
          <t>2024-07-26</t>
        </is>
      </c>
      <c r="B4836" t="inlineStr">
        <is>
          <t>GS건설</t>
        </is>
      </c>
      <c r="C4836" t="inlineStr">
        <is>
          <t>006360</t>
        </is>
      </c>
      <c r="D4836" t="inlineStr">
        <is>
          <t>연결</t>
        </is>
      </c>
      <c r="E4836" t="inlineStr">
        <is>
          <t>2024Q2</t>
        </is>
      </c>
      <c r="F4836" s="2" t="n">
        <v>3297188</v>
      </c>
      <c r="G4836" t="n">
        <v>7.37</v>
      </c>
      <c r="H4836" t="n">
        <v>-5.66</v>
      </c>
      <c r="I4836" s="2" t="n">
        <v>93729</v>
      </c>
      <c r="J4836" t="n">
        <v>32.91</v>
      </c>
      <c r="K4836" t="inlineStr"/>
      <c r="L4836" s="2" t="n">
        <v>36608</v>
      </c>
      <c r="M4836" t="inlineStr"/>
      <c r="N4836" t="inlineStr">
        <is>
          <t>20240726800077</t>
        </is>
      </c>
      <c r="O4836">
        <f>HYPERLINK("https://dart.fss.or.kr/dsaf001/main.do?rcpNo=20240726800077", "공시열람")</f>
        <v/>
      </c>
    </row>
    <row r="4837">
      <c r="A4837" t="inlineStr">
        <is>
          <t>2024-07-26</t>
        </is>
      </c>
      <c r="B4837" t="inlineStr">
        <is>
          <t>한국비엔씨</t>
        </is>
      </c>
      <c r="C4837" t="inlineStr">
        <is>
          <t>256840</t>
        </is>
      </c>
      <c r="D4837" t="inlineStr">
        <is>
          <t>별도</t>
        </is>
      </c>
      <c r="E4837" t="inlineStr">
        <is>
          <t>2024Q2</t>
        </is>
      </c>
      <c r="F4837" s="2" t="n">
        <v>16426</v>
      </c>
      <c r="G4837" t="inlineStr"/>
      <c r="H4837" t="inlineStr"/>
      <c r="I4837" s="2" t="n">
        <v>4536</v>
      </c>
      <c r="J4837" t="inlineStr"/>
      <c r="K4837" t="inlineStr"/>
      <c r="L4837" s="2" t="n">
        <v>915</v>
      </c>
      <c r="M4837" t="inlineStr"/>
      <c r="N4837" t="inlineStr">
        <is>
          <t>20240726900103</t>
        </is>
      </c>
      <c r="O4837">
        <f>HYPERLINK("https://dart.fss.or.kr/dsaf001/main.do?rcpNo=20240726900103", "공시열람")</f>
        <v/>
      </c>
    </row>
    <row r="4838">
      <c r="A4838" t="inlineStr">
        <is>
          <t>2024-07-26</t>
        </is>
      </c>
      <c r="B4838" t="inlineStr">
        <is>
          <t>두산</t>
        </is>
      </c>
      <c r="C4838" t="inlineStr">
        <is>
          <t>000150</t>
        </is>
      </c>
      <c r="D4838" t="inlineStr">
        <is>
          <t>연결</t>
        </is>
      </c>
      <c r="E4838" t="inlineStr">
        <is>
          <t>2024Q2</t>
        </is>
      </c>
      <c r="F4838" s="2" t="n">
        <v>4592200</v>
      </c>
      <c r="G4838" t="n">
        <v>2.9</v>
      </c>
      <c r="H4838" t="n">
        <v>-7.6</v>
      </c>
      <c r="I4838" s="2" t="n">
        <v>336700</v>
      </c>
      <c r="J4838" t="n">
        <v>-3.2</v>
      </c>
      <c r="K4838" t="n">
        <v>-34.2</v>
      </c>
      <c r="L4838" s="2" t="n">
        <v>216300</v>
      </c>
      <c r="M4838" t="n">
        <v>24.2</v>
      </c>
      <c r="N4838" t="inlineStr">
        <is>
          <t>20240726800550</t>
        </is>
      </c>
      <c r="O4838">
        <f>HYPERLINK("https://dart.fss.or.kr/dsaf001/main.do?rcpNo=20240726800550", "공시열람")</f>
        <v/>
      </c>
    </row>
    <row r="4839">
      <c r="A4839" t="inlineStr">
        <is>
          <t>2024-07-26</t>
        </is>
      </c>
      <c r="B4839" t="inlineStr">
        <is>
          <t>효성티앤씨</t>
        </is>
      </c>
      <c r="C4839" t="inlineStr">
        <is>
          <t>298020</t>
        </is>
      </c>
      <c r="D4839" t="inlineStr">
        <is>
          <t>연결</t>
        </is>
      </c>
      <c r="E4839" t="inlineStr">
        <is>
          <t>2024Q2</t>
        </is>
      </c>
      <c r="F4839" s="2" t="n">
        <v>1982565</v>
      </c>
      <c r="G4839" t="inlineStr"/>
      <c r="H4839" t="inlineStr"/>
      <c r="I4839" s="2" t="n">
        <v>84648</v>
      </c>
      <c r="J4839" t="inlineStr"/>
      <c r="K4839" t="inlineStr"/>
      <c r="L4839" s="2" t="n">
        <v>51766</v>
      </c>
      <c r="M4839" t="inlineStr"/>
      <c r="N4839" t="inlineStr">
        <is>
          <t>20240726800793</t>
        </is>
      </c>
      <c r="O4839">
        <f>HYPERLINK("https://dart.fss.or.kr/dsaf001/main.do?rcpNo=20240726800793", "공시열람")</f>
        <v/>
      </c>
    </row>
    <row r="4840">
      <c r="A4840" t="inlineStr">
        <is>
          <t>2024-07-26</t>
        </is>
      </c>
      <c r="B4840" t="inlineStr">
        <is>
          <t>효성</t>
        </is>
      </c>
      <c r="C4840" t="inlineStr">
        <is>
          <t>004800</t>
        </is>
      </c>
      <c r="D4840" t="inlineStr">
        <is>
          <t>연결</t>
        </is>
      </c>
      <c r="E4840" t="inlineStr">
        <is>
          <t>2024Q2</t>
        </is>
      </c>
      <c r="F4840" s="2" t="n">
        <v>564294</v>
      </c>
      <c r="G4840" t="n">
        <v>34.2</v>
      </c>
      <c r="H4840" t="n">
        <v>13.3</v>
      </c>
      <c r="I4840" s="2" t="n">
        <v>38200</v>
      </c>
      <c r="J4840" t="n">
        <v>532.1</v>
      </c>
      <c r="K4840" t="n">
        <v>63.9</v>
      </c>
      <c r="L4840" s="2" t="n">
        <v>15140</v>
      </c>
      <c r="M4840" t="n">
        <v>349.5</v>
      </c>
      <c r="N4840" t="inlineStr">
        <is>
          <t>20240726800792</t>
        </is>
      </c>
      <c r="O4840">
        <f>HYPERLINK("https://dart.fss.or.kr/dsaf001/main.do?rcpNo=20240726800792", "공시열람")</f>
        <v/>
      </c>
    </row>
    <row r="4841">
      <c r="A4841" t="inlineStr">
        <is>
          <t>2024-07-26</t>
        </is>
      </c>
      <c r="B4841" t="inlineStr">
        <is>
          <t>효성화학</t>
        </is>
      </c>
      <c r="C4841" t="inlineStr">
        <is>
          <t>298000</t>
        </is>
      </c>
      <c r="D4841" t="inlineStr">
        <is>
          <t>연결</t>
        </is>
      </c>
      <c r="E4841" t="inlineStr">
        <is>
          <t>2024Q2</t>
        </is>
      </c>
      <c r="F4841" s="2" t="n">
        <v>754482</v>
      </c>
      <c r="G4841" t="n">
        <v>6.21</v>
      </c>
      <c r="H4841" t="n">
        <v>4.23</v>
      </c>
      <c r="I4841" s="2" t="n">
        <v>-50719</v>
      </c>
      <c r="J4841" t="n">
        <v>-45.62</v>
      </c>
      <c r="K4841" t="n">
        <v>50.89</v>
      </c>
      <c r="L4841" s="2" t="n">
        <v>-90066</v>
      </c>
      <c r="M4841" t="n">
        <v>36.77</v>
      </c>
      <c r="N4841" t="inlineStr">
        <is>
          <t>20240726800733</t>
        </is>
      </c>
      <c r="O4841">
        <f>HYPERLINK("https://dart.fss.or.kr/dsaf001/main.do?rcpNo=20240726800733", "공시열람")</f>
        <v/>
      </c>
    </row>
    <row r="4842">
      <c r="A4842" t="inlineStr">
        <is>
          <t>2024-07-26</t>
        </is>
      </c>
      <c r="B4842" t="inlineStr">
        <is>
          <t>현대모비스</t>
        </is>
      </c>
      <c r="C4842" t="inlineStr">
        <is>
          <t>012330</t>
        </is>
      </c>
      <c r="D4842" t="inlineStr">
        <is>
          <t>연결</t>
        </is>
      </c>
      <c r="E4842" t="inlineStr">
        <is>
          <t>2024Q2</t>
        </is>
      </c>
      <c r="F4842" s="2" t="n">
        <v>14655307</v>
      </c>
      <c r="G4842" t="n">
        <v>5.67</v>
      </c>
      <c r="H4842" t="n">
        <v>-6.56</v>
      </c>
      <c r="I4842" s="2" t="n">
        <v>636107</v>
      </c>
      <c r="J4842" t="n">
        <v>17.22</v>
      </c>
      <c r="K4842" t="n">
        <v>-4.17</v>
      </c>
      <c r="L4842" s="2" t="n">
        <v>997668</v>
      </c>
      <c r="M4842" t="n">
        <v>7.04</v>
      </c>
      <c r="N4842" t="inlineStr">
        <is>
          <t>20240726800130</t>
        </is>
      </c>
      <c r="O4842">
        <f>HYPERLINK("https://dart.fss.or.kr/dsaf001/main.do?rcpNo=20240726800130", "공시열람")</f>
        <v/>
      </c>
    </row>
    <row r="4843">
      <c r="A4843" t="inlineStr">
        <is>
          <t>2024-07-26</t>
        </is>
      </c>
      <c r="B4843" t="inlineStr">
        <is>
          <t>현대로템</t>
        </is>
      </c>
      <c r="C4843" t="inlineStr">
        <is>
          <t>064350</t>
        </is>
      </c>
      <c r="D4843" t="inlineStr">
        <is>
          <t>연결</t>
        </is>
      </c>
      <c r="E4843" t="inlineStr">
        <is>
          <t>2024Q2</t>
        </is>
      </c>
      <c r="F4843" s="2" t="n">
        <v>1094527</v>
      </c>
      <c r="G4843" t="n">
        <v>46.4</v>
      </c>
      <c r="H4843" t="n">
        <v>10.9</v>
      </c>
      <c r="I4843" s="2" t="n">
        <v>112762</v>
      </c>
      <c r="J4843" t="n">
        <v>152.4</v>
      </c>
      <c r="K4843" t="n">
        <v>67.7</v>
      </c>
      <c r="L4843" s="2" t="n">
        <v>100834</v>
      </c>
      <c r="M4843" t="n">
        <v>91.90000000000001</v>
      </c>
      <c r="N4843" t="inlineStr">
        <is>
          <t>20240726800072</t>
        </is>
      </c>
      <c r="O4843">
        <f>HYPERLINK("https://dart.fss.or.kr/dsaf001/main.do?rcpNo=20240726800072", "공시열람")</f>
        <v/>
      </c>
    </row>
    <row r="4844">
      <c r="A4844" t="inlineStr">
        <is>
          <t>2024-07-26</t>
        </is>
      </c>
      <c r="B4844" t="inlineStr">
        <is>
          <t>HS효성첨단소재</t>
        </is>
      </c>
      <c r="C4844" t="inlineStr">
        <is>
          <t>298050</t>
        </is>
      </c>
      <c r="D4844" t="inlineStr">
        <is>
          <t>연결</t>
        </is>
      </c>
      <c r="E4844" t="inlineStr">
        <is>
          <t>2024Q2</t>
        </is>
      </c>
      <c r="F4844" s="2" t="n">
        <v>840489</v>
      </c>
      <c r="G4844" t="n">
        <v>0.44</v>
      </c>
      <c r="H4844" t="n">
        <v>2.95</v>
      </c>
      <c r="I4844" s="2" t="n">
        <v>65821</v>
      </c>
      <c r="J4844" t="n">
        <v>3.37</v>
      </c>
      <c r="K4844" t="n">
        <v>35.35</v>
      </c>
      <c r="L4844" s="2" t="n">
        <v>26151</v>
      </c>
      <c r="M4844" t="n">
        <v>88.70999999999999</v>
      </c>
      <c r="N4844" t="inlineStr">
        <is>
          <t>20240726800727</t>
        </is>
      </c>
      <c r="O4844">
        <f>HYPERLINK("https://dart.fss.or.kr/dsaf001/main.do?rcpNo=20240726800727", "공시열람")</f>
        <v/>
      </c>
    </row>
    <row r="4845">
      <c r="A4845" t="inlineStr">
        <is>
          <t>2024-07-26</t>
        </is>
      </c>
      <c r="B4845" t="inlineStr">
        <is>
          <t>효성중공업</t>
        </is>
      </c>
      <c r="C4845" t="inlineStr">
        <is>
          <t>298040</t>
        </is>
      </c>
      <c r="D4845" t="inlineStr">
        <is>
          <t>연결</t>
        </is>
      </c>
      <c r="E4845" t="inlineStr">
        <is>
          <t>2024Q2</t>
        </is>
      </c>
      <c r="F4845" s="2" t="n">
        <v>1193776</v>
      </c>
      <c r="G4845" t="n">
        <v>21.26</v>
      </c>
      <c r="H4845" t="n">
        <v>6.33</v>
      </c>
      <c r="I4845" s="2" t="n">
        <v>62660</v>
      </c>
      <c r="J4845" t="n">
        <v>11.56</v>
      </c>
      <c r="K4845" t="n">
        <v>-26.92</v>
      </c>
      <c r="L4845" s="2" t="n">
        <v>28204</v>
      </c>
      <c r="M4845" t="n">
        <v>-52.04</v>
      </c>
      <c r="N4845" t="inlineStr">
        <is>
          <t>20240726800695</t>
        </is>
      </c>
      <c r="O4845">
        <f>HYPERLINK("https://dart.fss.or.kr/dsaf001/main.do?rcpNo=20240726800695", "공시열람")</f>
        <v/>
      </c>
    </row>
    <row r="4846">
      <c r="A4846" t="inlineStr">
        <is>
          <t>2024-07-26</t>
        </is>
      </c>
      <c r="B4846" t="inlineStr">
        <is>
          <t>효성 ITX</t>
        </is>
      </c>
      <c r="C4846" t="inlineStr">
        <is>
          <t>094280</t>
        </is>
      </c>
      <c r="D4846" t="inlineStr">
        <is>
          <t>연결</t>
        </is>
      </c>
      <c r="E4846" t="inlineStr">
        <is>
          <t>2024Q2</t>
        </is>
      </c>
      <c r="F4846" s="2" t="n">
        <v>120273</v>
      </c>
      <c r="G4846" t="n">
        <v>-5.08</v>
      </c>
      <c r="H4846" t="n">
        <v>-2.8</v>
      </c>
      <c r="I4846" s="2" t="n">
        <v>4429</v>
      </c>
      <c r="J4846" t="n">
        <v>-2.86</v>
      </c>
      <c r="K4846" t="n">
        <v>-9.43</v>
      </c>
      <c r="L4846" s="2" t="n">
        <v>3099</v>
      </c>
      <c r="M4846" t="n">
        <v>-16.96</v>
      </c>
      <c r="N4846" t="inlineStr">
        <is>
          <t>20240726800576</t>
        </is>
      </c>
      <c r="O4846">
        <f>HYPERLINK("https://dart.fss.or.kr/dsaf001/main.do?rcpNo=20240726800576", "공시열람")</f>
        <v/>
      </c>
    </row>
    <row r="4847">
      <c r="A4847" t="inlineStr">
        <is>
          <t>2024-07-26</t>
        </is>
      </c>
      <c r="B4847" t="inlineStr">
        <is>
          <t>삼성카드</t>
        </is>
      </c>
      <c r="C4847" t="inlineStr">
        <is>
          <t>029780</t>
        </is>
      </c>
      <c r="D4847" t="inlineStr">
        <is>
          <t>연결</t>
        </is>
      </c>
      <c r="E4847" t="inlineStr">
        <is>
          <t>2024Q2</t>
        </is>
      </c>
      <c r="F4847" s="2" t="n">
        <v>1089700</v>
      </c>
      <c r="G4847" t="n">
        <v>-1.5</v>
      </c>
      <c r="H4847" t="n">
        <v>11.2</v>
      </c>
      <c r="I4847" s="2" t="n">
        <v>248600</v>
      </c>
      <c r="J4847" t="n">
        <v>3.1</v>
      </c>
      <c r="K4847" t="n">
        <v>29.1</v>
      </c>
      <c r="L4847" s="2" t="n">
        <v>184900</v>
      </c>
      <c r="M4847" t="n">
        <v>27.4</v>
      </c>
      <c r="N4847" t="inlineStr">
        <is>
          <t>20240726800067</t>
        </is>
      </c>
      <c r="O4847">
        <f>HYPERLINK("https://dart.fss.or.kr/dsaf001/main.do?rcpNo=20240726800067", "공시열람")</f>
        <v/>
      </c>
    </row>
    <row r="4848">
      <c r="A4848" t="inlineStr">
        <is>
          <t>2024-07-25</t>
        </is>
      </c>
      <c r="B4848" t="inlineStr">
        <is>
          <t>두산로보틱스</t>
        </is>
      </c>
      <c r="C4848" t="inlineStr">
        <is>
          <t>454910</t>
        </is>
      </c>
      <c r="D4848" t="inlineStr">
        <is>
          <t>연결</t>
        </is>
      </c>
      <c r="E4848" t="inlineStr">
        <is>
          <t>2024Q2</t>
        </is>
      </c>
      <c r="F4848" s="2" t="n">
        <v>14424</v>
      </c>
      <c r="G4848" t="n">
        <v>32.54</v>
      </c>
      <c r="H4848" t="n">
        <v>10.14</v>
      </c>
      <c r="I4848" s="2" t="n">
        <v>-7871</v>
      </c>
      <c r="J4848" t="n">
        <v>-14.3</v>
      </c>
      <c r="K4848" t="n">
        <v>-45.51</v>
      </c>
      <c r="L4848" s="2" t="n">
        <v>-3706</v>
      </c>
      <c r="M4848" t="n">
        <v>22.11</v>
      </c>
      <c r="N4848" t="inlineStr">
        <is>
          <t>20240725800350</t>
        </is>
      </c>
      <c r="O4848">
        <f>HYPERLINK("https://dart.fss.or.kr/dsaf001/main.do?rcpNo=20240725800350", "공시열람")</f>
        <v/>
      </c>
    </row>
    <row r="4849">
      <c r="A4849" t="inlineStr">
        <is>
          <t>2024-07-25</t>
        </is>
      </c>
      <c r="B4849" t="inlineStr">
        <is>
          <t>우리금융지주</t>
        </is>
      </c>
      <c r="C4849" t="inlineStr">
        <is>
          <t>316140</t>
        </is>
      </c>
      <c r="D4849" t="inlineStr">
        <is>
          <t>연결</t>
        </is>
      </c>
      <c r="E4849" t="inlineStr">
        <is>
          <t>2024Q2</t>
        </is>
      </c>
      <c r="F4849" s="2" t="n">
        <v>21367085</v>
      </c>
      <c r="G4849" t="n">
        <v>29.75</v>
      </c>
      <c r="H4849" t="n">
        <v>0.54</v>
      </c>
      <c r="I4849" s="2" t="n">
        <v>2234570</v>
      </c>
      <c r="J4849" t="n">
        <v>64.28</v>
      </c>
      <c r="K4849" t="n">
        <v>14.2</v>
      </c>
      <c r="L4849" s="2" t="n">
        <v>1678817</v>
      </c>
      <c r="M4849" t="n">
        <v>13.59</v>
      </c>
      <c r="N4849" t="inlineStr">
        <is>
          <t>20240725800328</t>
        </is>
      </c>
      <c r="O4849">
        <f>HYPERLINK("https://dart.fss.or.kr/dsaf001/main.do?rcpNo=20240725800328", "공시열람")</f>
        <v/>
      </c>
    </row>
    <row r="4850">
      <c r="A4850" t="inlineStr">
        <is>
          <t>2024-07-25</t>
        </is>
      </c>
      <c r="B4850" t="inlineStr">
        <is>
          <t>제이브이엠</t>
        </is>
      </c>
      <c r="C4850" t="inlineStr">
        <is>
          <t>054950</t>
        </is>
      </c>
      <c r="D4850" t="inlineStr">
        <is>
          <t>연결</t>
        </is>
      </c>
      <c r="E4850" t="inlineStr">
        <is>
          <t>2024Q2</t>
        </is>
      </c>
      <c r="F4850" s="2" t="n">
        <v>37746</v>
      </c>
      <c r="G4850" t="inlineStr"/>
      <c r="H4850" t="inlineStr"/>
      <c r="I4850" s="2" t="n">
        <v>6870</v>
      </c>
      <c r="J4850" t="inlineStr"/>
      <c r="K4850" t="inlineStr"/>
      <c r="L4850" s="2" t="n">
        <v>6042</v>
      </c>
      <c r="M4850" t="inlineStr"/>
      <c r="N4850" t="inlineStr">
        <is>
          <t>20240725900344</t>
        </is>
      </c>
      <c r="O4850">
        <f>HYPERLINK("https://dart.fss.or.kr/dsaf001/main.do?rcpNo=20240725900344", "공시열람")</f>
        <v/>
      </c>
    </row>
    <row r="4851">
      <c r="A4851" t="inlineStr">
        <is>
          <t>2024-07-25</t>
        </is>
      </c>
      <c r="B4851" t="inlineStr">
        <is>
          <t>LG에너지솔루션</t>
        </is>
      </c>
      <c r="C4851" t="inlineStr">
        <is>
          <t>373220</t>
        </is>
      </c>
      <c r="D4851" t="inlineStr">
        <is>
          <t>연결</t>
        </is>
      </c>
      <c r="E4851" t="inlineStr">
        <is>
          <t>2024Q2</t>
        </is>
      </c>
      <c r="F4851" s="2" t="n">
        <v>6161900</v>
      </c>
      <c r="G4851" t="n">
        <v>0.5</v>
      </c>
      <c r="H4851" t="n">
        <v>-29.8</v>
      </c>
      <c r="I4851" s="2" t="n">
        <v>195300</v>
      </c>
      <c r="J4851" t="n">
        <v>24.2</v>
      </c>
      <c r="K4851" t="n">
        <v>-57.6</v>
      </c>
      <c r="L4851" s="2" t="n">
        <v>-23700</v>
      </c>
      <c r="M4851" t="inlineStr"/>
      <c r="N4851" t="inlineStr">
        <is>
          <t>20240725800093</t>
        </is>
      </c>
      <c r="O4851">
        <f>HYPERLINK("https://dart.fss.or.kr/dsaf001/main.do?rcpNo=20240725800093", "공시열람")</f>
        <v/>
      </c>
    </row>
    <row r="4852">
      <c r="A4852" t="inlineStr">
        <is>
          <t>2024-07-25</t>
        </is>
      </c>
      <c r="B4852" t="inlineStr">
        <is>
          <t>포스코스틸리온</t>
        </is>
      </c>
      <c r="C4852" t="inlineStr">
        <is>
          <t>058430</t>
        </is>
      </c>
      <c r="D4852" t="inlineStr">
        <is>
          <t>연결</t>
        </is>
      </c>
      <c r="E4852" t="inlineStr">
        <is>
          <t>2024Q2</t>
        </is>
      </c>
      <c r="F4852" s="2" t="n">
        <v>328400</v>
      </c>
      <c r="G4852" t="n">
        <v>5.1</v>
      </c>
      <c r="H4852" t="n">
        <v>6.2</v>
      </c>
      <c r="I4852" s="2" t="n">
        <v>15500</v>
      </c>
      <c r="J4852" t="n">
        <v>24.3</v>
      </c>
      <c r="K4852" t="n">
        <v>26.9</v>
      </c>
      <c r="L4852" s="2" t="n">
        <v>11200</v>
      </c>
      <c r="M4852" t="n">
        <v>22.6</v>
      </c>
      <c r="N4852" t="inlineStr">
        <is>
          <t>20240725800070</t>
        </is>
      </c>
      <c r="O4852">
        <f>HYPERLINK("https://dart.fss.or.kr/dsaf001/main.do?rcpNo=20240725800070", "공시열람")</f>
        <v/>
      </c>
    </row>
    <row r="4853">
      <c r="A4853" t="inlineStr">
        <is>
          <t>2024-07-25</t>
        </is>
      </c>
      <c r="B4853" t="inlineStr">
        <is>
          <t>엘에스일렉트릭</t>
        </is>
      </c>
      <c r="C4853" t="inlineStr">
        <is>
          <t>010120</t>
        </is>
      </c>
      <c r="D4853" t="inlineStr">
        <is>
          <t>연결</t>
        </is>
      </c>
      <c r="E4853" t="inlineStr">
        <is>
          <t>2024Q2</t>
        </is>
      </c>
      <c r="F4853" s="2" t="n">
        <v>1132437</v>
      </c>
      <c r="G4853" t="n">
        <v>9.029999999999999</v>
      </c>
      <c r="H4853" t="n">
        <v>-5.77</v>
      </c>
      <c r="I4853" s="2" t="n">
        <v>109630</v>
      </c>
      <c r="J4853" t="n">
        <v>16.95</v>
      </c>
      <c r="K4853" t="n">
        <v>4.51</v>
      </c>
      <c r="L4853" s="2" t="n">
        <v>64646</v>
      </c>
      <c r="M4853" t="n">
        <v>-11.47</v>
      </c>
      <c r="N4853" t="inlineStr">
        <is>
          <t>20240725800082</t>
        </is>
      </c>
      <c r="O4853">
        <f>HYPERLINK("https://dart.fss.or.kr/dsaf001/main.do?rcpNo=20240725800082", "공시열람")</f>
        <v/>
      </c>
    </row>
    <row r="4854">
      <c r="A4854" t="inlineStr">
        <is>
          <t>2024-07-25</t>
        </is>
      </c>
      <c r="B4854" t="inlineStr">
        <is>
          <t>포스코스틸리온</t>
        </is>
      </c>
      <c r="C4854" t="inlineStr">
        <is>
          <t>058430</t>
        </is>
      </c>
      <c r="D4854" t="inlineStr">
        <is>
          <t>별도</t>
        </is>
      </c>
      <c r="E4854" t="inlineStr">
        <is>
          <t>2024Q2</t>
        </is>
      </c>
      <c r="F4854" s="2" t="n">
        <v>316500</v>
      </c>
      <c r="G4854" t="n">
        <v>3.4</v>
      </c>
      <c r="H4854" t="n">
        <v>6</v>
      </c>
      <c r="I4854" s="2" t="n">
        <v>12200</v>
      </c>
      <c r="J4854" t="n">
        <v>18.5</v>
      </c>
      <c r="K4854" t="n">
        <v>11.9</v>
      </c>
      <c r="L4854" s="2" t="n">
        <v>9800</v>
      </c>
      <c r="M4854" t="n">
        <v>-9.800000000000001</v>
      </c>
      <c r="N4854" t="inlineStr">
        <is>
          <t>20240725800072</t>
        </is>
      </c>
      <c r="O4854">
        <f>HYPERLINK("https://dart.fss.or.kr/dsaf001/main.do?rcpNo=20240725800072", "공시열람")</f>
        <v/>
      </c>
    </row>
    <row r="4855">
      <c r="A4855" t="inlineStr">
        <is>
          <t>2024-07-25</t>
        </is>
      </c>
      <c r="B4855" t="inlineStr">
        <is>
          <t>KG스틸</t>
        </is>
      </c>
      <c r="C4855" t="inlineStr">
        <is>
          <t>016380</t>
        </is>
      </c>
      <c r="D4855" t="inlineStr">
        <is>
          <t>연결</t>
        </is>
      </c>
      <c r="E4855" t="inlineStr">
        <is>
          <t>2024Q2</t>
        </is>
      </c>
      <c r="F4855" s="2" t="n">
        <v>858400</v>
      </c>
      <c r="G4855" t="n">
        <v>4.87</v>
      </c>
      <c r="H4855" t="n">
        <v>-3.33</v>
      </c>
      <c r="I4855" s="2" t="n">
        <v>74500</v>
      </c>
      <c r="J4855" t="n">
        <v>42.88</v>
      </c>
      <c r="K4855" t="n">
        <v>-12.43</v>
      </c>
      <c r="L4855" s="2" t="n">
        <v>37900</v>
      </c>
      <c r="M4855" t="n">
        <v>-32.81</v>
      </c>
      <c r="N4855" t="inlineStr">
        <is>
          <t>20240725800071</t>
        </is>
      </c>
      <c r="O4855">
        <f>HYPERLINK("https://dart.fss.or.kr/dsaf001/main.do?rcpNo=20240725800071", "공시열람")</f>
        <v/>
      </c>
    </row>
    <row r="4856">
      <c r="A4856" t="inlineStr">
        <is>
          <t>2024-07-25</t>
        </is>
      </c>
      <c r="B4856" t="inlineStr">
        <is>
          <t>KG스틸</t>
        </is>
      </c>
      <c r="C4856" t="inlineStr">
        <is>
          <t>016380</t>
        </is>
      </c>
      <c r="D4856" t="inlineStr">
        <is>
          <t>별도</t>
        </is>
      </c>
      <c r="E4856" t="inlineStr">
        <is>
          <t>2024Q2</t>
        </is>
      </c>
      <c r="F4856" s="2" t="n">
        <v>828400</v>
      </c>
      <c r="G4856" t="n">
        <v>-2.44</v>
      </c>
      <c r="H4856" t="n">
        <v>-3.43</v>
      </c>
      <c r="I4856" s="2" t="n">
        <v>74400</v>
      </c>
      <c r="J4856" t="n">
        <v>5.1</v>
      </c>
      <c r="K4856" t="n">
        <v>-11.95</v>
      </c>
      <c r="L4856" s="2" t="n">
        <v>53300</v>
      </c>
      <c r="M4856" t="n">
        <v>-10.66</v>
      </c>
      <c r="N4856" t="inlineStr">
        <is>
          <t>20240725800068</t>
        </is>
      </c>
      <c r="O4856">
        <f>HYPERLINK("https://dart.fss.or.kr/dsaf001/main.do?rcpNo=20240725800068", "공시열람")</f>
        <v/>
      </c>
    </row>
    <row r="4857">
      <c r="A4857" t="inlineStr">
        <is>
          <t>2024-07-25</t>
        </is>
      </c>
      <c r="B4857" t="inlineStr">
        <is>
          <t>포스코DX</t>
        </is>
      </c>
      <c r="C4857" t="inlineStr">
        <is>
          <t>022100</t>
        </is>
      </c>
      <c r="D4857" t="inlineStr">
        <is>
          <t>연결</t>
        </is>
      </c>
      <c r="E4857" t="inlineStr">
        <is>
          <t>2024Q2</t>
        </is>
      </c>
      <c r="F4857" s="2" t="n">
        <v>353016</v>
      </c>
      <c r="G4857" t="inlineStr"/>
      <c r="H4857" t="inlineStr"/>
      <c r="I4857" s="2" t="n">
        <v>24345</v>
      </c>
      <c r="J4857" t="inlineStr"/>
      <c r="K4857" t="inlineStr"/>
      <c r="L4857" s="2" t="n">
        <v>20390</v>
      </c>
      <c r="M4857" t="inlineStr"/>
      <c r="N4857" t="inlineStr">
        <is>
          <t>20240725800062</t>
        </is>
      </c>
      <c r="O4857">
        <f>HYPERLINK("https://dart.fss.or.kr/dsaf001/main.do?rcpNo=20240725800062", "공시열람")</f>
        <v/>
      </c>
    </row>
    <row r="4858">
      <c r="A4858" t="inlineStr">
        <is>
          <t>2024-07-25</t>
        </is>
      </c>
      <c r="B4858" t="inlineStr">
        <is>
          <t>IPARK현대산업개발</t>
        </is>
      </c>
      <c r="C4858" t="inlineStr">
        <is>
          <t>294870</t>
        </is>
      </c>
      <c r="D4858" t="inlineStr">
        <is>
          <t>연결</t>
        </is>
      </c>
      <c r="E4858" t="inlineStr">
        <is>
          <t>2024Q2</t>
        </is>
      </c>
      <c r="F4858" s="2" t="n">
        <v>1087159</v>
      </c>
      <c r="G4858" t="n">
        <v>13.8</v>
      </c>
      <c r="H4858" t="n">
        <v>16.4</v>
      </c>
      <c r="I4858" s="2" t="n">
        <v>53834</v>
      </c>
      <c r="J4858" t="n">
        <v>29.4</v>
      </c>
      <c r="K4858" t="inlineStr"/>
      <c r="L4858" s="2" t="n">
        <v>47386</v>
      </c>
      <c r="M4858" t="n">
        <v>211.1</v>
      </c>
      <c r="N4858" t="inlineStr">
        <is>
          <t>20240725800037</t>
        </is>
      </c>
      <c r="O4858">
        <f>HYPERLINK("https://dart.fss.or.kr/dsaf001/main.do?rcpNo=20240725800037", "공시열람")</f>
        <v/>
      </c>
    </row>
    <row r="4859">
      <c r="A4859" t="inlineStr">
        <is>
          <t>2024-07-25</t>
        </is>
      </c>
      <c r="B4859" t="inlineStr">
        <is>
          <t>SK하이닉스</t>
        </is>
      </c>
      <c r="C4859" t="inlineStr">
        <is>
          <t>000660</t>
        </is>
      </c>
      <c r="D4859" t="inlineStr">
        <is>
          <t>연결</t>
        </is>
      </c>
      <c r="E4859" t="inlineStr">
        <is>
          <t>2024Q2</t>
        </is>
      </c>
      <c r="F4859" s="2" t="n">
        <v>16423258</v>
      </c>
      <c r="G4859" t="n">
        <v>32.1</v>
      </c>
      <c r="H4859" t="n">
        <v>124.8</v>
      </c>
      <c r="I4859" s="2" t="n">
        <v>5468536</v>
      </c>
      <c r="J4859" t="n">
        <v>89.5</v>
      </c>
      <c r="K4859" t="inlineStr"/>
      <c r="L4859" s="2" t="n">
        <v>4120003</v>
      </c>
      <c r="M4859" t="inlineStr"/>
      <c r="N4859" t="inlineStr">
        <is>
          <t>20240725800021</t>
        </is>
      </c>
      <c r="O4859">
        <f>HYPERLINK("https://dart.fss.or.kr/dsaf001/main.do?rcpNo=20240725800021", "공시열람")</f>
        <v/>
      </c>
    </row>
    <row r="4860">
      <c r="A4860" t="inlineStr">
        <is>
          <t>2024-07-25</t>
        </is>
      </c>
      <c r="B4860" t="inlineStr">
        <is>
          <t>포스코인터내셔널</t>
        </is>
      </c>
      <c r="C4860" t="inlineStr">
        <is>
          <t>047050</t>
        </is>
      </c>
      <c r="D4860" t="inlineStr">
        <is>
          <t>연결</t>
        </is>
      </c>
      <c r="E4860" t="inlineStr">
        <is>
          <t>2024Q2</t>
        </is>
      </c>
      <c r="F4860" s="2" t="n">
        <v>8282300</v>
      </c>
      <c r="G4860" t="n">
        <v>6.7</v>
      </c>
      <c r="H4860" t="n">
        <v>-6.6</v>
      </c>
      <c r="I4860" s="2" t="n">
        <v>349700</v>
      </c>
      <c r="J4860" t="n">
        <v>31.8</v>
      </c>
      <c r="K4860" t="n">
        <v>-2.1</v>
      </c>
      <c r="L4860" s="2" t="n">
        <v>189600</v>
      </c>
      <c r="M4860" t="n">
        <v>-14</v>
      </c>
      <c r="N4860" t="inlineStr">
        <is>
          <t>20240725800115</t>
        </is>
      </c>
      <c r="O4860">
        <f>HYPERLINK("https://dart.fss.or.kr/dsaf001/main.do?rcpNo=20240725800115", "공시열람")</f>
        <v/>
      </c>
    </row>
    <row r="4861">
      <c r="A4861" t="inlineStr">
        <is>
          <t>2024-07-25</t>
        </is>
      </c>
      <c r="B4861" t="inlineStr">
        <is>
          <t>포스코엠텍</t>
        </is>
      </c>
      <c r="C4861" t="inlineStr">
        <is>
          <t>009520</t>
        </is>
      </c>
      <c r="D4861" t="inlineStr">
        <is>
          <t>별도</t>
        </is>
      </c>
      <c r="E4861" t="inlineStr">
        <is>
          <t>2024Q2</t>
        </is>
      </c>
      <c r="F4861" s="2" t="n">
        <v>80569</v>
      </c>
      <c r="G4861" t="inlineStr"/>
      <c r="H4861" t="inlineStr"/>
      <c r="I4861" s="2" t="n">
        <v>2006</v>
      </c>
      <c r="J4861" t="inlineStr"/>
      <c r="K4861" t="inlineStr"/>
      <c r="L4861" s="2" t="n">
        <v>1862</v>
      </c>
      <c r="M4861" t="inlineStr"/>
      <c r="N4861" t="inlineStr">
        <is>
          <t>20240725900112</t>
        </is>
      </c>
      <c r="O4861">
        <f>HYPERLINK("https://dart.fss.or.kr/dsaf001/main.do?rcpNo=20240725900112", "공시열람")</f>
        <v/>
      </c>
    </row>
    <row r="4862">
      <c r="A4862" t="inlineStr">
        <is>
          <t>2024-07-25</t>
        </is>
      </c>
      <c r="B4862" t="inlineStr">
        <is>
          <t>현대차증권</t>
        </is>
      </c>
      <c r="C4862" t="inlineStr">
        <is>
          <t>001500</t>
        </is>
      </c>
      <c r="D4862" t="inlineStr">
        <is>
          <t>연결</t>
        </is>
      </c>
      <c r="E4862" t="inlineStr">
        <is>
          <t>2024Q2</t>
        </is>
      </c>
      <c r="F4862" s="2" t="n">
        <v>435526</v>
      </c>
      <c r="G4862" t="n">
        <v>-8.1</v>
      </c>
      <c r="H4862" t="n">
        <v>21</v>
      </c>
      <c r="I4862" s="2" t="n">
        <v>19448</v>
      </c>
      <c r="J4862" t="n">
        <v>48</v>
      </c>
      <c r="K4862" t="n">
        <v>-28.1</v>
      </c>
      <c r="L4862" s="2" t="n">
        <v>14965</v>
      </c>
      <c r="M4862" t="n">
        <v>-38.9</v>
      </c>
      <c r="N4862" t="inlineStr">
        <is>
          <t>20240725800513</t>
        </is>
      </c>
      <c r="O4862">
        <f>HYPERLINK("https://dart.fss.or.kr/dsaf001/main.do?rcpNo=20240725800513", "공시열람")</f>
        <v/>
      </c>
    </row>
    <row r="4863">
      <c r="A4863" t="inlineStr">
        <is>
          <t>2024-07-25</t>
        </is>
      </c>
      <c r="B4863" t="inlineStr">
        <is>
          <t>NI스틸</t>
        </is>
      </c>
      <c r="C4863" t="inlineStr">
        <is>
          <t>008260</t>
        </is>
      </c>
      <c r="D4863" t="inlineStr">
        <is>
          <t>별도</t>
        </is>
      </c>
      <c r="E4863" t="inlineStr">
        <is>
          <t>2024Q2</t>
        </is>
      </c>
      <c r="F4863" s="2" t="n">
        <v>79826</v>
      </c>
      <c r="G4863" t="n">
        <v>4.1</v>
      </c>
      <c r="H4863" t="n">
        <v>-27.4</v>
      </c>
      <c r="I4863" s="2" t="n">
        <v>11819</v>
      </c>
      <c r="J4863" t="n">
        <v>-12.1</v>
      </c>
      <c r="K4863" t="n">
        <v>-43.7</v>
      </c>
      <c r="L4863" s="2" t="n">
        <v>9463</v>
      </c>
      <c r="M4863" t="n">
        <v>-37.6</v>
      </c>
      <c r="N4863" t="inlineStr">
        <is>
          <t>20240725800116</t>
        </is>
      </c>
      <c r="O4863">
        <f>HYPERLINK("https://dart.fss.or.kr/dsaf001/main.do?rcpNo=20240725800116", "공시열람")</f>
        <v/>
      </c>
    </row>
    <row r="4864">
      <c r="A4864" t="inlineStr">
        <is>
          <t>2024-07-25</t>
        </is>
      </c>
      <c r="B4864" t="inlineStr">
        <is>
          <t>현대제철</t>
        </is>
      </c>
      <c r="C4864" t="inlineStr">
        <is>
          <t>004020</t>
        </is>
      </c>
      <c r="D4864" t="inlineStr">
        <is>
          <t>연결</t>
        </is>
      </c>
      <c r="E4864" t="inlineStr">
        <is>
          <t>2024Q2</t>
        </is>
      </c>
      <c r="F4864" s="2" t="n">
        <v>6041400</v>
      </c>
      <c r="G4864" t="n">
        <v>1.6</v>
      </c>
      <c r="H4864" t="n">
        <v>-15.4</v>
      </c>
      <c r="I4864" s="2" t="n">
        <v>98000</v>
      </c>
      <c r="J4864" t="n">
        <v>75.59999999999999</v>
      </c>
      <c r="K4864" t="n">
        <v>-78.90000000000001</v>
      </c>
      <c r="L4864" s="2" t="n">
        <v>1400</v>
      </c>
      <c r="M4864" t="n">
        <v>-99.5</v>
      </c>
      <c r="N4864" t="inlineStr">
        <is>
          <t>20240725800208</t>
        </is>
      </c>
      <c r="O4864">
        <f>HYPERLINK("https://dart.fss.or.kr/dsaf001/main.do?rcpNo=20240725800208", "공시열람")</f>
        <v/>
      </c>
    </row>
    <row r="4865">
      <c r="A4865" t="inlineStr">
        <is>
          <t>2024-07-25</t>
        </is>
      </c>
      <c r="B4865" t="inlineStr">
        <is>
          <t>삼성중공업</t>
        </is>
      </c>
      <c r="C4865" t="inlineStr">
        <is>
          <t>010140</t>
        </is>
      </c>
      <c r="D4865" t="inlineStr">
        <is>
          <t>연결</t>
        </is>
      </c>
      <c r="E4865" t="inlineStr">
        <is>
          <t>2024Q2</t>
        </is>
      </c>
      <c r="F4865" s="2" t="n">
        <v>2532000</v>
      </c>
      <c r="G4865" t="n">
        <v>7.8</v>
      </c>
      <c r="H4865" t="n">
        <v>30.1</v>
      </c>
      <c r="I4865" s="2" t="n">
        <v>130700</v>
      </c>
      <c r="J4865" t="n">
        <v>67.8</v>
      </c>
      <c r="K4865" t="n">
        <v>121.9</v>
      </c>
      <c r="L4865" s="2" t="n">
        <v>74000</v>
      </c>
      <c r="M4865" t="n">
        <v>219</v>
      </c>
      <c r="N4865" t="inlineStr">
        <is>
          <t>20240725800367</t>
        </is>
      </c>
      <c r="O4865">
        <f>HYPERLINK("https://dart.fss.or.kr/dsaf001/main.do?rcpNo=20240725800367", "공시열람")</f>
        <v/>
      </c>
    </row>
    <row r="4866">
      <c r="A4866" t="inlineStr">
        <is>
          <t>2024-07-25</t>
        </is>
      </c>
      <c r="B4866" t="inlineStr">
        <is>
          <t>포스코퓨처엠</t>
        </is>
      </c>
      <c r="C4866" t="inlineStr">
        <is>
          <t>003670</t>
        </is>
      </c>
      <c r="D4866" t="inlineStr">
        <is>
          <t>별도</t>
        </is>
      </c>
      <c r="E4866" t="inlineStr">
        <is>
          <t>2024Q2</t>
        </is>
      </c>
      <c r="F4866" s="2" t="n">
        <v>892465</v>
      </c>
      <c r="G4866" t="n">
        <v>-19.6</v>
      </c>
      <c r="H4866" t="n">
        <v>-19.5</v>
      </c>
      <c r="I4866" s="2" t="n">
        <v>7309</v>
      </c>
      <c r="J4866" t="n">
        <v>-83.40000000000001</v>
      </c>
      <c r="K4866" t="n">
        <v>-84.8</v>
      </c>
      <c r="L4866" s="2" t="n">
        <v>-4339</v>
      </c>
      <c r="M4866" t="inlineStr"/>
      <c r="N4866" t="inlineStr">
        <is>
          <t>20240725800179</t>
        </is>
      </c>
      <c r="O4866">
        <f>HYPERLINK("https://dart.fss.or.kr/dsaf001/main.do?rcpNo=20240725800179", "공시열람")</f>
        <v/>
      </c>
    </row>
    <row r="4867">
      <c r="A4867" t="inlineStr">
        <is>
          <t>2024-07-25</t>
        </is>
      </c>
      <c r="B4867" t="inlineStr">
        <is>
          <t>포스코퓨처엠</t>
        </is>
      </c>
      <c r="C4867" t="inlineStr">
        <is>
          <t>003670</t>
        </is>
      </c>
      <c r="D4867" t="inlineStr">
        <is>
          <t>연결</t>
        </is>
      </c>
      <c r="E4867" t="inlineStr">
        <is>
          <t>2024Q2</t>
        </is>
      </c>
      <c r="F4867" s="2" t="n">
        <v>915487</v>
      </c>
      <c r="G4867" t="n">
        <v>-19.6</v>
      </c>
      <c r="H4867" t="n">
        <v>-23.3</v>
      </c>
      <c r="I4867" s="2" t="n">
        <v>2738</v>
      </c>
      <c r="J4867" t="n">
        <v>-92.8</v>
      </c>
      <c r="K4867" t="n">
        <v>-94.8</v>
      </c>
      <c r="L4867" s="2" t="n">
        <v>-11195</v>
      </c>
      <c r="M4867" t="inlineStr"/>
      <c r="N4867" t="inlineStr">
        <is>
          <t>20240725800180</t>
        </is>
      </c>
      <c r="O4867">
        <f>HYPERLINK("https://dart.fss.or.kr/dsaf001/main.do?rcpNo=20240725800180", "공시열람")</f>
        <v/>
      </c>
    </row>
    <row r="4868">
      <c r="A4868" t="inlineStr">
        <is>
          <t>2024-07-25</t>
        </is>
      </c>
      <c r="B4868" t="inlineStr">
        <is>
          <t>POSCO홀딩스</t>
        </is>
      </c>
      <c r="C4868" t="inlineStr">
        <is>
          <t>005490</t>
        </is>
      </c>
      <c r="D4868" t="inlineStr">
        <is>
          <t>별도</t>
        </is>
      </c>
      <c r="E4868" t="inlineStr">
        <is>
          <t>2024Q2</t>
        </is>
      </c>
      <c r="F4868" s="2" t="n">
        <v>9</v>
      </c>
      <c r="G4868" t="inlineStr"/>
      <c r="H4868" t="inlineStr"/>
      <c r="I4868" s="2" t="n">
        <v>0</v>
      </c>
      <c r="J4868" t="inlineStr"/>
      <c r="K4868" t="inlineStr"/>
      <c r="L4868" s="2" t="n">
        <v>0</v>
      </c>
      <c r="M4868" t="inlineStr"/>
      <c r="N4868" t="inlineStr">
        <is>
          <t>20240725800186</t>
        </is>
      </c>
      <c r="O4868">
        <f>HYPERLINK("https://dart.fss.or.kr/dsaf001/main.do?rcpNo=20240725800186", "공시열람")</f>
        <v/>
      </c>
    </row>
    <row r="4869">
      <c r="A4869" t="inlineStr">
        <is>
          <t>2024-07-25</t>
        </is>
      </c>
      <c r="B4869" t="inlineStr">
        <is>
          <t>POSCO홀딩스</t>
        </is>
      </c>
      <c r="C4869" t="inlineStr">
        <is>
          <t>005490</t>
        </is>
      </c>
      <c r="D4869" t="inlineStr">
        <is>
          <t>연결</t>
        </is>
      </c>
      <c r="E4869" t="inlineStr">
        <is>
          <t>2024Q2</t>
        </is>
      </c>
      <c r="F4869" s="2" t="n">
        <v>18</v>
      </c>
      <c r="G4869" t="n">
        <v>2.2</v>
      </c>
      <c r="H4869" t="n">
        <v>-8</v>
      </c>
      <c r="I4869" s="2" t="n">
        <v>1</v>
      </c>
      <c r="J4869" t="n">
        <v>33.3</v>
      </c>
      <c r="K4869" t="n">
        <v>-38.5</v>
      </c>
      <c r="L4869" s="2" t="n">
        <v>0</v>
      </c>
      <c r="M4869" t="n">
        <v>-37.5</v>
      </c>
      <c r="N4869" t="inlineStr">
        <is>
          <t>20240725800188</t>
        </is>
      </c>
      <c r="O4869">
        <f>HYPERLINK("https://dart.fss.or.kr/dsaf001/main.do?rcpNo=20240725800188", "공시열람")</f>
        <v/>
      </c>
    </row>
    <row r="4870">
      <c r="A4870" t="inlineStr">
        <is>
          <t>2024-07-25</t>
        </is>
      </c>
      <c r="B4870" t="inlineStr">
        <is>
          <t>삼성E&amp;A</t>
        </is>
      </c>
      <c r="C4870" t="inlineStr">
        <is>
          <t>028050</t>
        </is>
      </c>
      <c r="D4870" t="inlineStr">
        <is>
          <t>연결</t>
        </is>
      </c>
      <c r="E4870" t="inlineStr">
        <is>
          <t>2024Q2</t>
        </is>
      </c>
      <c r="F4870" s="2" t="n">
        <v>2686276</v>
      </c>
      <c r="G4870" t="n">
        <v>12.6</v>
      </c>
      <c r="H4870" t="n">
        <v>-3.6</v>
      </c>
      <c r="I4870" s="2" t="n">
        <v>262573</v>
      </c>
      <c r="J4870" t="n">
        <v>25.4</v>
      </c>
      <c r="K4870" t="n">
        <v>-23.8</v>
      </c>
      <c r="L4870" s="2" t="n">
        <v>205264</v>
      </c>
      <c r="M4870" t="n">
        <v>-18.4</v>
      </c>
      <c r="N4870" t="inlineStr">
        <is>
          <t>20240725800189</t>
        </is>
      </c>
      <c r="O4870">
        <f>HYPERLINK("https://dart.fss.or.kr/dsaf001/main.do?rcpNo=20240725800189", "공시열람")</f>
        <v/>
      </c>
    </row>
    <row r="4871">
      <c r="A4871" t="inlineStr">
        <is>
          <t>2024-07-25</t>
        </is>
      </c>
      <c r="B4871" t="inlineStr">
        <is>
          <t>LG디스플레이</t>
        </is>
      </c>
      <c r="C4871" t="inlineStr">
        <is>
          <t>034220</t>
        </is>
      </c>
      <c r="D4871" t="inlineStr">
        <is>
          <t>연결</t>
        </is>
      </c>
      <c r="E4871" t="inlineStr">
        <is>
          <t>2024Q2</t>
        </is>
      </c>
      <c r="F4871" s="2" t="n">
        <v>6708199</v>
      </c>
      <c r="G4871" t="n">
        <v>27.7</v>
      </c>
      <c r="H4871" t="n">
        <v>41.6</v>
      </c>
      <c r="I4871" s="2" t="n">
        <v>-93673</v>
      </c>
      <c r="J4871" t="n">
        <v>80</v>
      </c>
      <c r="K4871" t="n">
        <v>89.40000000000001</v>
      </c>
      <c r="L4871" s="2" t="n">
        <v>-470798</v>
      </c>
      <c r="M4871" t="n">
        <v>32.6</v>
      </c>
      <c r="N4871" t="inlineStr">
        <is>
          <t>20240725800192</t>
        </is>
      </c>
      <c r="O4871">
        <f>HYPERLINK("https://dart.fss.or.kr/dsaf001/main.do?rcpNo=20240725800192", "공시열람")</f>
        <v/>
      </c>
    </row>
    <row r="4872">
      <c r="A4872" t="inlineStr">
        <is>
          <t>2024-07-25</t>
        </is>
      </c>
      <c r="B4872" t="inlineStr">
        <is>
          <t>HD현대중공업</t>
        </is>
      </c>
      <c r="C4872" t="inlineStr">
        <is>
          <t>329180</t>
        </is>
      </c>
      <c r="D4872" t="inlineStr">
        <is>
          <t>연결</t>
        </is>
      </c>
      <c r="E4872" t="inlineStr">
        <is>
          <t>2024Q2</t>
        </is>
      </c>
      <c r="F4872" s="2" t="n">
        <v>3884000</v>
      </c>
      <c r="G4872" t="n">
        <v>30</v>
      </c>
      <c r="H4872" t="n">
        <v>26.7</v>
      </c>
      <c r="I4872" s="2" t="n">
        <v>195600</v>
      </c>
      <c r="J4872" t="n">
        <v>818.3</v>
      </c>
      <c r="K4872" t="n">
        <v>185.5</v>
      </c>
      <c r="L4872" s="2" t="n">
        <v>154100</v>
      </c>
      <c r="M4872" t="n">
        <v>539.4</v>
      </c>
      <c r="N4872" t="inlineStr">
        <is>
          <t>20240725800195</t>
        </is>
      </c>
      <c r="O4872">
        <f>HYPERLINK("https://dart.fss.or.kr/dsaf001/main.do?rcpNo=20240725800195", "공시열람")</f>
        <v/>
      </c>
    </row>
    <row r="4873">
      <c r="A4873" t="inlineStr">
        <is>
          <t>2024-07-25</t>
        </is>
      </c>
      <c r="B4873" t="inlineStr">
        <is>
          <t>현대글로비스</t>
        </is>
      </c>
      <c r="C4873" t="inlineStr">
        <is>
          <t>086280</t>
        </is>
      </c>
      <c r="D4873" t="inlineStr">
        <is>
          <t>연결</t>
        </is>
      </c>
      <c r="E4873" t="inlineStr">
        <is>
          <t>2024Q2</t>
        </is>
      </c>
      <c r="F4873" s="2" t="n">
        <v>7064319</v>
      </c>
      <c r="G4873" t="n">
        <v>7.3</v>
      </c>
      <c r="H4873" t="n">
        <v>8.1</v>
      </c>
      <c r="I4873" s="2" t="n">
        <v>439290</v>
      </c>
      <c r="J4873" t="n">
        <v>14.2</v>
      </c>
      <c r="K4873" t="n">
        <v>6.5</v>
      </c>
      <c r="L4873" s="2" t="n">
        <v>313040</v>
      </c>
      <c r="M4873" t="n">
        <v>7.7</v>
      </c>
      <c r="N4873" t="inlineStr">
        <is>
          <t>20240725800120</t>
        </is>
      </c>
      <c r="O4873">
        <f>HYPERLINK("https://dart.fss.or.kr/dsaf001/main.do?rcpNo=20240725800120", "공시열람")</f>
        <v/>
      </c>
    </row>
    <row r="4874">
      <c r="A4874" t="inlineStr">
        <is>
          <t>2024-07-25</t>
        </is>
      </c>
      <c r="B4874" t="inlineStr">
        <is>
          <t>HD현대</t>
        </is>
      </c>
      <c r="C4874" t="inlineStr">
        <is>
          <t>267250</t>
        </is>
      </c>
      <c r="D4874" t="inlineStr">
        <is>
          <t>연결</t>
        </is>
      </c>
      <c r="E4874" t="inlineStr">
        <is>
          <t>2024Q2</t>
        </is>
      </c>
      <c r="F4874" s="2" t="n">
        <v>17554900</v>
      </c>
      <c r="G4874" t="n">
        <v>6.3</v>
      </c>
      <c r="H4874" t="n">
        <v>12.4</v>
      </c>
      <c r="I4874" s="2" t="n">
        <v>879900</v>
      </c>
      <c r="J4874" t="n">
        <v>10.9</v>
      </c>
      <c r="K4874" t="n">
        <v>86.2</v>
      </c>
      <c r="L4874" s="2" t="n">
        <v>544100</v>
      </c>
      <c r="M4874" t="n">
        <v>192.1</v>
      </c>
      <c r="N4874" t="inlineStr">
        <is>
          <t>20240725800198</t>
        </is>
      </c>
      <c r="O4874">
        <f>HYPERLINK("https://dart.fss.or.kr/dsaf001/main.do?rcpNo=20240725800198", "공시열람")</f>
        <v/>
      </c>
    </row>
    <row r="4875">
      <c r="A4875" t="inlineStr">
        <is>
          <t>2024-07-25</t>
        </is>
      </c>
      <c r="B4875" t="inlineStr">
        <is>
          <t>HD현대</t>
        </is>
      </c>
      <c r="C4875" t="inlineStr">
        <is>
          <t>267250</t>
        </is>
      </c>
      <c r="D4875" t="inlineStr">
        <is>
          <t>연결</t>
        </is>
      </c>
      <c r="E4875" t="inlineStr">
        <is>
          <t>2024Q2</t>
        </is>
      </c>
      <c r="F4875" s="2" t="n">
        <v>7844000</v>
      </c>
      <c r="G4875" t="n">
        <v>-0.4</v>
      </c>
      <c r="H4875" t="n">
        <v>12.5</v>
      </c>
      <c r="I4875" s="2" t="n">
        <v>73400</v>
      </c>
      <c r="J4875" t="n">
        <v>-76</v>
      </c>
      <c r="K4875" t="n">
        <v>103.3</v>
      </c>
      <c r="L4875" s="2" t="n">
        <v>-93900</v>
      </c>
      <c r="M4875" t="n">
        <v>-72.90000000000001</v>
      </c>
      <c r="N4875" t="inlineStr">
        <is>
          <t>20240725800200</t>
        </is>
      </c>
      <c r="O4875">
        <f>HYPERLINK("https://dart.fss.or.kr/dsaf001/main.do?rcpNo=20240725800200", "공시열람")</f>
        <v/>
      </c>
    </row>
    <row r="4876">
      <c r="A4876" t="inlineStr">
        <is>
          <t>2024-07-25</t>
        </is>
      </c>
      <c r="B4876" t="inlineStr">
        <is>
          <t>HD현대</t>
        </is>
      </c>
      <c r="C4876" t="inlineStr">
        <is>
          <t>267250</t>
        </is>
      </c>
      <c r="D4876" t="inlineStr">
        <is>
          <t>별도</t>
        </is>
      </c>
      <c r="E4876" t="inlineStr">
        <is>
          <t>2024Q2</t>
        </is>
      </c>
      <c r="F4876" s="2" t="n">
        <v>7272100</v>
      </c>
      <c r="G4876" t="n">
        <v>-3.8</v>
      </c>
      <c r="H4876" t="n">
        <v>11.8</v>
      </c>
      <c r="I4876" s="2" t="n">
        <v>-28600</v>
      </c>
      <c r="J4876" t="inlineStr"/>
      <c r="K4876" t="n">
        <v>70.40000000000001</v>
      </c>
      <c r="L4876" s="2" t="n">
        <v>-66800</v>
      </c>
      <c r="M4876" t="n">
        <v>-38</v>
      </c>
      <c r="N4876" t="inlineStr">
        <is>
          <t>20240725800201</t>
        </is>
      </c>
      <c r="O4876">
        <f>HYPERLINK("https://dart.fss.or.kr/dsaf001/main.do?rcpNo=20240725800201", "공시열람")</f>
        <v/>
      </c>
    </row>
    <row r="4877">
      <c r="A4877" t="inlineStr">
        <is>
          <t>2024-07-25</t>
        </is>
      </c>
      <c r="B4877" t="inlineStr">
        <is>
          <t>한화솔루션</t>
        </is>
      </c>
      <c r="C4877" t="inlineStr">
        <is>
          <t>009830</t>
        </is>
      </c>
      <c r="D4877" t="inlineStr">
        <is>
          <t>연결</t>
        </is>
      </c>
      <c r="E4877" t="inlineStr">
        <is>
          <t>2024Q2</t>
        </is>
      </c>
      <c r="F4877" s="2" t="n">
        <v>2679309</v>
      </c>
      <c r="G4877" t="n">
        <v>12.65</v>
      </c>
      <c r="H4877" t="n">
        <v>-20.36</v>
      </c>
      <c r="I4877" s="2" t="n">
        <v>-107757</v>
      </c>
      <c r="J4877" t="n">
        <v>49.74</v>
      </c>
      <c r="K4877" t="inlineStr"/>
      <c r="L4877" s="2" t="n">
        <v>-329820</v>
      </c>
      <c r="M4877" t="inlineStr"/>
      <c r="N4877" t="inlineStr">
        <is>
          <t>20240725800215</t>
        </is>
      </c>
      <c r="O4877">
        <f>HYPERLINK("https://dart.fss.or.kr/dsaf001/main.do?rcpNo=20240725800215", "공시열람")</f>
        <v/>
      </c>
    </row>
    <row r="4878">
      <c r="A4878" t="inlineStr">
        <is>
          <t>2024-07-25</t>
        </is>
      </c>
      <c r="B4878" t="inlineStr">
        <is>
          <t>현대제철</t>
        </is>
      </c>
      <c r="C4878" t="inlineStr">
        <is>
          <t>004020</t>
        </is>
      </c>
      <c r="D4878" t="inlineStr">
        <is>
          <t>별도</t>
        </is>
      </c>
      <c r="E4878" t="inlineStr">
        <is>
          <t>2024Q2</t>
        </is>
      </c>
      <c r="F4878" s="2" t="n">
        <v>4851800</v>
      </c>
      <c r="G4878" t="n">
        <v>0.7</v>
      </c>
      <c r="H4878" t="n">
        <v>-17.3</v>
      </c>
      <c r="I4878" s="2" t="n">
        <v>45700</v>
      </c>
      <c r="J4878" t="n">
        <v>-48.6</v>
      </c>
      <c r="K4878" t="n">
        <v>-89.3</v>
      </c>
      <c r="L4878" s="2" t="n">
        <v>5000</v>
      </c>
      <c r="M4878" t="n">
        <v>-98.2</v>
      </c>
      <c r="N4878" t="inlineStr">
        <is>
          <t>20240725800202</t>
        </is>
      </c>
      <c r="O4878">
        <f>HYPERLINK("https://dart.fss.or.kr/dsaf001/main.do?rcpNo=20240725800202", "공시열람")</f>
        <v/>
      </c>
    </row>
    <row r="4879">
      <c r="A4879" t="inlineStr">
        <is>
          <t>2024-07-25</t>
        </is>
      </c>
      <c r="B4879" t="inlineStr">
        <is>
          <t>HD한국조선해양</t>
        </is>
      </c>
      <c r="C4879" t="inlineStr">
        <is>
          <t>009540</t>
        </is>
      </c>
      <c r="D4879" t="inlineStr">
        <is>
          <t>별도</t>
        </is>
      </c>
      <c r="E4879" t="inlineStr">
        <is>
          <t>2024Q2</t>
        </is>
      </c>
      <c r="F4879" s="2" t="n">
        <v>1810600</v>
      </c>
      <c r="G4879" t="n">
        <v>6.2</v>
      </c>
      <c r="H4879" t="n">
        <v>16.9</v>
      </c>
      <c r="I4879" s="2" t="n">
        <v>175500</v>
      </c>
      <c r="J4879" t="n">
        <v>-5.8</v>
      </c>
      <c r="K4879" t="n">
        <v>182.2</v>
      </c>
      <c r="L4879" s="2" t="n">
        <v>159400</v>
      </c>
      <c r="M4879" t="n">
        <v>237.7</v>
      </c>
      <c r="N4879" t="inlineStr">
        <is>
          <t>20240725800207</t>
        </is>
      </c>
      <c r="O4879">
        <f>HYPERLINK("https://dart.fss.or.kr/dsaf001/main.do?rcpNo=20240725800207", "공시열람")</f>
        <v/>
      </c>
    </row>
    <row r="4880">
      <c r="A4880" t="inlineStr">
        <is>
          <t>2024-07-25</t>
        </is>
      </c>
      <c r="B4880" t="inlineStr">
        <is>
          <t>현대자동차</t>
        </is>
      </c>
      <c r="C4880" t="inlineStr">
        <is>
          <t>005380</t>
        </is>
      </c>
      <c r="D4880" t="inlineStr">
        <is>
          <t>연결</t>
        </is>
      </c>
      <c r="E4880" t="inlineStr">
        <is>
          <t>2024Q2</t>
        </is>
      </c>
      <c r="F4880" s="2" t="n">
        <v>45020581</v>
      </c>
      <c r="G4880" t="n">
        <v>10.7</v>
      </c>
      <c r="H4880" t="n">
        <v>6.6</v>
      </c>
      <c r="I4880" s="2" t="n">
        <v>4279136</v>
      </c>
      <c r="J4880" t="n">
        <v>20.3</v>
      </c>
      <c r="K4880" t="n">
        <v>0.7</v>
      </c>
      <c r="L4880" s="2" t="n">
        <v>4173900</v>
      </c>
      <c r="M4880" t="n">
        <v>24.7</v>
      </c>
      <c r="N4880" t="inlineStr">
        <is>
          <t>20240725800395</t>
        </is>
      </c>
      <c r="O4880">
        <f>HYPERLINK("https://dart.fss.or.kr/dsaf001/main.do?rcpNo=20240725800395", "공시열람")</f>
        <v/>
      </c>
    </row>
    <row r="4881">
      <c r="A4881" t="inlineStr">
        <is>
          <t>2024-07-25</t>
        </is>
      </c>
      <c r="B4881" t="inlineStr">
        <is>
          <t>JB금융지주</t>
        </is>
      </c>
      <c r="C4881" t="inlineStr">
        <is>
          <t>175330</t>
        </is>
      </c>
      <c r="D4881" t="inlineStr">
        <is>
          <t>연결</t>
        </is>
      </c>
      <c r="E4881" t="inlineStr">
        <is>
          <t>2024Q2</t>
        </is>
      </c>
      <c r="F4881" s="2" t="n">
        <v>1173739</v>
      </c>
      <c r="G4881" t="n">
        <v>2.9</v>
      </c>
      <c r="H4881" t="n">
        <v>14.5</v>
      </c>
      <c r="I4881" s="2" t="n">
        <v>258802</v>
      </c>
      <c r="J4881" t="n">
        <v>13.5</v>
      </c>
      <c r="K4881" t="n">
        <v>17.7</v>
      </c>
      <c r="L4881" s="2" t="n">
        <v>200733</v>
      </c>
      <c r="M4881" t="n">
        <v>20.1</v>
      </c>
      <c r="N4881" t="inlineStr">
        <is>
          <t>20240725800226</t>
        </is>
      </c>
      <c r="O4881">
        <f>HYPERLINK("https://dart.fss.or.kr/dsaf001/main.do?rcpNo=20240725800226", "공시열람")</f>
        <v/>
      </c>
    </row>
    <row r="4882">
      <c r="A4882" t="inlineStr">
        <is>
          <t>2024-07-25</t>
        </is>
      </c>
      <c r="B4882" t="inlineStr">
        <is>
          <t>HD한국조선해양</t>
        </is>
      </c>
      <c r="C4882" t="inlineStr">
        <is>
          <t>009540</t>
        </is>
      </c>
      <c r="D4882" t="inlineStr">
        <is>
          <t>연결</t>
        </is>
      </c>
      <c r="E4882" t="inlineStr">
        <is>
          <t>2024Q2</t>
        </is>
      </c>
      <c r="F4882" s="2" t="n">
        <v>6615500</v>
      </c>
      <c r="G4882" t="n">
        <v>19.9</v>
      </c>
      <c r="H4882" t="n">
        <v>21.3</v>
      </c>
      <c r="I4882" s="2" t="n">
        <v>376400</v>
      </c>
      <c r="J4882" t="n">
        <v>135</v>
      </c>
      <c r="K4882" t="n">
        <v>428.7</v>
      </c>
      <c r="L4882" s="2" t="n">
        <v>357800</v>
      </c>
      <c r="M4882" t="n">
        <v>808.1</v>
      </c>
      <c r="N4882" t="inlineStr">
        <is>
          <t>20240725800206</t>
        </is>
      </c>
      <c r="O4882">
        <f>HYPERLINK("https://dart.fss.or.kr/dsaf001/main.do?rcpNo=20240725800206", "공시열람")</f>
        <v/>
      </c>
    </row>
    <row r="4883">
      <c r="A4883" t="inlineStr">
        <is>
          <t>2024-07-25</t>
        </is>
      </c>
      <c r="B4883" t="inlineStr">
        <is>
          <t>LG전자</t>
        </is>
      </c>
      <c r="C4883" t="inlineStr">
        <is>
          <t>066570</t>
        </is>
      </c>
      <c r="D4883" t="inlineStr">
        <is>
          <t>연결</t>
        </is>
      </c>
      <c r="E4883" t="inlineStr">
        <is>
          <t>2024Q2</t>
        </is>
      </c>
      <c r="F4883" s="2" t="n">
        <v>21694400</v>
      </c>
      <c r="G4883" t="inlineStr"/>
      <c r="H4883" t="inlineStr"/>
      <c r="I4883" s="2" t="n">
        <v>1196200</v>
      </c>
      <c r="J4883" t="inlineStr"/>
      <c r="K4883" t="inlineStr"/>
      <c r="L4883" s="2" t="n">
        <v>629500</v>
      </c>
      <c r="M4883" t="inlineStr"/>
      <c r="N4883" t="inlineStr">
        <is>
          <t>20240725800222</t>
        </is>
      </c>
      <c r="O4883">
        <f>HYPERLINK("https://dart.fss.or.kr/dsaf001/main.do?rcpNo=20240725800222", "공시열람")</f>
        <v/>
      </c>
    </row>
    <row r="4884">
      <c r="A4884" t="inlineStr">
        <is>
          <t>2024-07-25</t>
        </is>
      </c>
      <c r="B4884" t="inlineStr">
        <is>
          <t>JB금융지주</t>
        </is>
      </c>
      <c r="C4884" t="inlineStr">
        <is>
          <t>175330</t>
        </is>
      </c>
      <c r="D4884" t="inlineStr">
        <is>
          <t>연결</t>
        </is>
      </c>
      <c r="E4884" t="inlineStr">
        <is>
          <t>2024Q2</t>
        </is>
      </c>
      <c r="F4884" s="2" t="n">
        <v>398418</v>
      </c>
      <c r="G4884" t="n">
        <v>1</v>
      </c>
      <c r="H4884" t="n">
        <v>6.7</v>
      </c>
      <c r="I4884" s="2" t="n">
        <v>69332</v>
      </c>
      <c r="J4884" t="n">
        <v>-5.9</v>
      </c>
      <c r="K4884" t="n">
        <v>6.3</v>
      </c>
      <c r="L4884" s="2" t="n">
        <v>56416</v>
      </c>
      <c r="M4884" t="n">
        <v>14.8</v>
      </c>
      <c r="N4884" t="inlineStr">
        <is>
          <t>20240725800232</t>
        </is>
      </c>
      <c r="O4884">
        <f>HYPERLINK("https://dart.fss.or.kr/dsaf001/main.do?rcpNo=20240725800232", "공시열람")</f>
        <v/>
      </c>
    </row>
    <row r="4885">
      <c r="A4885" t="inlineStr">
        <is>
          <t>2024-07-25</t>
        </is>
      </c>
      <c r="B4885" t="inlineStr">
        <is>
          <t>JB금융지주</t>
        </is>
      </c>
      <c r="C4885" t="inlineStr">
        <is>
          <t>175330</t>
        </is>
      </c>
      <c r="D4885" t="inlineStr">
        <is>
          <t>연결</t>
        </is>
      </c>
      <c r="E4885" t="inlineStr">
        <is>
          <t>2024Q2</t>
        </is>
      </c>
      <c r="F4885" s="2" t="n">
        <v>468429</v>
      </c>
      <c r="G4885" t="n">
        <v>2.6</v>
      </c>
      <c r="H4885" t="n">
        <v>14.9</v>
      </c>
      <c r="I4885" s="2" t="n">
        <v>113933</v>
      </c>
      <c r="J4885" t="n">
        <v>19.6</v>
      </c>
      <c r="K4885" t="n">
        <v>27.8</v>
      </c>
      <c r="L4885" s="2" t="n">
        <v>87719</v>
      </c>
      <c r="M4885" t="n">
        <v>28.2</v>
      </c>
      <c r="N4885" t="inlineStr">
        <is>
          <t>20240725800235</t>
        </is>
      </c>
      <c r="O4885">
        <f>HYPERLINK("https://dart.fss.or.kr/dsaf001/main.do?rcpNo=20240725800235", "공시열람")</f>
        <v/>
      </c>
    </row>
    <row r="4886">
      <c r="A4886" t="inlineStr">
        <is>
          <t>2024-07-25</t>
        </is>
      </c>
      <c r="B4886" t="inlineStr">
        <is>
          <t>동아쏘시오홀딩스</t>
        </is>
      </c>
      <c r="C4886" t="inlineStr">
        <is>
          <t>000640</t>
        </is>
      </c>
      <c r="D4886" t="inlineStr">
        <is>
          <t>연결</t>
        </is>
      </c>
      <c r="E4886" t="inlineStr">
        <is>
          <t>2024Q2</t>
        </is>
      </c>
      <c r="F4886" s="2" t="n">
        <v>324491</v>
      </c>
      <c r="G4886" t="n">
        <v>6.42</v>
      </c>
      <c r="H4886" t="n">
        <v>13.9</v>
      </c>
      <c r="I4886" s="2" t="n">
        <v>22311</v>
      </c>
      <c r="J4886" t="n">
        <v>43.48</v>
      </c>
      <c r="K4886" t="n">
        <v>13.73</v>
      </c>
      <c r="L4886" s="2" t="inlineStr"/>
      <c r="M4886" t="inlineStr"/>
      <c r="N4886" t="inlineStr">
        <is>
          <t>20240725800237</t>
        </is>
      </c>
      <c r="O4886">
        <f>HYPERLINK("https://dart.fss.or.kr/dsaf001/main.do?rcpNo=20240725800237", "공시열람")</f>
        <v/>
      </c>
    </row>
    <row r="4887">
      <c r="A4887" t="inlineStr">
        <is>
          <t>2024-07-25</t>
        </is>
      </c>
      <c r="B4887" t="inlineStr">
        <is>
          <t>JB금융지주</t>
        </is>
      </c>
      <c r="C4887" t="inlineStr">
        <is>
          <t>175330</t>
        </is>
      </c>
      <c r="D4887" t="inlineStr">
        <is>
          <t>연결</t>
        </is>
      </c>
      <c r="E4887" t="inlineStr">
        <is>
          <t>2024Q2</t>
        </is>
      </c>
      <c r="F4887" s="2" t="n">
        <v>301351</v>
      </c>
      <c r="G4887" t="n">
        <v>11.6</v>
      </c>
      <c r="H4887" t="n">
        <v>30.1</v>
      </c>
      <c r="I4887" s="2" t="n">
        <v>84776</v>
      </c>
      <c r="J4887" t="n">
        <v>15</v>
      </c>
      <c r="K4887" t="n">
        <v>23.8</v>
      </c>
      <c r="L4887" s="2" t="n">
        <v>67093</v>
      </c>
      <c r="M4887" t="n">
        <v>27</v>
      </c>
      <c r="N4887" t="inlineStr">
        <is>
          <t>20240725800243</t>
        </is>
      </c>
      <c r="O4887">
        <f>HYPERLINK("https://dart.fss.or.kr/dsaf001/main.do?rcpNo=20240725800243", "공시열람")</f>
        <v/>
      </c>
    </row>
    <row r="4888">
      <c r="A4888" t="inlineStr">
        <is>
          <t>2024-07-25</t>
        </is>
      </c>
      <c r="B4888" t="inlineStr">
        <is>
          <t>동아에스티</t>
        </is>
      </c>
      <c r="C4888" t="inlineStr">
        <is>
          <t>170900</t>
        </is>
      </c>
      <c r="D4888" t="inlineStr">
        <is>
          <t>별도</t>
        </is>
      </c>
      <c r="E4888" t="inlineStr">
        <is>
          <t>2024Q2</t>
        </is>
      </c>
      <c r="F4888" s="2" t="n">
        <v>157663</v>
      </c>
      <c r="G4888" t="n">
        <v>12.6</v>
      </c>
      <c r="H4888" t="n">
        <v>2.3</v>
      </c>
      <c r="I4888" s="2" t="n">
        <v>7096</v>
      </c>
      <c r="J4888" t="n">
        <v>865.8</v>
      </c>
      <c r="K4888" t="n">
        <v>-18.9</v>
      </c>
      <c r="L4888" s="2" t="n">
        <v>7852</v>
      </c>
      <c r="M4888" t="n">
        <v>63.1</v>
      </c>
      <c r="N4888" t="inlineStr">
        <is>
          <t>20240725800239</t>
        </is>
      </c>
      <c r="O4888">
        <f>HYPERLINK("https://dart.fss.or.kr/dsaf001/main.do?rcpNo=20240725800239", "공시열람")</f>
        <v/>
      </c>
    </row>
    <row r="4889">
      <c r="A4889" t="inlineStr">
        <is>
          <t>2024-07-25</t>
        </is>
      </c>
      <c r="B4889" t="inlineStr">
        <is>
          <t>부광약품</t>
        </is>
      </c>
      <c r="C4889" t="inlineStr">
        <is>
          <t>003000</t>
        </is>
      </c>
      <c r="D4889" t="inlineStr">
        <is>
          <t>연결</t>
        </is>
      </c>
      <c r="E4889" t="inlineStr">
        <is>
          <t>2024Q2</t>
        </is>
      </c>
      <c r="F4889" s="2" t="n">
        <v>36831</v>
      </c>
      <c r="G4889" t="inlineStr"/>
      <c r="H4889" t="inlineStr"/>
      <c r="I4889" s="2" t="n">
        <v>-2548</v>
      </c>
      <c r="J4889" t="inlineStr"/>
      <c r="K4889" t="inlineStr"/>
      <c r="L4889" s="2" t="n">
        <v>-3459</v>
      </c>
      <c r="M4889" t="inlineStr"/>
      <c r="N4889" t="inlineStr">
        <is>
          <t>20240725800245</t>
        </is>
      </c>
      <c r="O4889">
        <f>HYPERLINK("https://dart.fss.or.kr/dsaf001/main.do?rcpNo=20240725800245", "공시열람")</f>
        <v/>
      </c>
    </row>
    <row r="4890">
      <c r="A4890" t="inlineStr">
        <is>
          <t>2024-07-25</t>
        </is>
      </c>
      <c r="B4890" t="inlineStr">
        <is>
          <t>에스티팜</t>
        </is>
      </c>
      <c r="C4890" t="inlineStr">
        <is>
          <t>237690</t>
        </is>
      </c>
      <c r="D4890" t="inlineStr">
        <is>
          <t>연결</t>
        </is>
      </c>
      <c r="E4890" t="inlineStr">
        <is>
          <t>2024Q2</t>
        </is>
      </c>
      <c r="F4890" s="2" t="n">
        <v>44589</v>
      </c>
      <c r="G4890" t="inlineStr"/>
      <c r="H4890" t="inlineStr"/>
      <c r="I4890" s="2" t="n">
        <v>-3062</v>
      </c>
      <c r="J4890" t="inlineStr"/>
      <c r="K4890" t="inlineStr"/>
      <c r="L4890" s="2" t="n">
        <v>904</v>
      </c>
      <c r="M4890" t="inlineStr"/>
      <c r="N4890" t="inlineStr">
        <is>
          <t>20240725900241</t>
        </is>
      </c>
      <c r="O4890">
        <f>HYPERLINK("https://dart.fss.or.kr/dsaf001/main.do?rcpNo=20240725900241", "공시열람")</f>
        <v/>
      </c>
    </row>
    <row r="4891">
      <c r="A4891" t="inlineStr">
        <is>
          <t>2024-07-25</t>
        </is>
      </c>
      <c r="B4891" t="inlineStr">
        <is>
          <t>옵투스제약</t>
        </is>
      </c>
      <c r="C4891" t="inlineStr">
        <is>
          <t>131030</t>
        </is>
      </c>
      <c r="D4891" t="inlineStr">
        <is>
          <t>별도</t>
        </is>
      </c>
      <c r="E4891" t="inlineStr">
        <is>
          <t>2024Q2</t>
        </is>
      </c>
      <c r="F4891" s="2" t="n">
        <v>20935</v>
      </c>
      <c r="G4891" t="inlineStr"/>
      <c r="H4891" t="inlineStr"/>
      <c r="I4891" s="2" t="n">
        <v>2042</v>
      </c>
      <c r="J4891" t="inlineStr"/>
      <c r="K4891" t="inlineStr"/>
      <c r="L4891" s="2" t="n">
        <v>2424</v>
      </c>
      <c r="M4891" t="inlineStr"/>
      <c r="N4891" t="inlineStr">
        <is>
          <t>20240725900298</t>
        </is>
      </c>
      <c r="O4891">
        <f>HYPERLINK("https://dart.fss.or.kr/dsaf001/main.do?rcpNo=20240725900298", "공시열람")</f>
        <v/>
      </c>
    </row>
    <row r="4892">
      <c r="A4892" t="inlineStr">
        <is>
          <t>2024-07-25</t>
        </is>
      </c>
      <c r="B4892" t="inlineStr">
        <is>
          <t>멀티캠퍼스</t>
        </is>
      </c>
      <c r="C4892" t="inlineStr">
        <is>
          <t>067280</t>
        </is>
      </c>
      <c r="D4892" t="inlineStr">
        <is>
          <t>연결</t>
        </is>
      </c>
      <c r="E4892" t="inlineStr">
        <is>
          <t>2024Q2</t>
        </is>
      </c>
      <c r="F4892" s="2" t="n">
        <v>88535</v>
      </c>
      <c r="G4892" t="inlineStr"/>
      <c r="H4892" t="inlineStr"/>
      <c r="I4892" s="2" t="n">
        <v>10526</v>
      </c>
      <c r="J4892" t="inlineStr"/>
      <c r="K4892" t="inlineStr"/>
      <c r="L4892" s="2" t="n">
        <v>8004</v>
      </c>
      <c r="M4892" t="inlineStr"/>
      <c r="N4892" t="inlineStr">
        <is>
          <t>20240725900274</t>
        </is>
      </c>
      <c r="O4892">
        <f>HYPERLINK("https://dart.fss.or.kr/dsaf001/main.do?rcpNo=20240725900274", "공시열람")</f>
        <v/>
      </c>
    </row>
    <row r="4893">
      <c r="A4893" t="inlineStr">
        <is>
          <t>2024-07-25</t>
        </is>
      </c>
      <c r="B4893" t="inlineStr">
        <is>
          <t>우리금융지주</t>
        </is>
      </c>
      <c r="C4893" t="inlineStr">
        <is>
          <t>316140</t>
        </is>
      </c>
      <c r="D4893" t="inlineStr">
        <is>
          <t>연결</t>
        </is>
      </c>
      <c r="E4893" t="inlineStr">
        <is>
          <t>2024Q2</t>
        </is>
      </c>
      <c r="F4893" s="2" t="n">
        <v>23737884</v>
      </c>
      <c r="G4893" t="n">
        <v>27.37</v>
      </c>
      <c r="H4893" t="n">
        <v>1.46</v>
      </c>
      <c r="I4893" s="2" t="n">
        <v>2403879</v>
      </c>
      <c r="J4893" t="n">
        <v>77.86</v>
      </c>
      <c r="K4893" t="n">
        <v>11.94</v>
      </c>
      <c r="L4893" s="2" t="n">
        <v>1800320</v>
      </c>
      <c r="M4893" t="n">
        <v>11.56</v>
      </c>
      <c r="N4893" t="inlineStr">
        <is>
          <t>20240725800326</t>
        </is>
      </c>
      <c r="O4893">
        <f>HYPERLINK("https://dart.fss.or.kr/dsaf001/main.do?rcpNo=20240725800326", "공시열람")</f>
        <v/>
      </c>
    </row>
    <row r="4894">
      <c r="A4894" t="inlineStr">
        <is>
          <t>2024-07-25</t>
        </is>
      </c>
      <c r="B4894" t="inlineStr">
        <is>
          <t>롯데하이마트</t>
        </is>
      </c>
      <c r="C4894" t="inlineStr">
        <is>
          <t>071840</t>
        </is>
      </c>
      <c r="D4894" t="inlineStr">
        <is>
          <t>별도</t>
        </is>
      </c>
      <c r="E4894" t="inlineStr">
        <is>
          <t>2024Q2</t>
        </is>
      </c>
      <c r="F4894" s="2" t="n">
        <v>589327</v>
      </c>
      <c r="G4894" t="n">
        <v>12.2</v>
      </c>
      <c r="H4894" t="n">
        <v>-13.3</v>
      </c>
      <c r="I4894" s="2" t="n">
        <v>2781</v>
      </c>
      <c r="J4894" t="inlineStr"/>
      <c r="K4894" t="n">
        <v>-64.40000000000001</v>
      </c>
      <c r="L4894" s="2" t="n">
        <v>1449</v>
      </c>
      <c r="M4894" t="n">
        <v>-34.3</v>
      </c>
      <c r="N4894" t="inlineStr">
        <is>
          <t>20240725800338</t>
        </is>
      </c>
      <c r="O4894">
        <f>HYPERLINK("https://dart.fss.or.kr/dsaf001/main.do?rcpNo=20240725800338", "공시열람")</f>
        <v/>
      </c>
    </row>
    <row r="4895">
      <c r="A4895" t="inlineStr">
        <is>
          <t>2024-07-25</t>
        </is>
      </c>
      <c r="B4895" t="inlineStr">
        <is>
          <t>LG생활건강</t>
        </is>
      </c>
      <c r="C4895" t="inlineStr">
        <is>
          <t>051900</t>
        </is>
      </c>
      <c r="D4895" t="inlineStr">
        <is>
          <t>연결</t>
        </is>
      </c>
      <c r="E4895" t="inlineStr">
        <is>
          <t>2024Q2</t>
        </is>
      </c>
      <c r="F4895" s="2" t="n">
        <v>1759700</v>
      </c>
      <c r="G4895" t="inlineStr"/>
      <c r="H4895" t="inlineStr"/>
      <c r="I4895" s="2" t="n">
        <v>158500</v>
      </c>
      <c r="J4895" t="inlineStr"/>
      <c r="K4895" t="inlineStr"/>
      <c r="L4895" s="2" t="n">
        <v>107200</v>
      </c>
      <c r="M4895" t="inlineStr"/>
      <c r="N4895" t="inlineStr">
        <is>
          <t>20240725800388</t>
        </is>
      </c>
      <c r="O4895">
        <f>HYPERLINK("https://dart.fss.or.kr/dsaf001/main.do?rcpNo=20240725800388", "공시열람")</f>
        <v/>
      </c>
    </row>
    <row r="4896">
      <c r="A4896" t="inlineStr">
        <is>
          <t>2024-07-25</t>
        </is>
      </c>
      <c r="B4896" t="inlineStr">
        <is>
          <t>HD현대중공업</t>
        </is>
      </c>
      <c r="C4896" t="inlineStr">
        <is>
          <t>329180</t>
        </is>
      </c>
      <c r="D4896" t="inlineStr">
        <is>
          <t>별도</t>
        </is>
      </c>
      <c r="E4896" t="inlineStr">
        <is>
          <t>2024Q2</t>
        </is>
      </c>
      <c r="F4896" s="2" t="n">
        <v>3882000</v>
      </c>
      <c r="G4896" t="n">
        <v>30</v>
      </c>
      <c r="H4896" t="n">
        <v>26.7</v>
      </c>
      <c r="I4896" s="2" t="n">
        <v>193800</v>
      </c>
      <c r="J4896" t="n">
        <v>742.6</v>
      </c>
      <c r="K4896" t="n">
        <v>185.8</v>
      </c>
      <c r="L4896" s="2" t="n">
        <v>152300</v>
      </c>
      <c r="M4896" t="n">
        <v>553.6</v>
      </c>
      <c r="N4896" t="inlineStr">
        <is>
          <t>20240725800196</t>
        </is>
      </c>
      <c r="O4896">
        <f>HYPERLINK("https://dart.fss.or.kr/dsaf001/main.do?rcpNo=20240725800196", "공시열람")</f>
        <v/>
      </c>
    </row>
    <row r="4897">
      <c r="A4897" t="inlineStr">
        <is>
          <t>2024-07-25</t>
        </is>
      </c>
      <c r="B4897" t="inlineStr">
        <is>
          <t>한올바이오파마</t>
        </is>
      </c>
      <c r="C4897" t="inlineStr">
        <is>
          <t>009420</t>
        </is>
      </c>
      <c r="D4897" t="inlineStr">
        <is>
          <t>연결</t>
        </is>
      </c>
      <c r="E4897" t="inlineStr">
        <is>
          <t>2024Q2</t>
        </is>
      </c>
      <c r="F4897" s="2" t="n">
        <v>31593</v>
      </c>
      <c r="G4897" t="n">
        <v>-7.3</v>
      </c>
      <c r="H4897" t="n">
        <v>-23.7</v>
      </c>
      <c r="I4897" s="2" t="n">
        <v>-3057</v>
      </c>
      <c r="J4897" t="inlineStr"/>
      <c r="K4897" t="inlineStr"/>
      <c r="L4897" s="2" t="n">
        <v>-3324</v>
      </c>
      <c r="M4897" t="inlineStr"/>
      <c r="N4897" t="inlineStr">
        <is>
          <t>20240725800397</t>
        </is>
      </c>
      <c r="O4897">
        <f>HYPERLINK("https://dart.fss.or.kr/dsaf001/main.do?rcpNo=20240725800397", "공시열람")</f>
        <v/>
      </c>
    </row>
    <row r="4898">
      <c r="A4898" t="inlineStr">
        <is>
          <t>2024-07-25</t>
        </is>
      </c>
      <c r="B4898" t="inlineStr">
        <is>
          <t>LX세미콘</t>
        </is>
      </c>
      <c r="C4898" t="inlineStr">
        <is>
          <t>108320</t>
        </is>
      </c>
      <c r="D4898" t="inlineStr">
        <is>
          <t>연결</t>
        </is>
      </c>
      <c r="E4898" t="inlineStr">
        <is>
          <t>2024Q2</t>
        </is>
      </c>
      <c r="F4898" s="2" t="n">
        <v>484883</v>
      </c>
      <c r="G4898" t="n">
        <v>5.8</v>
      </c>
      <c r="H4898" t="n">
        <v>6.7</v>
      </c>
      <c r="I4898" s="2" t="n">
        <v>56058</v>
      </c>
      <c r="J4898" t="n">
        <v>21.2</v>
      </c>
      <c r="K4898" t="n">
        <v>617.3</v>
      </c>
      <c r="L4898" s="2" t="n">
        <v>44304</v>
      </c>
      <c r="M4898" t="n">
        <v>846.1</v>
      </c>
      <c r="N4898" t="inlineStr">
        <is>
          <t>20240725800487</t>
        </is>
      </c>
      <c r="O4898">
        <f>HYPERLINK("https://dart.fss.or.kr/dsaf001/main.do?rcpNo=20240725800487", "공시열람")</f>
        <v/>
      </c>
    </row>
    <row r="4899">
      <c r="A4899" t="inlineStr">
        <is>
          <t>2024-07-25</t>
        </is>
      </c>
      <c r="B4899" t="inlineStr">
        <is>
          <t>삼성에스디에스</t>
        </is>
      </c>
      <c r="C4899" t="inlineStr">
        <is>
          <t>018260</t>
        </is>
      </c>
      <c r="D4899" t="inlineStr">
        <is>
          <t>연결</t>
        </is>
      </c>
      <c r="E4899" t="inlineStr">
        <is>
          <t>2024Q2</t>
        </is>
      </c>
      <c r="F4899" s="2" t="n">
        <v>3368954</v>
      </c>
      <c r="G4899" t="inlineStr"/>
      <c r="H4899" t="inlineStr"/>
      <c r="I4899" s="2" t="n">
        <v>220920</v>
      </c>
      <c r="J4899" t="inlineStr"/>
      <c r="K4899" t="inlineStr"/>
      <c r="L4899" s="2" t="n">
        <v>190524</v>
      </c>
      <c r="M4899" t="inlineStr"/>
      <c r="N4899" t="inlineStr">
        <is>
          <t>20240725800129</t>
        </is>
      </c>
      <c r="O4899">
        <f>HYPERLINK("https://dart.fss.or.kr/dsaf001/main.do?rcpNo=20240725800129", "공시열람")</f>
        <v/>
      </c>
    </row>
    <row r="4900">
      <c r="A4900" t="inlineStr">
        <is>
          <t>2024-07-25</t>
        </is>
      </c>
      <c r="B4900" t="inlineStr">
        <is>
          <t>LG화학</t>
        </is>
      </c>
      <c r="C4900" t="inlineStr">
        <is>
          <t>051910</t>
        </is>
      </c>
      <c r="D4900" t="inlineStr">
        <is>
          <t>연결</t>
        </is>
      </c>
      <c r="E4900" t="inlineStr">
        <is>
          <t>2024Q2</t>
        </is>
      </c>
      <c r="F4900" s="2" t="n">
        <v>12299672</v>
      </c>
      <c r="G4900" t="n">
        <v>5.9</v>
      </c>
      <c r="H4900" t="n">
        <v>-14.2</v>
      </c>
      <c r="I4900" s="2" t="n">
        <v>405860</v>
      </c>
      <c r="J4900" t="n">
        <v>53.4</v>
      </c>
      <c r="K4900" t="n">
        <v>-34.3</v>
      </c>
      <c r="L4900" s="2" t="n">
        <v>59793</v>
      </c>
      <c r="M4900" t="n">
        <v>-91.09999999999999</v>
      </c>
      <c r="N4900" t="inlineStr">
        <is>
          <t>20240725800142</t>
        </is>
      </c>
      <c r="O4900">
        <f>HYPERLINK("https://dart.fss.or.kr/dsaf001/main.do?rcpNo=20240725800142", "공시열람")</f>
        <v/>
      </c>
    </row>
    <row r="4901">
      <c r="A4901" t="inlineStr">
        <is>
          <t>2024-07-25</t>
        </is>
      </c>
      <c r="B4901" t="inlineStr">
        <is>
          <t>에스원</t>
        </is>
      </c>
      <c r="C4901" t="inlineStr">
        <is>
          <t>012750</t>
        </is>
      </c>
      <c r="D4901" t="inlineStr">
        <is>
          <t>연결</t>
        </is>
      </c>
      <c r="E4901" t="inlineStr">
        <is>
          <t>2024Q2</t>
        </is>
      </c>
      <c r="F4901" s="2" t="n">
        <v>695649</v>
      </c>
      <c r="G4901" t="n">
        <v>4.95</v>
      </c>
      <c r="H4901" t="n">
        <v>7.24</v>
      </c>
      <c r="I4901" s="2" t="n">
        <v>52331</v>
      </c>
      <c r="J4901" t="n">
        <v>7.24</v>
      </c>
      <c r="K4901" t="n">
        <v>-4.05</v>
      </c>
      <c r="L4901" s="2" t="n">
        <v>43334</v>
      </c>
      <c r="M4901" t="n">
        <v>5.52</v>
      </c>
      <c r="N4901" t="inlineStr">
        <is>
          <t>20240725800410</t>
        </is>
      </c>
      <c r="O4901">
        <f>HYPERLINK("https://dart.fss.or.kr/dsaf001/main.do?rcpNo=20240725800410", "공시열람")</f>
        <v/>
      </c>
    </row>
    <row r="4902">
      <c r="A4902" t="inlineStr">
        <is>
          <t>2024-07-25</t>
        </is>
      </c>
      <c r="B4902" t="inlineStr">
        <is>
          <t>유나이티드</t>
        </is>
      </c>
      <c r="C4902" t="inlineStr">
        <is>
          <t>033270</t>
        </is>
      </c>
      <c r="D4902" t="inlineStr">
        <is>
          <t>별도</t>
        </is>
      </c>
      <c r="E4902" t="inlineStr">
        <is>
          <t>2024Q2</t>
        </is>
      </c>
      <c r="F4902" s="2" t="n">
        <v>70994</v>
      </c>
      <c r="G4902" t="n">
        <v>-3</v>
      </c>
      <c r="H4902" t="n">
        <v>3.6</v>
      </c>
      <c r="I4902" s="2" t="n">
        <v>12530</v>
      </c>
      <c r="J4902" t="n">
        <v>-25.7</v>
      </c>
      <c r="K4902" t="n">
        <v>-21.9</v>
      </c>
      <c r="L4902" s="2" t="n">
        <v>-6386</v>
      </c>
      <c r="M4902" t="inlineStr"/>
      <c r="N4902" t="inlineStr">
        <is>
          <t>20240725800649</t>
        </is>
      </c>
      <c r="O4902">
        <f>HYPERLINK("https://dart.fss.or.kr/dsaf001/main.do?rcpNo=20240725800649", "공시열람")</f>
        <v/>
      </c>
    </row>
    <row r="4903">
      <c r="A4903" t="inlineStr">
        <is>
          <t>2024-07-25</t>
        </is>
      </c>
      <c r="B4903" t="inlineStr">
        <is>
          <t>제주은행</t>
        </is>
      </c>
      <c r="C4903" t="inlineStr">
        <is>
          <t>006220</t>
        </is>
      </c>
      <c r="D4903" t="inlineStr">
        <is>
          <t>연결</t>
        </is>
      </c>
      <c r="E4903" t="inlineStr">
        <is>
          <t>2024Q2</t>
        </is>
      </c>
      <c r="F4903" s="2" t="n">
        <v>92444</v>
      </c>
      <c r="G4903" t="inlineStr"/>
      <c r="H4903" t="inlineStr"/>
      <c r="I4903" s="2" t="n">
        <v>1857</v>
      </c>
      <c r="J4903" t="inlineStr"/>
      <c r="K4903" t="inlineStr"/>
      <c r="L4903" s="2" t="n">
        <v>1840</v>
      </c>
      <c r="M4903" t="inlineStr"/>
      <c r="N4903" t="inlineStr">
        <is>
          <t>20240725800648</t>
        </is>
      </c>
      <c r="O4903">
        <f>HYPERLINK("https://dart.fss.or.kr/dsaf001/main.do?rcpNo=20240725800648", "공시열람")</f>
        <v/>
      </c>
    </row>
    <row r="4904">
      <c r="A4904" t="inlineStr">
        <is>
          <t>2024-07-25</t>
        </is>
      </c>
      <c r="B4904" t="inlineStr">
        <is>
          <t>HL D&amp;I</t>
        </is>
      </c>
      <c r="C4904" t="inlineStr">
        <is>
          <t>014790</t>
        </is>
      </c>
      <c r="D4904" t="inlineStr">
        <is>
          <t>연결</t>
        </is>
      </c>
      <c r="E4904" t="inlineStr">
        <is>
          <t>2024Q2</t>
        </is>
      </c>
      <c r="F4904" s="2" t="n">
        <v>393295</v>
      </c>
      <c r="G4904" t="inlineStr"/>
      <c r="H4904" t="inlineStr"/>
      <c r="I4904" s="2" t="n">
        <v>11170</v>
      </c>
      <c r="J4904" t="inlineStr"/>
      <c r="K4904" t="inlineStr"/>
      <c r="L4904" s="2" t="n">
        <v>5526</v>
      </c>
      <c r="M4904" t="inlineStr"/>
      <c r="N4904" t="inlineStr">
        <is>
          <t>20240725800627</t>
        </is>
      </c>
      <c r="O4904">
        <f>HYPERLINK("https://dart.fss.or.kr/dsaf001/main.do?rcpNo=20240725800627", "공시열람")</f>
        <v/>
      </c>
    </row>
    <row r="4905">
      <c r="A4905" t="inlineStr">
        <is>
          <t>2024-07-25</t>
        </is>
      </c>
      <c r="B4905" t="inlineStr">
        <is>
          <t>LX하우시스</t>
        </is>
      </c>
      <c r="C4905" t="inlineStr">
        <is>
          <t>108670</t>
        </is>
      </c>
      <c r="D4905" t="inlineStr">
        <is>
          <t>연결</t>
        </is>
      </c>
      <c r="E4905" t="inlineStr">
        <is>
          <t>2024Q2</t>
        </is>
      </c>
      <c r="F4905" s="2" t="n">
        <v>941911</v>
      </c>
      <c r="G4905" t="inlineStr"/>
      <c r="H4905" t="inlineStr"/>
      <c r="I4905" s="2" t="n">
        <v>37815</v>
      </c>
      <c r="J4905" t="inlineStr"/>
      <c r="K4905" t="inlineStr"/>
      <c r="L4905" s="2" t="n">
        <v>31433</v>
      </c>
      <c r="M4905" t="inlineStr"/>
      <c r="N4905" t="inlineStr">
        <is>
          <t>20240725800585</t>
        </is>
      </c>
      <c r="O4905">
        <f>HYPERLINK("https://dart.fss.or.kr/dsaf001/main.do?rcpNo=20240725800585", "공시열람")</f>
        <v/>
      </c>
    </row>
    <row r="4906">
      <c r="A4906" t="inlineStr">
        <is>
          <t>2024-07-25</t>
        </is>
      </c>
      <c r="B4906" t="inlineStr">
        <is>
          <t>파수AI</t>
        </is>
      </c>
      <c r="C4906" t="inlineStr">
        <is>
          <t>150900</t>
        </is>
      </c>
      <c r="D4906" t="inlineStr">
        <is>
          <t>연결</t>
        </is>
      </c>
      <c r="E4906" t="inlineStr">
        <is>
          <t>2024Q2</t>
        </is>
      </c>
      <c r="F4906" s="2" t="n">
        <v>11298</v>
      </c>
      <c r="G4906" t="inlineStr"/>
      <c r="H4906" t="inlineStr"/>
      <c r="I4906" s="2" t="n">
        <v>644</v>
      </c>
      <c r="J4906" t="inlineStr"/>
      <c r="K4906" t="inlineStr"/>
      <c r="L4906" s="2" t="n">
        <v>593</v>
      </c>
      <c r="M4906" t="inlineStr"/>
      <c r="N4906" t="inlineStr">
        <is>
          <t>20240725900416</t>
        </is>
      </c>
      <c r="O4906">
        <f>HYPERLINK("https://dart.fss.or.kr/dsaf001/main.do?rcpNo=20240725900416", "공시열람")</f>
        <v/>
      </c>
    </row>
    <row r="4907">
      <c r="A4907" t="inlineStr">
        <is>
          <t>2024-07-25</t>
        </is>
      </c>
      <c r="B4907" t="inlineStr">
        <is>
          <t>레이저옵텍</t>
        </is>
      </c>
      <c r="C4907" t="inlineStr">
        <is>
          <t>199550</t>
        </is>
      </c>
      <c r="D4907" t="inlineStr">
        <is>
          <t>별도</t>
        </is>
      </c>
      <c r="E4907" t="inlineStr">
        <is>
          <t>2024Q2</t>
        </is>
      </c>
      <c r="F4907" s="2" t="n">
        <v>10355</v>
      </c>
      <c r="G4907" t="inlineStr"/>
      <c r="H4907" t="inlineStr"/>
      <c r="I4907" s="2" t="n">
        <v>1648</v>
      </c>
      <c r="J4907" t="inlineStr"/>
      <c r="K4907" t="inlineStr"/>
      <c r="L4907" s="2" t="n">
        <v>2094</v>
      </c>
      <c r="M4907" t="inlineStr"/>
      <c r="N4907" t="inlineStr">
        <is>
          <t>20240725900091</t>
        </is>
      </c>
      <c r="O4907">
        <f>HYPERLINK("https://dart.fss.or.kr/dsaf001/main.do?rcpNo=20240725900091", "공시열람")</f>
        <v/>
      </c>
    </row>
    <row r="4908">
      <c r="A4908" t="inlineStr">
        <is>
          <t>2024-07-25</t>
        </is>
      </c>
      <c r="B4908" t="inlineStr">
        <is>
          <t>NH투자증권</t>
        </is>
      </c>
      <c r="C4908" t="inlineStr">
        <is>
          <t>005940</t>
        </is>
      </c>
      <c r="D4908" t="inlineStr">
        <is>
          <t>연결</t>
        </is>
      </c>
      <c r="E4908" t="inlineStr">
        <is>
          <t>2024Q2</t>
        </is>
      </c>
      <c r="F4908" s="2" t="n">
        <v>2410383</v>
      </c>
      <c r="G4908" t="inlineStr"/>
      <c r="H4908" t="inlineStr"/>
      <c r="I4908" s="2" t="n">
        <v>268834</v>
      </c>
      <c r="J4908" t="inlineStr"/>
      <c r="K4908" t="inlineStr"/>
      <c r="L4908" s="2" t="n">
        <v>197203</v>
      </c>
      <c r="M4908" t="inlineStr"/>
      <c r="N4908" t="inlineStr">
        <is>
          <t>20240725800486</t>
        </is>
      </c>
      <c r="O4908">
        <f>HYPERLINK("https://dart.fss.or.kr/dsaf001/main.do?rcpNo=20240725800486", "공시열람")</f>
        <v/>
      </c>
    </row>
    <row r="4909">
      <c r="A4909" t="inlineStr">
        <is>
          <t>2024-07-24</t>
        </is>
      </c>
      <c r="B4909" t="inlineStr">
        <is>
          <t>유니드</t>
        </is>
      </c>
      <c r="C4909" t="inlineStr">
        <is>
          <t>014830</t>
        </is>
      </c>
      <c r="D4909" t="inlineStr">
        <is>
          <t>연결</t>
        </is>
      </c>
      <c r="E4909" t="inlineStr">
        <is>
          <t>2024Q2</t>
        </is>
      </c>
      <c r="F4909" s="2" t="n">
        <v>291638</v>
      </c>
      <c r="G4909" t="inlineStr"/>
      <c r="H4909" t="inlineStr"/>
      <c r="I4909" s="2" t="n">
        <v>35034</v>
      </c>
      <c r="J4909" t="inlineStr"/>
      <c r="K4909" t="inlineStr"/>
      <c r="L4909" s="2" t="n">
        <v>27147</v>
      </c>
      <c r="M4909" t="inlineStr"/>
      <c r="N4909" t="inlineStr">
        <is>
          <t>20240724800140</t>
        </is>
      </c>
      <c r="O4909">
        <f>HYPERLINK("https://dart.fss.or.kr/dsaf001/main.do?rcpNo=20240724800140", "공시열람")</f>
        <v/>
      </c>
    </row>
    <row r="4910">
      <c r="A4910" t="inlineStr">
        <is>
          <t>2024-07-24</t>
        </is>
      </c>
      <c r="B4910" t="inlineStr">
        <is>
          <t>두산밥캣</t>
        </is>
      </c>
      <c r="C4910" t="inlineStr">
        <is>
          <t>241560</t>
        </is>
      </c>
      <c r="D4910" t="inlineStr">
        <is>
          <t>연결</t>
        </is>
      </c>
      <c r="E4910" t="inlineStr">
        <is>
          <t>2024Q2</t>
        </is>
      </c>
      <c r="F4910" s="2" t="n">
        <v>2236600</v>
      </c>
      <c r="G4910" t="n">
        <v>-6.6</v>
      </c>
      <c r="H4910" t="n">
        <v>-16.3</v>
      </c>
      <c r="I4910" s="2" t="n">
        <v>239500</v>
      </c>
      <c r="J4910" t="n">
        <v>-26.5</v>
      </c>
      <c r="K4910" t="n">
        <v>-48.7</v>
      </c>
      <c r="L4910" s="2" t="n">
        <v>157900</v>
      </c>
      <c r="M4910" t="n">
        <v>-48.7</v>
      </c>
      <c r="N4910" t="inlineStr">
        <is>
          <t>20240724800278</t>
        </is>
      </c>
      <c r="O4910">
        <f>HYPERLINK("https://dart.fss.or.kr/dsaf001/main.do?rcpNo=20240724800278", "공시열람")</f>
        <v/>
      </c>
    </row>
    <row r="4911">
      <c r="A4911" t="inlineStr">
        <is>
          <t>2024-07-24</t>
        </is>
      </c>
      <c r="B4911" t="inlineStr">
        <is>
          <t>HD건설기계</t>
        </is>
      </c>
      <c r="C4911" t="inlineStr">
        <is>
          <t>267270</t>
        </is>
      </c>
      <c r="D4911" t="inlineStr">
        <is>
          <t>연결</t>
        </is>
      </c>
      <c r="E4911" t="inlineStr">
        <is>
          <t>2024Q2</t>
        </is>
      </c>
      <c r="F4911" s="2" t="n">
        <v>853000</v>
      </c>
      <c r="G4911" t="n">
        <v>-12.9</v>
      </c>
      <c r="H4911" t="n">
        <v>-17.4</v>
      </c>
      <c r="I4911" s="2" t="n">
        <v>58600</v>
      </c>
      <c r="J4911" t="n">
        <v>9.300000000000001</v>
      </c>
      <c r="K4911" t="n">
        <v>-39.3</v>
      </c>
      <c r="L4911" s="2" t="n">
        <v>30600</v>
      </c>
      <c r="M4911" t="n">
        <v>-54.7</v>
      </c>
      <c r="N4911" t="inlineStr">
        <is>
          <t>20240724800172</t>
        </is>
      </c>
      <c r="O4911">
        <f>HYPERLINK("https://dart.fss.or.kr/dsaf001/main.do?rcpNo=20240724800172", "공시열람")</f>
        <v/>
      </c>
    </row>
    <row r="4912">
      <c r="A4912" t="inlineStr">
        <is>
          <t>2024-07-24</t>
        </is>
      </c>
      <c r="B4912" t="inlineStr">
        <is>
          <t>OCI</t>
        </is>
      </c>
      <c r="C4912" t="inlineStr">
        <is>
          <t>456040</t>
        </is>
      </c>
      <c r="D4912" t="inlineStr">
        <is>
          <t>연결</t>
        </is>
      </c>
      <c r="E4912" t="inlineStr">
        <is>
          <t>2024Q2</t>
        </is>
      </c>
      <c r="F4912" s="2" t="n">
        <v>566488</v>
      </c>
      <c r="G4912" t="n">
        <v>4.8</v>
      </c>
      <c r="H4912" t="inlineStr"/>
      <c r="I4912" s="2" t="n">
        <v>35256</v>
      </c>
      <c r="J4912" t="n">
        <v>-9.199999999999999</v>
      </c>
      <c r="K4912" t="inlineStr"/>
      <c r="L4912" s="2" t="n">
        <v>26187</v>
      </c>
      <c r="M4912" t="inlineStr"/>
      <c r="N4912" t="inlineStr">
        <is>
          <t>20240724800233</t>
        </is>
      </c>
      <c r="O4912">
        <f>HYPERLINK("https://dart.fss.or.kr/dsaf001/main.do?rcpNo=20240724800233", "공시열람")</f>
        <v/>
      </c>
    </row>
    <row r="4913">
      <c r="A4913" t="inlineStr">
        <is>
          <t>2024-07-24</t>
        </is>
      </c>
      <c r="B4913" t="inlineStr">
        <is>
          <t>솔루스첨단소재</t>
        </is>
      </c>
      <c r="C4913" t="inlineStr">
        <is>
          <t>336370</t>
        </is>
      </c>
      <c r="D4913" t="inlineStr">
        <is>
          <t>연결</t>
        </is>
      </c>
      <c r="E4913" t="inlineStr">
        <is>
          <t>2024Q2</t>
        </is>
      </c>
      <c r="F4913" s="2" t="n">
        <v>149300</v>
      </c>
      <c r="G4913" t="n">
        <v>23.08</v>
      </c>
      <c r="H4913" t="n">
        <v>47.57</v>
      </c>
      <c r="I4913" s="2" t="n">
        <v>-10500</v>
      </c>
      <c r="J4913" t="n">
        <v>25.25</v>
      </c>
      <c r="K4913" t="n">
        <v>56.15</v>
      </c>
      <c r="L4913" s="2" t="n">
        <v>-9900</v>
      </c>
      <c r="M4913" t="n">
        <v>60.34</v>
      </c>
      <c r="N4913" t="inlineStr">
        <is>
          <t>20240724800128</t>
        </is>
      </c>
      <c r="O4913">
        <f>HYPERLINK("https://dart.fss.or.kr/dsaf001/main.do?rcpNo=20240724800128", "공시열람")</f>
        <v/>
      </c>
    </row>
    <row r="4914">
      <c r="A4914" t="inlineStr">
        <is>
          <t>2024-07-24</t>
        </is>
      </c>
      <c r="B4914" t="inlineStr">
        <is>
          <t>HD현대마린솔루션</t>
        </is>
      </c>
      <c r="C4914" t="inlineStr">
        <is>
          <t>443060</t>
        </is>
      </c>
      <c r="D4914" t="inlineStr">
        <is>
          <t>연결</t>
        </is>
      </c>
      <c r="E4914" t="inlineStr">
        <is>
          <t>2024Q2</t>
        </is>
      </c>
      <c r="F4914" s="2" t="n">
        <v>437900</v>
      </c>
      <c r="G4914" t="n">
        <v>14.3</v>
      </c>
      <c r="H4914" t="n">
        <v>20.2</v>
      </c>
      <c r="I4914" s="2" t="n">
        <v>71000</v>
      </c>
      <c r="J4914" t="n">
        <v>37.9</v>
      </c>
      <c r="K4914" t="n">
        <v>29.6</v>
      </c>
      <c r="L4914" s="2" t="n">
        <v>56700</v>
      </c>
      <c r="M4914" t="n">
        <v>37.8</v>
      </c>
      <c r="N4914" t="inlineStr">
        <is>
          <t>20240724800236</t>
        </is>
      </c>
      <c r="O4914">
        <f>HYPERLINK("https://dart.fss.or.kr/dsaf001/main.do?rcpNo=20240724800236", "공시열람")</f>
        <v/>
      </c>
    </row>
    <row r="4915">
      <c r="A4915" t="inlineStr">
        <is>
          <t>2024-07-24</t>
        </is>
      </c>
      <c r="B4915" t="inlineStr">
        <is>
          <t>한화엔진</t>
        </is>
      </c>
      <c r="C4915" t="inlineStr">
        <is>
          <t>082740</t>
        </is>
      </c>
      <c r="D4915" t="inlineStr">
        <is>
          <t>별도</t>
        </is>
      </c>
      <c r="E4915" t="inlineStr">
        <is>
          <t>2024Q2</t>
        </is>
      </c>
      <c r="F4915" s="2" t="n">
        <v>286485</v>
      </c>
      <c r="G4915" t="n">
        <v>-2.3</v>
      </c>
      <c r="H4915" t="n">
        <v>51.5</v>
      </c>
      <c r="I4915" s="2" t="n">
        <v>18623</v>
      </c>
      <c r="J4915" t="n">
        <v>-4.1</v>
      </c>
      <c r="K4915" t="n">
        <v>436.2</v>
      </c>
      <c r="L4915" s="2" t="n">
        <v>14308</v>
      </c>
      <c r="M4915" t="n">
        <v>3635.7</v>
      </c>
      <c r="N4915" t="inlineStr">
        <is>
          <t>20240724800257</t>
        </is>
      </c>
      <c r="O4915">
        <f>HYPERLINK("https://dart.fss.or.kr/dsaf001/main.do?rcpNo=20240724800257", "공시열람")</f>
        <v/>
      </c>
    </row>
    <row r="4916">
      <c r="A4916" t="inlineStr">
        <is>
          <t>2024-07-24</t>
        </is>
      </c>
      <c r="B4916" t="inlineStr">
        <is>
          <t>코스모신소재</t>
        </is>
      </c>
      <c r="C4916" t="inlineStr">
        <is>
          <t>005070</t>
        </is>
      </c>
      <c r="D4916" t="inlineStr">
        <is>
          <t>별도</t>
        </is>
      </c>
      <c r="E4916" t="inlineStr">
        <is>
          <t>2024Q2</t>
        </is>
      </c>
      <c r="F4916" s="2" t="n">
        <v>185391</v>
      </c>
      <c r="G4916" t="n">
        <v>51.8</v>
      </c>
      <c r="H4916" t="n">
        <v>-5.4</v>
      </c>
      <c r="I4916" s="2" t="n">
        <v>6929</v>
      </c>
      <c r="J4916" t="n">
        <v>31.1</v>
      </c>
      <c r="K4916" t="n">
        <v>-29.5</v>
      </c>
      <c r="L4916" s="2" t="n">
        <v>4290</v>
      </c>
      <c r="M4916" t="n">
        <v>-22.1</v>
      </c>
      <c r="N4916" t="inlineStr">
        <is>
          <t>20240724800124</t>
        </is>
      </c>
      <c r="O4916">
        <f>HYPERLINK("https://dart.fss.or.kr/dsaf001/main.do?rcpNo=20240724800124", "공시열람")</f>
        <v/>
      </c>
    </row>
    <row r="4917">
      <c r="A4917" t="inlineStr">
        <is>
          <t>2024-07-24</t>
        </is>
      </c>
      <c r="B4917" t="inlineStr">
        <is>
          <t>LG이노텍</t>
        </is>
      </c>
      <c r="C4917" t="inlineStr">
        <is>
          <t>011070</t>
        </is>
      </c>
      <c r="D4917" t="inlineStr">
        <is>
          <t>연결</t>
        </is>
      </c>
      <c r="E4917" t="inlineStr">
        <is>
          <t>2024Q2</t>
        </is>
      </c>
      <c r="F4917" s="2" t="n">
        <v>4555269</v>
      </c>
      <c r="G4917" t="n">
        <v>5.12</v>
      </c>
      <c r="H4917" t="n">
        <v>16.59</v>
      </c>
      <c r="I4917" s="2" t="n">
        <v>151684</v>
      </c>
      <c r="J4917" t="n">
        <v>-13.83</v>
      </c>
      <c r="K4917" t="n">
        <v>726.1799999999999</v>
      </c>
      <c r="L4917" s="2" t="n">
        <v>98887</v>
      </c>
      <c r="M4917" t="n">
        <v>4684.14</v>
      </c>
      <c r="N4917" t="inlineStr">
        <is>
          <t>20240724800285</t>
        </is>
      </c>
      <c r="O4917">
        <f>HYPERLINK("https://dart.fss.or.kr/dsaf001/main.do?rcpNo=20240724800285", "공시열람")</f>
        <v/>
      </c>
    </row>
    <row r="4918">
      <c r="A4918" t="inlineStr">
        <is>
          <t>2024-07-24</t>
        </is>
      </c>
      <c r="B4918" t="inlineStr">
        <is>
          <t>HD현대에너지솔루션</t>
        </is>
      </c>
      <c r="C4918" t="inlineStr">
        <is>
          <t>322000</t>
        </is>
      </c>
      <c r="D4918" t="inlineStr">
        <is>
          <t>연결</t>
        </is>
      </c>
      <c r="E4918" t="inlineStr">
        <is>
          <t>2024Q2</t>
        </is>
      </c>
      <c r="F4918" s="2" t="n">
        <v>112760</v>
      </c>
      <c r="G4918" t="n">
        <v>15.5</v>
      </c>
      <c r="H4918" t="n">
        <v>-25.3</v>
      </c>
      <c r="I4918" s="2" t="n">
        <v>7904</v>
      </c>
      <c r="J4918" t="inlineStr"/>
      <c r="K4918" t="n">
        <v>0</v>
      </c>
      <c r="L4918" s="2" t="n">
        <v>10344</v>
      </c>
      <c r="M4918" t="n">
        <v>97.40000000000001</v>
      </c>
      <c r="N4918" t="inlineStr">
        <is>
          <t>20240724800521</t>
        </is>
      </c>
      <c r="O4918">
        <f>HYPERLINK("https://dart.fss.or.kr/dsaf001/main.do?rcpNo=20240724800521", "공시열람")</f>
        <v/>
      </c>
    </row>
    <row r="4919">
      <c r="A4919" t="inlineStr">
        <is>
          <t>2024-07-24</t>
        </is>
      </c>
      <c r="B4919" t="inlineStr">
        <is>
          <t>삼성바이오로직스</t>
        </is>
      </c>
      <c r="C4919" t="inlineStr">
        <is>
          <t>207940</t>
        </is>
      </c>
      <c r="D4919" t="inlineStr">
        <is>
          <t>연결</t>
        </is>
      </c>
      <c r="E4919" t="inlineStr">
        <is>
          <t>2024Q2</t>
        </is>
      </c>
      <c r="F4919" s="2" t="n">
        <v>1156904</v>
      </c>
      <c r="G4919" t="inlineStr"/>
      <c r="H4919" t="inlineStr"/>
      <c r="I4919" s="2" t="n">
        <v>434511</v>
      </c>
      <c r="J4919" t="inlineStr"/>
      <c r="K4919" t="inlineStr"/>
      <c r="L4919" s="2" t="n">
        <v>317992</v>
      </c>
      <c r="M4919" t="inlineStr"/>
      <c r="N4919" t="inlineStr">
        <is>
          <t>20240724800277</t>
        </is>
      </c>
      <c r="O4919">
        <f>HYPERLINK("https://dart.fss.or.kr/dsaf001/main.do?rcpNo=20240724800277", "공시열람")</f>
        <v/>
      </c>
    </row>
    <row r="4920">
      <c r="A4920" t="inlineStr">
        <is>
          <t>2024-07-23</t>
        </is>
      </c>
      <c r="B4920" t="inlineStr">
        <is>
          <t>HD현대일렉트릭</t>
        </is>
      </c>
      <c r="C4920" t="inlineStr">
        <is>
          <t>267260</t>
        </is>
      </c>
      <c r="D4920" t="inlineStr">
        <is>
          <t>연결</t>
        </is>
      </c>
      <c r="E4920" t="inlineStr">
        <is>
          <t>2024Q2</t>
        </is>
      </c>
      <c r="F4920" s="2" t="n">
        <v>916900</v>
      </c>
      <c r="G4920" t="n">
        <v>14.5</v>
      </c>
      <c r="H4920" t="n">
        <v>42.7</v>
      </c>
      <c r="I4920" s="2" t="n">
        <v>210000</v>
      </c>
      <c r="J4920" t="n">
        <v>63</v>
      </c>
      <c r="K4920" t="n">
        <v>257.1</v>
      </c>
      <c r="L4920" s="2" t="n">
        <v>161200</v>
      </c>
      <c r="M4920" t="n">
        <v>331</v>
      </c>
      <c r="N4920" t="inlineStr">
        <is>
          <t>20240723800181</t>
        </is>
      </c>
      <c r="O4920">
        <f>HYPERLINK("https://dart.fss.or.kr/dsaf001/main.do?rcpNo=20240723800181", "공시열람")</f>
        <v/>
      </c>
    </row>
    <row r="4921">
      <c r="A4921" t="inlineStr">
        <is>
          <t>2024-07-23</t>
        </is>
      </c>
      <c r="B4921" t="inlineStr">
        <is>
          <t>SGC에너지</t>
        </is>
      </c>
      <c r="C4921" t="inlineStr">
        <is>
          <t>005090</t>
        </is>
      </c>
      <c r="D4921" t="inlineStr">
        <is>
          <t>연결</t>
        </is>
      </c>
      <c r="E4921" t="inlineStr">
        <is>
          <t>2024Q2</t>
        </is>
      </c>
      <c r="F4921" s="2" t="n">
        <v>606800</v>
      </c>
      <c r="G4921" t="inlineStr"/>
      <c r="H4921" t="inlineStr"/>
      <c r="I4921" s="2" t="n">
        <v>68000</v>
      </c>
      <c r="J4921" t="inlineStr"/>
      <c r="K4921" t="inlineStr"/>
      <c r="L4921" s="2" t="n">
        <v>29700</v>
      </c>
      <c r="M4921" t="inlineStr"/>
      <c r="N4921" t="inlineStr">
        <is>
          <t>20240723800065</t>
        </is>
      </c>
      <c r="O4921">
        <f>HYPERLINK("https://dart.fss.or.kr/dsaf001/main.do?rcpNo=20240723800065", "공시열람")</f>
        <v/>
      </c>
    </row>
    <row r="4922">
      <c r="A4922" t="inlineStr">
        <is>
          <t>2024-07-23</t>
        </is>
      </c>
      <c r="B4922" t="inlineStr">
        <is>
          <t>KB금융</t>
        </is>
      </c>
      <c r="C4922" t="inlineStr">
        <is>
          <t>105560</t>
        </is>
      </c>
      <c r="D4922" t="inlineStr">
        <is>
          <t>연결</t>
        </is>
      </c>
      <c r="E4922" t="inlineStr">
        <is>
          <t>2024Q2</t>
        </is>
      </c>
      <c r="F4922" s="2" t="n">
        <v>2273350</v>
      </c>
      <c r="G4922" t="inlineStr"/>
      <c r="H4922" t="inlineStr"/>
      <c r="I4922" s="2" t="n">
        <v>243362</v>
      </c>
      <c r="J4922" t="inlineStr"/>
      <c r="K4922" t="inlineStr"/>
      <c r="L4922" s="2" t="n">
        <v>180614</v>
      </c>
      <c r="M4922" t="inlineStr"/>
      <c r="N4922" t="inlineStr">
        <is>
          <t>20240723800406</t>
        </is>
      </c>
      <c r="O4922">
        <f>HYPERLINK("https://dart.fss.or.kr/dsaf001/main.do?rcpNo=20240723800406", "공시열람")</f>
        <v/>
      </c>
    </row>
    <row r="4923">
      <c r="A4923" t="inlineStr">
        <is>
          <t>2024-07-23</t>
        </is>
      </c>
      <c r="B4923" t="inlineStr">
        <is>
          <t>KB금융</t>
        </is>
      </c>
      <c r="C4923" t="inlineStr">
        <is>
          <t>105560</t>
        </is>
      </c>
      <c r="D4923" t="inlineStr">
        <is>
          <t>연결</t>
        </is>
      </c>
      <c r="E4923" t="inlineStr">
        <is>
          <t>2024Q2</t>
        </is>
      </c>
      <c r="F4923" s="2" t="n">
        <v>2273350</v>
      </c>
      <c r="G4923" t="inlineStr"/>
      <c r="H4923" t="inlineStr"/>
      <c r="I4923" s="2" t="n">
        <v>243362</v>
      </c>
      <c r="J4923" t="inlineStr"/>
      <c r="K4923" t="inlineStr"/>
      <c r="L4923" s="2" t="n">
        <v>180614</v>
      </c>
      <c r="M4923" t="inlineStr"/>
      <c r="N4923" t="inlineStr">
        <is>
          <t>20240723800352</t>
        </is>
      </c>
      <c r="O4923">
        <f>HYPERLINK("https://dart.fss.or.kr/dsaf001/main.do?rcpNo=20240723800352", "공시열람")</f>
        <v/>
      </c>
    </row>
    <row r="4924">
      <c r="A4924" t="inlineStr">
        <is>
          <t>2024-07-23</t>
        </is>
      </c>
      <c r="B4924" t="inlineStr">
        <is>
          <t>KB금융</t>
        </is>
      </c>
      <c r="C4924" t="inlineStr">
        <is>
          <t>105560</t>
        </is>
      </c>
      <c r="D4924" t="inlineStr">
        <is>
          <t>연결</t>
        </is>
      </c>
      <c r="E4924" t="inlineStr">
        <is>
          <t>2024Q2</t>
        </is>
      </c>
      <c r="F4924" s="2" t="n">
        <v>2273350</v>
      </c>
      <c r="G4924" t="inlineStr"/>
      <c r="H4924" t="inlineStr"/>
      <c r="I4924" s="2" t="n">
        <v>216362</v>
      </c>
      <c r="J4924" t="inlineStr"/>
      <c r="K4924" t="inlineStr"/>
      <c r="L4924" s="2" t="n">
        <v>180614</v>
      </c>
      <c r="M4924" t="inlineStr"/>
      <c r="N4924" t="inlineStr">
        <is>
          <t>20240723800282</t>
        </is>
      </c>
      <c r="O4924">
        <f>HYPERLINK("https://dart.fss.or.kr/dsaf001/main.do?rcpNo=20240723800282", "공시열람")</f>
        <v/>
      </c>
    </row>
    <row r="4925">
      <c r="A4925" t="inlineStr">
        <is>
          <t>2024-07-23</t>
        </is>
      </c>
      <c r="B4925" t="inlineStr">
        <is>
          <t>KB금융</t>
        </is>
      </c>
      <c r="C4925" t="inlineStr">
        <is>
          <t>105560</t>
        </is>
      </c>
      <c r="D4925" t="inlineStr">
        <is>
          <t>연결</t>
        </is>
      </c>
      <c r="E4925" t="inlineStr">
        <is>
          <t>2024Q2</t>
        </is>
      </c>
      <c r="F4925" s="2" t="n">
        <v>11822663</v>
      </c>
      <c r="G4925" t="inlineStr"/>
      <c r="H4925" t="inlineStr"/>
      <c r="I4925" s="2" t="n">
        <v>1421558</v>
      </c>
      <c r="J4925" t="inlineStr"/>
      <c r="K4925" t="inlineStr"/>
      <c r="L4925" s="2" t="n">
        <v>1089094</v>
      </c>
      <c r="M4925" t="inlineStr"/>
      <c r="N4925" t="inlineStr">
        <is>
          <t>20240723800280</t>
        </is>
      </c>
      <c r="O4925">
        <f>HYPERLINK("https://dart.fss.or.kr/dsaf001/main.do?rcpNo=20240723800280", "공시열람")</f>
        <v/>
      </c>
    </row>
    <row r="4926">
      <c r="A4926" t="inlineStr">
        <is>
          <t>2024-07-23</t>
        </is>
      </c>
      <c r="B4926" t="inlineStr">
        <is>
          <t>KB금융</t>
        </is>
      </c>
      <c r="C4926" t="inlineStr">
        <is>
          <t>105560</t>
        </is>
      </c>
      <c r="D4926" t="inlineStr">
        <is>
          <t>연결</t>
        </is>
      </c>
      <c r="E4926" t="inlineStr">
        <is>
          <t>2023Q4</t>
        </is>
      </c>
      <c r="F4926" s="2" t="n">
        <v>19918040</v>
      </c>
      <c r="G4926" t="inlineStr"/>
      <c r="H4926" t="inlineStr"/>
      <c r="I4926" s="2" t="n">
        <v>2302268</v>
      </c>
      <c r="J4926" t="inlineStr"/>
      <c r="K4926" t="inlineStr"/>
      <c r="L4926" s="2" t="n">
        <v>1710680</v>
      </c>
      <c r="M4926" t="inlineStr"/>
      <c r="N4926" t="inlineStr">
        <is>
          <t>20240723800279</t>
        </is>
      </c>
      <c r="O4926">
        <f>HYPERLINK("https://dart.fss.or.kr/dsaf001/main.do?rcpNo=20240723800279", "공시열람")</f>
        <v/>
      </c>
    </row>
    <row r="4927">
      <c r="A4927" t="inlineStr">
        <is>
          <t>2024-07-23</t>
        </is>
      </c>
      <c r="B4927" t="inlineStr">
        <is>
          <t>SGC E&amp;C</t>
        </is>
      </c>
      <c r="C4927" t="inlineStr">
        <is>
          <t>016250</t>
        </is>
      </c>
      <c r="D4927" t="inlineStr">
        <is>
          <t>연결</t>
        </is>
      </c>
      <c r="E4927" t="inlineStr">
        <is>
          <t>2024Q2</t>
        </is>
      </c>
      <c r="F4927" s="2" t="n">
        <v>301835</v>
      </c>
      <c r="G4927" t="inlineStr"/>
      <c r="H4927" t="inlineStr"/>
      <c r="I4927" s="2" t="n">
        <v>936</v>
      </c>
      <c r="J4927" t="inlineStr"/>
      <c r="K4927" t="inlineStr"/>
      <c r="L4927" s="2" t="inlineStr"/>
      <c r="M4927" t="inlineStr"/>
      <c r="N4927" t="inlineStr">
        <is>
          <t>20240723900046</t>
        </is>
      </c>
      <c r="O4927">
        <f>HYPERLINK("https://dart.fss.or.kr/dsaf001/main.do?rcpNo=20240723900046", "공시열람")</f>
        <v/>
      </c>
    </row>
    <row r="4928">
      <c r="A4928" t="inlineStr">
        <is>
          <t>2024-07-22</t>
        </is>
      </c>
      <c r="B4928" t="inlineStr">
        <is>
          <t>나우IB</t>
        </is>
      </c>
      <c r="C4928" t="inlineStr">
        <is>
          <t>293580</t>
        </is>
      </c>
      <c r="D4928" t="inlineStr">
        <is>
          <t>별도</t>
        </is>
      </c>
      <c r="E4928" t="inlineStr">
        <is>
          <t>2024Q2</t>
        </is>
      </c>
      <c r="F4928" s="2" t="n">
        <v>33849</v>
      </c>
      <c r="G4928" t="inlineStr"/>
      <c r="H4928" t="inlineStr"/>
      <c r="I4928" s="2" t="n">
        <v>26376</v>
      </c>
      <c r="J4928" t="inlineStr"/>
      <c r="K4928" t="inlineStr"/>
      <c r="L4928" s="2" t="n">
        <v>20853</v>
      </c>
      <c r="M4928" t="inlineStr"/>
      <c r="N4928" t="inlineStr">
        <is>
          <t>20240722900093</t>
        </is>
      </c>
      <c r="O4928">
        <f>HYPERLINK("https://dart.fss.or.kr/dsaf001/main.do?rcpNo=20240722900093", "공시열람")</f>
        <v/>
      </c>
    </row>
    <row r="4929">
      <c r="A4929" t="inlineStr">
        <is>
          <t>2024-07-19</t>
        </is>
      </c>
      <c r="B4929" t="inlineStr">
        <is>
          <t>지역난방공사</t>
        </is>
      </c>
      <c r="C4929" t="inlineStr">
        <is>
          <t>071320</t>
        </is>
      </c>
      <c r="D4929" t="inlineStr">
        <is>
          <t>별도</t>
        </is>
      </c>
      <c r="E4929" t="inlineStr">
        <is>
          <t>2024Q2</t>
        </is>
      </c>
      <c r="F4929" s="2" t="inlineStr"/>
      <c r="G4929" t="inlineStr"/>
      <c r="H4929" t="inlineStr"/>
      <c r="I4929" s="2" t="inlineStr"/>
      <c r="J4929" t="inlineStr"/>
      <c r="K4929" t="inlineStr"/>
      <c r="L4929" s="2" t="inlineStr"/>
      <c r="M4929" t="inlineStr"/>
      <c r="N4929" t="inlineStr">
        <is>
          <t>20240719800225</t>
        </is>
      </c>
      <c r="O4929">
        <f>HYPERLINK("https://dart.fss.or.kr/dsaf001/main.do?rcpNo=20240719800225", "공시열람")</f>
        <v/>
      </c>
    </row>
    <row r="4930">
      <c r="A4930" t="inlineStr">
        <is>
          <t>2024-07-19</t>
        </is>
      </c>
      <c r="B4930" t="inlineStr">
        <is>
          <t>강원랜드</t>
        </is>
      </c>
      <c r="C4930" t="inlineStr">
        <is>
          <t>035250</t>
        </is>
      </c>
      <c r="D4930" t="inlineStr">
        <is>
          <t>별도</t>
        </is>
      </c>
      <c r="E4930" t="inlineStr">
        <is>
          <t>2024Q2</t>
        </is>
      </c>
      <c r="F4930" s="2" t="n">
        <v>337719</v>
      </c>
      <c r="G4930" t="n">
        <v>-8.300000000000001</v>
      </c>
      <c r="H4930" t="n">
        <v>2.1</v>
      </c>
      <c r="I4930" s="2" t="n">
        <v>73416</v>
      </c>
      <c r="J4930" t="n">
        <v>-3.1</v>
      </c>
      <c r="K4930" t="n">
        <v>-10.4</v>
      </c>
      <c r="L4930" s="2" t="n">
        <v>149791</v>
      </c>
      <c r="M4930" t="n">
        <v>64.2</v>
      </c>
      <c r="N4930" t="inlineStr">
        <is>
          <t>20240719800325</t>
        </is>
      </c>
      <c r="O4930">
        <f>HYPERLINK("https://dart.fss.or.kr/dsaf001/main.do?rcpNo=20240719800325", "공시열람")</f>
        <v/>
      </c>
    </row>
    <row r="4931">
      <c r="A4931" t="inlineStr">
        <is>
          <t>2024-07-19</t>
        </is>
      </c>
      <c r="B4931" t="inlineStr">
        <is>
          <t>티씨케이</t>
        </is>
      </c>
      <c r="C4931" t="inlineStr">
        <is>
          <t>064760</t>
        </is>
      </c>
      <c r="D4931" t="inlineStr">
        <is>
          <t>별도</t>
        </is>
      </c>
      <c r="E4931" t="inlineStr">
        <is>
          <t>2024Q2</t>
        </is>
      </c>
      <c r="F4931" s="2" t="n">
        <v>68344</v>
      </c>
      <c r="G4931" t="inlineStr"/>
      <c r="H4931" t="inlineStr"/>
      <c r="I4931" s="2" t="n">
        <v>20325</v>
      </c>
      <c r="J4931" t="inlineStr"/>
      <c r="K4931" t="inlineStr"/>
      <c r="L4931" s="2" t="n">
        <v>19031</v>
      </c>
      <c r="M4931" t="inlineStr"/>
      <c r="N4931" t="inlineStr">
        <is>
          <t>20240719900228</t>
        </is>
      </c>
      <c r="O4931">
        <f>HYPERLINK("https://dart.fss.or.kr/dsaf001/main.do?rcpNo=20240719900228", "공시열람")</f>
        <v/>
      </c>
    </row>
    <row r="4932">
      <c r="A4932" t="inlineStr">
        <is>
          <t>2024-07-19</t>
        </is>
      </c>
      <c r="B4932" t="inlineStr">
        <is>
          <t>현대건설</t>
        </is>
      </c>
      <c r="C4932" t="inlineStr">
        <is>
          <t>000720</t>
        </is>
      </c>
      <c r="D4932" t="inlineStr">
        <is>
          <t>연결</t>
        </is>
      </c>
      <c r="E4932" t="inlineStr">
        <is>
          <t>2024Q2</t>
        </is>
      </c>
      <c r="F4932" s="2" t="n">
        <v>8621236</v>
      </c>
      <c r="G4932" t="n">
        <v>0.9</v>
      </c>
      <c r="H4932" t="n">
        <v>20.4</v>
      </c>
      <c r="I4932" s="2" t="n">
        <v>147303</v>
      </c>
      <c r="J4932" t="n">
        <v>-41.3</v>
      </c>
      <c r="K4932" t="n">
        <v>-34.1</v>
      </c>
      <c r="L4932" s="2" t="n">
        <v>146118</v>
      </c>
      <c r="M4932" t="n">
        <v>-31.2</v>
      </c>
      <c r="N4932" t="inlineStr">
        <is>
          <t>20240719800199</t>
        </is>
      </c>
      <c r="O4932">
        <f>HYPERLINK("https://dart.fss.or.kr/dsaf001/main.do?rcpNo=20240719800199", "공시열람")</f>
        <v/>
      </c>
    </row>
    <row r="4933">
      <c r="A4933" t="inlineStr">
        <is>
          <t>2024-07-19</t>
        </is>
      </c>
      <c r="B4933" t="inlineStr">
        <is>
          <t>국도화학</t>
        </is>
      </c>
      <c r="C4933" t="inlineStr">
        <is>
          <t>007690</t>
        </is>
      </c>
      <c r="D4933" t="inlineStr">
        <is>
          <t>연결</t>
        </is>
      </c>
      <c r="E4933" t="inlineStr">
        <is>
          <t>2024Q2</t>
        </is>
      </c>
      <c r="F4933" s="2" t="n">
        <v>343033</v>
      </c>
      <c r="G4933" t="n">
        <v>15.8</v>
      </c>
      <c r="H4933" t="n">
        <v>-1.1</v>
      </c>
      <c r="I4933" s="2" t="n">
        <v>9918</v>
      </c>
      <c r="J4933" t="n">
        <v>471.1</v>
      </c>
      <c r="K4933" t="n">
        <v>-22.8</v>
      </c>
      <c r="L4933" s="2" t="n">
        <v>4926</v>
      </c>
      <c r="M4933" t="n">
        <v>15.7</v>
      </c>
      <c r="N4933" t="inlineStr">
        <is>
          <t>20240719800170</t>
        </is>
      </c>
      <c r="O4933">
        <f>HYPERLINK("https://dart.fss.or.kr/dsaf001/main.do?rcpNo=20240719800170", "공시열람")</f>
        <v/>
      </c>
    </row>
    <row r="4934">
      <c r="A4934" t="inlineStr">
        <is>
          <t>2024-07-18</t>
        </is>
      </c>
      <c r="B4934" t="inlineStr">
        <is>
          <t>한솔아이원스</t>
        </is>
      </c>
      <c r="C4934" t="inlineStr">
        <is>
          <t>114810</t>
        </is>
      </c>
      <c r="D4934" t="inlineStr">
        <is>
          <t>연결</t>
        </is>
      </c>
      <c r="E4934" t="inlineStr">
        <is>
          <t>2024Q2</t>
        </is>
      </c>
      <c r="F4934" s="2" t="n">
        <v>39538</v>
      </c>
      <c r="G4934" t="inlineStr"/>
      <c r="H4934" t="inlineStr"/>
      <c r="I4934" s="2" t="n">
        <v>7264</v>
      </c>
      <c r="J4934" t="inlineStr"/>
      <c r="K4934" t="inlineStr"/>
      <c r="L4934" s="2" t="n">
        <v>13513</v>
      </c>
      <c r="M4934" t="inlineStr"/>
      <c r="N4934" t="inlineStr">
        <is>
          <t>20240718900456</t>
        </is>
      </c>
      <c r="O4934">
        <f>HYPERLINK("https://dart.fss.or.kr/dsaf001/main.do?rcpNo=20240718900456", "공시열람")</f>
        <v/>
      </c>
    </row>
    <row r="4935">
      <c r="A4935" t="inlineStr">
        <is>
          <t>2024-07-18</t>
        </is>
      </c>
      <c r="B4935" t="inlineStr">
        <is>
          <t>LS에코에너지</t>
        </is>
      </c>
      <c r="C4935" t="inlineStr">
        <is>
          <t>229640</t>
        </is>
      </c>
      <c r="D4935" t="inlineStr">
        <is>
          <t>연결</t>
        </is>
      </c>
      <c r="E4935" t="inlineStr">
        <is>
          <t>2024Q2</t>
        </is>
      </c>
      <c r="F4935" s="2" t="n">
        <v>232582</v>
      </c>
      <c r="G4935" t="n">
        <v>29.3</v>
      </c>
      <c r="H4935" t="n">
        <v>24.2</v>
      </c>
      <c r="I4935" s="2" t="n">
        <v>14730</v>
      </c>
      <c r="J4935" t="n">
        <v>51.9</v>
      </c>
      <c r="K4935" t="n">
        <v>147.9</v>
      </c>
      <c r="L4935" s="2" t="n">
        <v>12987</v>
      </c>
      <c r="M4935" t="n">
        <v>2000.5</v>
      </c>
      <c r="N4935" t="inlineStr">
        <is>
          <t>20240718800093</t>
        </is>
      </c>
      <c r="O4935">
        <f>HYPERLINK("https://dart.fss.or.kr/dsaf001/main.do?rcpNo=20240718800093", "공시열람")</f>
        <v/>
      </c>
    </row>
    <row r="4936">
      <c r="A4936" t="inlineStr">
        <is>
          <t>2024-07-18</t>
        </is>
      </c>
      <c r="B4936" t="inlineStr">
        <is>
          <t>에어부산</t>
        </is>
      </c>
      <c r="C4936" t="inlineStr">
        <is>
          <t>298690</t>
        </is>
      </c>
      <c r="D4936" t="inlineStr">
        <is>
          <t>별도</t>
        </is>
      </c>
      <c r="E4936" t="inlineStr">
        <is>
          <t>2024Q2</t>
        </is>
      </c>
      <c r="F4936" s="2" t="n">
        <v>235400</v>
      </c>
      <c r="G4936" t="n">
        <v>-13.5</v>
      </c>
      <c r="H4936" t="n">
        <v>18.7</v>
      </c>
      <c r="I4936" s="2" t="n">
        <v>18075</v>
      </c>
      <c r="J4936" t="n">
        <v>-74.5</v>
      </c>
      <c r="K4936" t="n">
        <v>-46.7</v>
      </c>
      <c r="L4936" s="2" t="n">
        <v>-12845</v>
      </c>
      <c r="M4936" t="inlineStr"/>
      <c r="N4936" t="inlineStr">
        <is>
          <t>20240718800432</t>
        </is>
      </c>
      <c r="O4936">
        <f>HYPERLINK("https://dart.fss.or.kr/dsaf001/main.do?rcpNo=20240718800432", "공시열람")</f>
        <v/>
      </c>
    </row>
    <row r="4937">
      <c r="A4937" t="inlineStr">
        <is>
          <t>2024-07-17</t>
        </is>
      </c>
      <c r="B4937" t="inlineStr">
        <is>
          <t>HD한국조선해양</t>
        </is>
      </c>
      <c r="C4937" t="inlineStr">
        <is>
          <t>009540</t>
        </is>
      </c>
      <c r="D4937" t="inlineStr">
        <is>
          <t>별도</t>
        </is>
      </c>
      <c r="E4937" t="inlineStr">
        <is>
          <t>2024Q2</t>
        </is>
      </c>
      <c r="F4937" s="2" t="inlineStr"/>
      <c r="G4937" t="inlineStr"/>
      <c r="H4937" t="inlineStr"/>
      <c r="I4937" s="2" t="inlineStr"/>
      <c r="J4937" t="inlineStr"/>
      <c r="K4937" t="inlineStr"/>
      <c r="L4937" s="2" t="inlineStr"/>
      <c r="M4937" t="inlineStr"/>
      <c r="N4937" t="inlineStr">
        <is>
          <t>20240717800415</t>
        </is>
      </c>
      <c r="O4937">
        <f>HYPERLINK("https://dart.fss.or.kr/dsaf001/main.do?rcpNo=20240717800415", "공시열람")</f>
        <v/>
      </c>
    </row>
    <row r="4938">
      <c r="A4938" t="inlineStr">
        <is>
          <t>2024-07-17</t>
        </is>
      </c>
      <c r="B4938" t="inlineStr">
        <is>
          <t>HD현대중공업</t>
        </is>
      </c>
      <c r="C4938" t="inlineStr">
        <is>
          <t>329180</t>
        </is>
      </c>
      <c r="D4938" t="inlineStr">
        <is>
          <t>별도</t>
        </is>
      </c>
      <c r="E4938" t="inlineStr">
        <is>
          <t>2024Q2</t>
        </is>
      </c>
      <c r="F4938" s="2" t="inlineStr"/>
      <c r="G4938" t="inlineStr"/>
      <c r="H4938" t="inlineStr"/>
      <c r="I4938" s="2" t="inlineStr"/>
      <c r="J4938" t="inlineStr"/>
      <c r="K4938" t="inlineStr"/>
      <c r="L4938" s="2" t="inlineStr"/>
      <c r="M4938" t="inlineStr"/>
      <c r="N4938" t="inlineStr">
        <is>
          <t>20240717800420</t>
        </is>
      </c>
      <c r="O4938">
        <f>HYPERLINK("https://dart.fss.or.kr/dsaf001/main.do?rcpNo=20240717800420", "공시열람")</f>
        <v/>
      </c>
    </row>
    <row r="4939">
      <c r="A4939" t="inlineStr">
        <is>
          <t>2024-07-16</t>
        </is>
      </c>
      <c r="B4939" t="inlineStr">
        <is>
          <t>서울바이오시스</t>
        </is>
      </c>
      <c r="C4939" t="inlineStr">
        <is>
          <t>092190</t>
        </is>
      </c>
      <c r="D4939" t="inlineStr">
        <is>
          <t>연결</t>
        </is>
      </c>
      <c r="E4939" t="inlineStr">
        <is>
          <t>2024Q2</t>
        </is>
      </c>
      <c r="F4939" s="2" t="n">
        <v>189625</v>
      </c>
      <c r="G4939" t="inlineStr"/>
      <c r="H4939" t="inlineStr"/>
      <c r="I4939" s="2" t="inlineStr"/>
      <c r="J4939" t="inlineStr"/>
      <c r="K4939" t="inlineStr"/>
      <c r="L4939" s="2" t="inlineStr"/>
      <c r="M4939" t="inlineStr"/>
      <c r="N4939" t="inlineStr">
        <is>
          <t>20240716900543</t>
        </is>
      </c>
      <c r="O4939">
        <f>HYPERLINK("https://dart.fss.or.kr/dsaf001/main.do?rcpNo=20240716900543", "공시열람")</f>
        <v/>
      </c>
    </row>
    <row r="4940">
      <c r="A4940" t="inlineStr">
        <is>
          <t>2024-07-16</t>
        </is>
      </c>
      <c r="B4940" t="inlineStr">
        <is>
          <t>서울반도체</t>
        </is>
      </c>
      <c r="C4940" t="inlineStr">
        <is>
          <t>046890</t>
        </is>
      </c>
      <c r="D4940" t="inlineStr">
        <is>
          <t>연결</t>
        </is>
      </c>
      <c r="E4940" t="inlineStr">
        <is>
          <t>2024Q2</t>
        </is>
      </c>
      <c r="F4940" s="2" t="n">
        <v>284525</v>
      </c>
      <c r="G4940" t="inlineStr"/>
      <c r="H4940" t="inlineStr"/>
      <c r="I4940" s="2" t="inlineStr"/>
      <c r="J4940" t="inlineStr"/>
      <c r="K4940" t="inlineStr"/>
      <c r="L4940" s="2" t="inlineStr"/>
      <c r="M4940" t="inlineStr"/>
      <c r="N4940" t="inlineStr">
        <is>
          <t>20240716900562</t>
        </is>
      </c>
      <c r="O4940">
        <f>HYPERLINK("https://dart.fss.or.kr/dsaf001/main.do?rcpNo=20240716900562", "공시열람")</f>
        <v/>
      </c>
    </row>
    <row r="4941">
      <c r="A4941" t="inlineStr">
        <is>
          <t>2024-07-16</t>
        </is>
      </c>
      <c r="B4941" t="inlineStr">
        <is>
          <t>오리온</t>
        </is>
      </c>
      <c r="C4941" t="inlineStr">
        <is>
          <t>271560</t>
        </is>
      </c>
      <c r="D4941" t="inlineStr">
        <is>
          <t>연결</t>
        </is>
      </c>
      <c r="E4941" t="inlineStr">
        <is>
          <t>2024Q2</t>
        </is>
      </c>
      <c r="F4941" s="2" t="inlineStr"/>
      <c r="G4941" t="inlineStr"/>
      <c r="H4941" t="inlineStr"/>
      <c r="I4941" s="2" t="inlineStr"/>
      <c r="J4941" t="inlineStr"/>
      <c r="K4941" t="inlineStr"/>
      <c r="L4941" s="2" t="inlineStr"/>
      <c r="M4941" t="inlineStr"/>
      <c r="N4941" t="inlineStr">
        <is>
          <t>20240716800216</t>
        </is>
      </c>
      <c r="O4941">
        <f>HYPERLINK("https://dart.fss.or.kr/dsaf001/main.do?rcpNo=20240716800216", "공시열람")</f>
        <v/>
      </c>
    </row>
    <row r="4942">
      <c r="A4942" t="inlineStr">
        <is>
          <t>2024-07-16</t>
        </is>
      </c>
      <c r="B4942" t="inlineStr">
        <is>
          <t>LS마린솔루션</t>
        </is>
      </c>
      <c r="C4942" t="inlineStr">
        <is>
          <t>060370</t>
        </is>
      </c>
      <c r="D4942" t="inlineStr">
        <is>
          <t>별도</t>
        </is>
      </c>
      <c r="E4942" t="inlineStr">
        <is>
          <t>2024Q2</t>
        </is>
      </c>
      <c r="F4942" s="2" t="n">
        <v>38367</v>
      </c>
      <c r="G4942" t="inlineStr"/>
      <c r="H4942" t="inlineStr"/>
      <c r="I4942" s="2" t="n">
        <v>5949</v>
      </c>
      <c r="J4942" t="inlineStr"/>
      <c r="K4942" t="inlineStr"/>
      <c r="L4942" s="2" t="n">
        <v>5688</v>
      </c>
      <c r="M4942" t="inlineStr"/>
      <c r="N4942" t="inlineStr">
        <is>
          <t>20240716900051</t>
        </is>
      </c>
      <c r="O4942">
        <f>HYPERLINK("https://dart.fss.or.kr/dsaf001/main.do?rcpNo=20240716900051", "공시열람")</f>
        <v/>
      </c>
    </row>
    <row r="4943">
      <c r="A4943" t="inlineStr">
        <is>
          <t>2024-07-12</t>
        </is>
      </c>
      <c r="B4943" t="inlineStr">
        <is>
          <t>한국가스공사</t>
        </is>
      </c>
      <c r="C4943" t="inlineStr">
        <is>
          <t>036460</t>
        </is>
      </c>
      <c r="D4943" t="inlineStr">
        <is>
          <t>별도</t>
        </is>
      </c>
      <c r="E4943" t="inlineStr">
        <is>
          <t>2024Q2</t>
        </is>
      </c>
      <c r="F4943" s="2" t="inlineStr"/>
      <c r="G4943" t="inlineStr"/>
      <c r="H4943" t="inlineStr"/>
      <c r="I4943" s="2" t="inlineStr"/>
      <c r="J4943" t="inlineStr"/>
      <c r="K4943" t="inlineStr"/>
      <c r="L4943" s="2" t="inlineStr"/>
      <c r="M4943" t="inlineStr"/>
      <c r="N4943" t="inlineStr">
        <is>
          <t>20240712800096</t>
        </is>
      </c>
      <c r="O4943">
        <f>HYPERLINK("https://dart.fss.or.kr/dsaf001/main.do?rcpNo=20240712800096", "공시열람")</f>
        <v/>
      </c>
    </row>
    <row r="4944">
      <c r="A4944" t="inlineStr">
        <is>
          <t>2024-07-11</t>
        </is>
      </c>
      <c r="B4944" t="inlineStr">
        <is>
          <t>테크윙</t>
        </is>
      </c>
      <c r="C4944" t="inlineStr">
        <is>
          <t>089030</t>
        </is>
      </c>
      <c r="D4944" t="inlineStr">
        <is>
          <t>연결</t>
        </is>
      </c>
      <c r="E4944" t="inlineStr">
        <is>
          <t>2024Q2</t>
        </is>
      </c>
      <c r="F4944" s="2" t="n">
        <v>50770</v>
      </c>
      <c r="G4944" t="inlineStr"/>
      <c r="H4944" t="inlineStr"/>
      <c r="I4944" s="2" t="n">
        <v>7175</v>
      </c>
      <c r="J4944" t="inlineStr"/>
      <c r="K4944" t="inlineStr"/>
      <c r="L4944" s="2" t="inlineStr"/>
      <c r="M4944" t="inlineStr"/>
      <c r="N4944" t="inlineStr">
        <is>
          <t>20240711900155</t>
        </is>
      </c>
      <c r="O4944">
        <f>HYPERLINK("https://dart.fss.or.kr/dsaf001/main.do?rcpNo=20240711900155", "공시열람")</f>
        <v/>
      </c>
    </row>
    <row r="4945">
      <c r="A4945" t="inlineStr">
        <is>
          <t>2024-07-10</t>
        </is>
      </c>
      <c r="B4945" t="inlineStr">
        <is>
          <t>이마트</t>
        </is>
      </c>
      <c r="C4945" t="inlineStr">
        <is>
          <t>139480</t>
        </is>
      </c>
      <c r="D4945" t="inlineStr">
        <is>
          <t>별도</t>
        </is>
      </c>
      <c r="E4945" t="inlineStr">
        <is>
          <t>2024Q2</t>
        </is>
      </c>
      <c r="F4945" s="2" t="n">
        <v>1185100</v>
      </c>
      <c r="G4945" t="n">
        <v>0</v>
      </c>
      <c r="H4945" t="n">
        <v>0.9</v>
      </c>
      <c r="I4945" s="2" t="inlineStr"/>
      <c r="J4945" t="inlineStr"/>
      <c r="K4945" t="inlineStr"/>
      <c r="L4945" s="2" t="inlineStr"/>
      <c r="M4945" t="inlineStr"/>
      <c r="N4945" t="inlineStr">
        <is>
          <t>20240710800133</t>
        </is>
      </c>
      <c r="O4945">
        <f>HYPERLINK("https://dart.fss.or.kr/dsaf001/main.do?rcpNo=20240710800133", "공시열람")</f>
        <v/>
      </c>
    </row>
    <row r="4946">
      <c r="A4946" t="inlineStr">
        <is>
          <t>2024-07-08</t>
        </is>
      </c>
      <c r="B4946" t="inlineStr">
        <is>
          <t>신세계</t>
        </is>
      </c>
      <c r="C4946" t="inlineStr">
        <is>
          <t>004170</t>
        </is>
      </c>
      <c r="D4946" t="inlineStr">
        <is>
          <t>별도</t>
        </is>
      </c>
      <c r="E4946" t="inlineStr">
        <is>
          <t>2024Q2</t>
        </is>
      </c>
      <c r="F4946" s="2" t="n">
        <v>155661</v>
      </c>
      <c r="G4946" t="n">
        <v>-8.300000000000001</v>
      </c>
      <c r="H4946" t="n">
        <v>6.5</v>
      </c>
      <c r="I4946" s="2" t="inlineStr"/>
      <c r="J4946" t="inlineStr"/>
      <c r="K4946" t="inlineStr"/>
      <c r="L4946" s="2" t="inlineStr"/>
      <c r="M4946" t="inlineStr"/>
      <c r="N4946" t="inlineStr">
        <is>
          <t>20240708800252</t>
        </is>
      </c>
      <c r="O4946">
        <f>HYPERLINK("https://dart.fss.or.kr/dsaf001/main.do?rcpNo=20240708800252", "공시열람")</f>
        <v/>
      </c>
    </row>
    <row r="4947">
      <c r="A4947" t="inlineStr">
        <is>
          <t>2024-07-08</t>
        </is>
      </c>
      <c r="B4947" t="inlineStr">
        <is>
          <t>LG에너지솔루션</t>
        </is>
      </c>
      <c r="C4947" t="inlineStr">
        <is>
          <t>373220</t>
        </is>
      </c>
      <c r="D4947" t="inlineStr">
        <is>
          <t>연결</t>
        </is>
      </c>
      <c r="E4947" t="inlineStr">
        <is>
          <t>2024Q2</t>
        </is>
      </c>
      <c r="F4947" s="2" t="n">
        <v>6161900</v>
      </c>
      <c r="G4947" t="n">
        <v>0.5</v>
      </c>
      <c r="H4947" t="n">
        <v>-29.8</v>
      </c>
      <c r="I4947" s="2" t="n">
        <v>195300</v>
      </c>
      <c r="J4947" t="n">
        <v>24.2</v>
      </c>
      <c r="K4947" t="n">
        <v>-57.6</v>
      </c>
      <c r="L4947" s="2" t="inlineStr"/>
      <c r="M4947" t="inlineStr"/>
      <c r="N4947" t="inlineStr">
        <is>
          <t>20240708800097</t>
        </is>
      </c>
      <c r="O4947">
        <f>HYPERLINK("https://dart.fss.or.kr/dsaf001/main.do?rcpNo=20240708800097", "공시열람")</f>
        <v/>
      </c>
    </row>
    <row r="4948">
      <c r="A4948" t="inlineStr">
        <is>
          <t>2024-07-08</t>
        </is>
      </c>
      <c r="B4948" t="inlineStr">
        <is>
          <t>광주신세계</t>
        </is>
      </c>
      <c r="C4948" t="inlineStr">
        <is>
          <t>037710</t>
        </is>
      </c>
      <c r="D4948" t="inlineStr">
        <is>
          <t>별도</t>
        </is>
      </c>
      <c r="E4948" t="inlineStr">
        <is>
          <t>2024Q2</t>
        </is>
      </c>
      <c r="F4948" s="2" t="n">
        <v>13456</v>
      </c>
      <c r="G4948" t="n">
        <v>-11.3</v>
      </c>
      <c r="H4948" t="n">
        <v>0.7</v>
      </c>
      <c r="I4948" s="2" t="inlineStr"/>
      <c r="J4948" t="inlineStr"/>
      <c r="K4948" t="inlineStr"/>
      <c r="L4948" s="2" t="inlineStr"/>
      <c r="M4948" t="inlineStr"/>
      <c r="N4948" t="inlineStr">
        <is>
          <t>20240708800329</t>
        </is>
      </c>
      <c r="O4948">
        <f>HYPERLINK("https://dart.fss.or.kr/dsaf001/main.do?rcpNo=20240708800329", "공시열람")</f>
        <v/>
      </c>
    </row>
    <row r="4949">
      <c r="A4949" t="inlineStr">
        <is>
          <t>2024-07-05</t>
        </is>
      </c>
      <c r="B4949" t="inlineStr">
        <is>
          <t>한진</t>
        </is>
      </c>
      <c r="C4949" t="inlineStr">
        <is>
          <t>002320</t>
        </is>
      </c>
      <c r="D4949" t="inlineStr">
        <is>
          <t>연결</t>
        </is>
      </c>
      <c r="E4949" t="inlineStr">
        <is>
          <t>2024Q2</t>
        </is>
      </c>
      <c r="F4949" s="2" t="n">
        <v>732500</v>
      </c>
      <c r="G4949" t="n">
        <v>2.9</v>
      </c>
      <c r="H4949" t="n">
        <v>5.9</v>
      </c>
      <c r="I4949" s="2" t="n">
        <v>35600</v>
      </c>
      <c r="J4949" t="n">
        <v>52.1</v>
      </c>
      <c r="K4949" t="n">
        <v>-0.3</v>
      </c>
      <c r="L4949" s="2" t="inlineStr"/>
      <c r="M4949" t="inlineStr"/>
      <c r="N4949" t="inlineStr">
        <is>
          <t>20240705800367</t>
        </is>
      </c>
      <c r="O4949">
        <f>HYPERLINK("https://dart.fss.or.kr/dsaf001/main.do?rcpNo=20240705800367", "공시열람")</f>
        <v/>
      </c>
    </row>
    <row r="4950">
      <c r="A4950" t="inlineStr">
        <is>
          <t>2024-07-05</t>
        </is>
      </c>
      <c r="B4950" t="inlineStr">
        <is>
          <t>삼성전자</t>
        </is>
      </c>
      <c r="C4950" t="inlineStr">
        <is>
          <t>005930</t>
        </is>
      </c>
      <c r="D4950" t="inlineStr">
        <is>
          <t>연결</t>
        </is>
      </c>
      <c r="E4950" t="inlineStr">
        <is>
          <t>2024Q2</t>
        </is>
      </c>
      <c r="F4950" s="2" t="n">
        <v>74</v>
      </c>
      <c r="G4950" t="n">
        <v>2.89</v>
      </c>
      <c r="H4950" t="n">
        <v>23.31</v>
      </c>
      <c r="I4950" s="2" t="n">
        <v>10</v>
      </c>
      <c r="J4950" t="n">
        <v>57.34</v>
      </c>
      <c r="K4950" t="n">
        <v>1452.24</v>
      </c>
      <c r="L4950" s="2" t="inlineStr"/>
      <c r="M4950" t="inlineStr"/>
      <c r="N4950" t="inlineStr">
        <is>
          <t>20240705800058</t>
        </is>
      </c>
      <c r="O4950">
        <f>HYPERLINK("https://dart.fss.or.kr/dsaf001/main.do?rcpNo=20240705800058", "공시열람")</f>
        <v/>
      </c>
    </row>
    <row r="4951">
      <c r="A4951" t="inlineStr">
        <is>
          <t>2024-07-05</t>
        </is>
      </c>
      <c r="B4951" t="inlineStr">
        <is>
          <t>LG전자</t>
        </is>
      </c>
      <c r="C4951" t="inlineStr">
        <is>
          <t>066570</t>
        </is>
      </c>
      <c r="D4951" t="inlineStr">
        <is>
          <t>연결</t>
        </is>
      </c>
      <c r="E4951" t="inlineStr">
        <is>
          <t>2024Q2</t>
        </is>
      </c>
      <c r="F4951" s="2" t="n">
        <v>21700900</v>
      </c>
      <c r="G4951" t="inlineStr"/>
      <c r="H4951" t="inlineStr"/>
      <c r="I4951" s="2" t="n">
        <v>1196100</v>
      </c>
      <c r="J4951" t="inlineStr"/>
      <c r="K4951" t="inlineStr"/>
      <c r="L4951" s="2" t="inlineStr"/>
      <c r="M4951" t="inlineStr"/>
      <c r="N4951" t="inlineStr">
        <is>
          <t>20240705800113</t>
        </is>
      </c>
      <c r="O4951">
        <f>HYPERLINK("https://dart.fss.or.kr/dsaf001/main.do?rcpNo=20240705800113", "공시열람")</f>
        <v/>
      </c>
    </row>
    <row r="4952">
      <c r="A4952" t="inlineStr">
        <is>
          <t>2024-07-03</t>
        </is>
      </c>
      <c r="B4952" t="inlineStr">
        <is>
          <t>GKL</t>
        </is>
      </c>
      <c r="C4952" t="inlineStr">
        <is>
          <t>114090</t>
        </is>
      </c>
      <c r="D4952" t="inlineStr">
        <is>
          <t>별도</t>
        </is>
      </c>
      <c r="E4952" t="inlineStr">
        <is>
          <t>2024Q2</t>
        </is>
      </c>
      <c r="F4952" s="2" t="inlineStr"/>
      <c r="G4952" t="inlineStr"/>
      <c r="H4952" t="inlineStr"/>
      <c r="I4952" s="2" t="inlineStr"/>
      <c r="J4952" t="inlineStr"/>
      <c r="K4952" t="inlineStr"/>
      <c r="L4952" s="2" t="inlineStr"/>
      <c r="M4952" t="inlineStr"/>
      <c r="N4952" t="inlineStr">
        <is>
          <t>20240703800288</t>
        </is>
      </c>
      <c r="O4952">
        <f>HYPERLINK("https://dart.fss.or.kr/dsaf001/main.do?rcpNo=20240703800288", "공시열람")</f>
        <v/>
      </c>
    </row>
    <row r="4953">
      <c r="A4953" t="inlineStr">
        <is>
          <t>2024-07-03</t>
        </is>
      </c>
      <c r="B4953" t="inlineStr">
        <is>
          <t>파라다이스</t>
        </is>
      </c>
      <c r="C4953" t="inlineStr">
        <is>
          <t>034230</t>
        </is>
      </c>
      <c r="D4953" t="inlineStr">
        <is>
          <t>연결</t>
        </is>
      </c>
      <c r="E4953" t="inlineStr">
        <is>
          <t>2024Q2</t>
        </is>
      </c>
      <c r="F4953" s="2" t="inlineStr"/>
      <c r="G4953" t="inlineStr"/>
      <c r="H4953" t="inlineStr"/>
      <c r="I4953" s="2" t="inlineStr"/>
      <c r="J4953" t="inlineStr"/>
      <c r="K4953" t="inlineStr"/>
      <c r="L4953" s="2" t="inlineStr"/>
      <c r="M4953" t="inlineStr"/>
      <c r="N4953" t="inlineStr">
        <is>
          <t>20240703800471</t>
        </is>
      </c>
      <c r="O4953">
        <f>HYPERLINK("https://dart.fss.or.kr/dsaf001/main.do?rcpNo=20240703800471", "공시열람")</f>
        <v/>
      </c>
    </row>
    <row r="4954">
      <c r="A4954" t="inlineStr">
        <is>
          <t>2024-07-01</t>
        </is>
      </c>
      <c r="B4954" t="inlineStr">
        <is>
          <t>KG모빌리티</t>
        </is>
      </c>
      <c r="C4954" t="inlineStr">
        <is>
          <t>003620</t>
        </is>
      </c>
      <c r="D4954" t="inlineStr">
        <is>
          <t>별도</t>
        </is>
      </c>
      <c r="E4954" t="inlineStr">
        <is>
          <t>2024Q2</t>
        </is>
      </c>
      <c r="F4954" s="2" t="inlineStr"/>
      <c r="G4954" t="inlineStr"/>
      <c r="H4954" t="inlineStr"/>
      <c r="I4954" s="2" t="inlineStr"/>
      <c r="J4954" t="inlineStr"/>
      <c r="K4954" t="inlineStr"/>
      <c r="L4954" s="2" t="inlineStr"/>
      <c r="M4954" t="inlineStr"/>
      <c r="N4954" t="inlineStr">
        <is>
          <t>20240701800248</t>
        </is>
      </c>
      <c r="O4954">
        <f>HYPERLINK("https://dart.fss.or.kr/dsaf001/main.do?rcpNo=20240701800248", "공시열람")</f>
        <v/>
      </c>
    </row>
    <row r="4955">
      <c r="A4955" t="inlineStr">
        <is>
          <t>2024-07-01</t>
        </is>
      </c>
      <c r="B4955" t="inlineStr">
        <is>
          <t>롯데관광개발</t>
        </is>
      </c>
      <c r="C4955" t="inlineStr">
        <is>
          <t>032350</t>
        </is>
      </c>
      <c r="D4955" t="inlineStr">
        <is>
          <t>연결</t>
        </is>
      </c>
      <c r="E4955" t="inlineStr">
        <is>
          <t>2024Q2</t>
        </is>
      </c>
      <c r="F4955" s="2" t="inlineStr"/>
      <c r="G4955" t="inlineStr"/>
      <c r="H4955" t="inlineStr"/>
      <c r="I4955" s="2" t="inlineStr"/>
      <c r="J4955" t="inlineStr"/>
      <c r="K4955" t="inlineStr"/>
      <c r="L4955" s="2" t="inlineStr"/>
      <c r="M4955" t="inlineStr"/>
      <c r="N4955" t="inlineStr">
        <is>
          <t>20240701800304</t>
        </is>
      </c>
      <c r="O4955">
        <f>HYPERLINK("https://dart.fss.or.kr/dsaf001/main.do?rcpNo=20240701800304", "공시열람")</f>
        <v/>
      </c>
    </row>
    <row r="4956">
      <c r="A4956" t="inlineStr">
        <is>
          <t>2024-07-01</t>
        </is>
      </c>
      <c r="B4956" t="inlineStr">
        <is>
          <t>기아</t>
        </is>
      </c>
      <c r="C4956" t="inlineStr">
        <is>
          <t>000270</t>
        </is>
      </c>
      <c r="D4956" t="inlineStr">
        <is>
          <t>별도</t>
        </is>
      </c>
      <c r="E4956" t="inlineStr">
        <is>
          <t>2024Q2</t>
        </is>
      </c>
      <c r="F4956" s="2" t="inlineStr"/>
      <c r="G4956" t="inlineStr"/>
      <c r="H4956" t="inlineStr"/>
      <c r="I4956" s="2" t="inlineStr"/>
      <c r="J4956" t="inlineStr"/>
      <c r="K4956" t="inlineStr"/>
      <c r="L4956" s="2" t="inlineStr"/>
      <c r="M4956" t="inlineStr"/>
      <c r="N4956" t="inlineStr">
        <is>
          <t>20240701800306</t>
        </is>
      </c>
      <c r="O4956">
        <f>HYPERLINK("https://dart.fss.or.kr/dsaf001/main.do?rcpNo=20240701800306", "공시열람")</f>
        <v/>
      </c>
    </row>
    <row r="4957">
      <c r="A4957" t="inlineStr">
        <is>
          <t>2024-07-01</t>
        </is>
      </c>
      <c r="B4957" t="inlineStr">
        <is>
          <t>현대자동차</t>
        </is>
      </c>
      <c r="C4957" t="inlineStr">
        <is>
          <t>005380</t>
        </is>
      </c>
      <c r="D4957" t="inlineStr">
        <is>
          <t>별도</t>
        </is>
      </c>
      <c r="E4957" t="inlineStr">
        <is>
          <t>2024Q2</t>
        </is>
      </c>
      <c r="F4957" s="2" t="inlineStr"/>
      <c r="G4957" t="inlineStr"/>
      <c r="H4957" t="inlineStr"/>
      <c r="I4957" s="2" t="inlineStr"/>
      <c r="J4957" t="inlineStr"/>
      <c r="K4957" t="inlineStr"/>
      <c r="L4957" s="2" t="inlineStr"/>
      <c r="M4957" t="inlineStr"/>
      <c r="N4957" t="inlineStr">
        <is>
          <t>20240701800335</t>
        </is>
      </c>
      <c r="O4957">
        <f>HYPERLINK("https://dart.fss.or.kr/dsaf001/main.do?rcpNo=20240701800335", "공시열람")</f>
        <v/>
      </c>
    </row>
    <row r="4958">
      <c r="A4958" t="inlineStr">
        <is>
          <t>2024-06-19</t>
        </is>
      </c>
      <c r="B4958" t="inlineStr">
        <is>
          <t>HD현대중공업</t>
        </is>
      </c>
      <c r="C4958" t="inlineStr">
        <is>
          <t>329180</t>
        </is>
      </c>
      <c r="D4958" t="inlineStr">
        <is>
          <t>별도</t>
        </is>
      </c>
      <c r="E4958" t="inlineStr">
        <is>
          <t>2024Q1</t>
        </is>
      </c>
      <c r="F4958" s="2" t="n">
        <v>1275761</v>
      </c>
      <c r="G4958" t="n">
        <v>6.51</v>
      </c>
      <c r="H4958" t="n">
        <v>29.31</v>
      </c>
      <c r="I4958" s="2" t="inlineStr"/>
      <c r="J4958" t="inlineStr"/>
      <c r="K4958" t="inlineStr"/>
      <c r="L4958" s="2" t="inlineStr"/>
      <c r="M4958" t="inlineStr"/>
      <c r="N4958" t="inlineStr">
        <is>
          <t>20240619800716</t>
        </is>
      </c>
      <c r="O4958">
        <f>HYPERLINK("https://dart.fss.or.kr/dsaf001/main.do?rcpNo=20240619800716", "공시열람")</f>
        <v/>
      </c>
    </row>
    <row r="4959">
      <c r="A4959" t="inlineStr">
        <is>
          <t>2024-06-19</t>
        </is>
      </c>
      <c r="B4959" t="inlineStr">
        <is>
          <t>HD한국조선해양</t>
        </is>
      </c>
      <c r="C4959" t="inlineStr">
        <is>
          <t>009540</t>
        </is>
      </c>
      <c r="D4959" t="inlineStr">
        <is>
          <t>별도</t>
        </is>
      </c>
      <c r="E4959" t="inlineStr">
        <is>
          <t>2024Q1</t>
        </is>
      </c>
      <c r="F4959" s="2" t="n">
        <v>620342</v>
      </c>
      <c r="G4959" t="n">
        <v>15.19</v>
      </c>
      <c r="H4959" t="n">
        <v>22.61</v>
      </c>
      <c r="I4959" s="2" t="inlineStr"/>
      <c r="J4959" t="inlineStr"/>
      <c r="K4959" t="inlineStr"/>
      <c r="L4959" s="2" t="inlineStr"/>
      <c r="M4959" t="inlineStr"/>
      <c r="N4959" t="inlineStr">
        <is>
          <t>20240619800717</t>
        </is>
      </c>
      <c r="O4959">
        <f>HYPERLINK("https://dart.fss.or.kr/dsaf001/main.do?rcpNo=20240619800717", "공시열람")</f>
        <v/>
      </c>
    </row>
    <row r="4960">
      <c r="A4960" t="inlineStr">
        <is>
          <t>2024-06-18</t>
        </is>
      </c>
      <c r="B4960" t="inlineStr">
        <is>
          <t>오리온</t>
        </is>
      </c>
      <c r="C4960" t="inlineStr">
        <is>
          <t>271560</t>
        </is>
      </c>
      <c r="D4960" t="inlineStr">
        <is>
          <t>연결</t>
        </is>
      </c>
      <c r="E4960" t="inlineStr">
        <is>
          <t>2024Q1</t>
        </is>
      </c>
      <c r="F4960" s="2" t="inlineStr"/>
      <c r="G4960" t="inlineStr"/>
      <c r="H4960" t="inlineStr"/>
      <c r="I4960" s="2" t="inlineStr"/>
      <c r="J4960" t="inlineStr"/>
      <c r="K4960" t="inlineStr"/>
      <c r="L4960" s="2" t="inlineStr"/>
      <c r="M4960" t="inlineStr"/>
      <c r="N4960" t="inlineStr">
        <is>
          <t>20240618800101</t>
        </is>
      </c>
      <c r="O4960">
        <f>HYPERLINK("https://dart.fss.or.kr/dsaf001/main.do?rcpNo=20240618800101", "공시열람")</f>
        <v/>
      </c>
    </row>
    <row r="4961">
      <c r="A4961" t="inlineStr">
        <is>
          <t>2024-06-18</t>
        </is>
      </c>
      <c r="B4961" t="inlineStr">
        <is>
          <t>지역난방공사</t>
        </is>
      </c>
      <c r="C4961" t="inlineStr">
        <is>
          <t>071320</t>
        </is>
      </c>
      <c r="D4961" t="inlineStr">
        <is>
          <t>별도</t>
        </is>
      </c>
      <c r="E4961" t="inlineStr">
        <is>
          <t>2024Q1</t>
        </is>
      </c>
      <c r="F4961" s="2" t="inlineStr"/>
      <c r="G4961" t="inlineStr"/>
      <c r="H4961" t="inlineStr"/>
      <c r="I4961" s="2" t="inlineStr"/>
      <c r="J4961" t="inlineStr"/>
      <c r="K4961" t="inlineStr"/>
      <c r="L4961" s="2" t="inlineStr"/>
      <c r="M4961" t="inlineStr"/>
      <c r="N4961" t="inlineStr">
        <is>
          <t>20240618800094</t>
        </is>
      </c>
      <c r="O4961">
        <f>HYPERLINK("https://dart.fss.or.kr/dsaf001/main.do?rcpNo=20240618800094", "공시열람")</f>
        <v/>
      </c>
    </row>
    <row r="4962">
      <c r="A4962" t="inlineStr">
        <is>
          <t>2024-06-13</t>
        </is>
      </c>
      <c r="B4962" t="inlineStr">
        <is>
          <t>한국가스공사</t>
        </is>
      </c>
      <c r="C4962" t="inlineStr">
        <is>
          <t>036460</t>
        </is>
      </c>
      <c r="D4962" t="inlineStr">
        <is>
          <t>별도</t>
        </is>
      </c>
      <c r="E4962" t="inlineStr">
        <is>
          <t>2024Q1</t>
        </is>
      </c>
      <c r="F4962" s="2" t="inlineStr"/>
      <c r="G4962" t="inlineStr"/>
      <c r="H4962" t="inlineStr"/>
      <c r="I4962" s="2" t="inlineStr"/>
      <c r="J4962" t="inlineStr"/>
      <c r="K4962" t="inlineStr"/>
      <c r="L4962" s="2" t="inlineStr"/>
      <c r="M4962" t="inlineStr"/>
      <c r="N4962" t="inlineStr">
        <is>
          <t>20240613800073</t>
        </is>
      </c>
      <c r="O4962">
        <f>HYPERLINK("https://dart.fss.or.kr/dsaf001/main.do?rcpNo=20240613800073", "공시열람")</f>
        <v/>
      </c>
    </row>
    <row r="4963">
      <c r="A4963" t="inlineStr">
        <is>
          <t>2024-06-12</t>
        </is>
      </c>
      <c r="B4963" t="inlineStr">
        <is>
          <t>이마트</t>
        </is>
      </c>
      <c r="C4963" t="inlineStr">
        <is>
          <t>139480</t>
        </is>
      </c>
      <c r="D4963" t="inlineStr">
        <is>
          <t>별도</t>
        </is>
      </c>
      <c r="E4963" t="inlineStr">
        <is>
          <t>2024Q1</t>
        </is>
      </c>
      <c r="F4963" s="2" t="n">
        <v>1184900</v>
      </c>
      <c r="G4963" t="n">
        <v>4.3</v>
      </c>
      <c r="H4963" t="n">
        <v>-3.1</v>
      </c>
      <c r="I4963" s="2" t="inlineStr"/>
      <c r="J4963" t="inlineStr"/>
      <c r="K4963" t="inlineStr"/>
      <c r="L4963" s="2" t="inlineStr"/>
      <c r="M4963" t="inlineStr"/>
      <c r="N4963" t="inlineStr">
        <is>
          <t>20240612800111</t>
        </is>
      </c>
      <c r="O4963">
        <f>HYPERLINK("https://dart.fss.or.kr/dsaf001/main.do?rcpNo=20240612800111", "공시열람")</f>
        <v/>
      </c>
    </row>
    <row r="4964">
      <c r="A4964" t="inlineStr">
        <is>
          <t>2024-06-10</t>
        </is>
      </c>
      <c r="B4964" t="inlineStr">
        <is>
          <t>신세계</t>
        </is>
      </c>
      <c r="C4964" t="inlineStr">
        <is>
          <t>004170</t>
        </is>
      </c>
      <c r="D4964" t="inlineStr">
        <is>
          <t>별도</t>
        </is>
      </c>
      <c r="E4964" t="inlineStr">
        <is>
          <t>2024Q1</t>
        </is>
      </c>
      <c r="F4964" s="2" t="n">
        <v>169778</v>
      </c>
      <c r="G4964" t="n">
        <v>7.3</v>
      </c>
      <c r="H4964" t="n">
        <v>2.1</v>
      </c>
      <c r="I4964" s="2" t="inlineStr"/>
      <c r="J4964" t="inlineStr"/>
      <c r="K4964" t="inlineStr"/>
      <c r="L4964" s="2" t="inlineStr"/>
      <c r="M4964" t="inlineStr"/>
      <c r="N4964" t="inlineStr">
        <is>
          <t>20240610800331</t>
        </is>
      </c>
      <c r="O4964">
        <f>HYPERLINK("https://dart.fss.or.kr/dsaf001/main.do?rcpNo=20240610800331", "공시열람")</f>
        <v/>
      </c>
    </row>
    <row r="4965">
      <c r="A4965" t="inlineStr">
        <is>
          <t>2024-06-10</t>
        </is>
      </c>
      <c r="B4965" t="inlineStr">
        <is>
          <t>광주신세계</t>
        </is>
      </c>
      <c r="C4965" t="inlineStr">
        <is>
          <t>037710</t>
        </is>
      </c>
      <c r="D4965" t="inlineStr">
        <is>
          <t>별도</t>
        </is>
      </c>
      <c r="E4965" t="inlineStr">
        <is>
          <t>2024Q1</t>
        </is>
      </c>
      <c r="F4965" s="2" t="n">
        <v>15173</v>
      </c>
      <c r="G4965" t="n">
        <v>3.8</v>
      </c>
      <c r="H4965" t="n">
        <v>-3.3</v>
      </c>
      <c r="I4965" s="2" t="inlineStr"/>
      <c r="J4965" t="inlineStr"/>
      <c r="K4965" t="inlineStr"/>
      <c r="L4965" s="2" t="inlineStr"/>
      <c r="M4965" t="inlineStr"/>
      <c r="N4965" t="inlineStr">
        <is>
          <t>20240610800378</t>
        </is>
      </c>
      <c r="O4965">
        <f>HYPERLINK("https://dart.fss.or.kr/dsaf001/main.do?rcpNo=20240610800378", "공시열람")</f>
        <v/>
      </c>
    </row>
    <row r="4966">
      <c r="A4966" t="inlineStr">
        <is>
          <t>2024-06-04</t>
        </is>
      </c>
      <c r="B4966" t="inlineStr">
        <is>
          <t>GKL</t>
        </is>
      </c>
      <c r="C4966" t="inlineStr">
        <is>
          <t>114090</t>
        </is>
      </c>
      <c r="D4966" t="inlineStr">
        <is>
          <t>별도</t>
        </is>
      </c>
      <c r="E4966" t="inlineStr">
        <is>
          <t>2024Q1</t>
        </is>
      </c>
      <c r="F4966" s="2" t="inlineStr"/>
      <c r="G4966" t="inlineStr"/>
      <c r="H4966" t="inlineStr"/>
      <c r="I4966" s="2" t="inlineStr"/>
      <c r="J4966" t="inlineStr"/>
      <c r="K4966" t="inlineStr"/>
      <c r="L4966" s="2" t="inlineStr"/>
      <c r="M4966" t="inlineStr"/>
      <c r="N4966" t="inlineStr">
        <is>
          <t>20240604800056</t>
        </is>
      </c>
      <c r="O4966">
        <f>HYPERLINK("https://dart.fss.or.kr/dsaf001/main.do?rcpNo=20240604800056", "공시열람")</f>
        <v/>
      </c>
    </row>
    <row r="4967">
      <c r="A4967" t="inlineStr">
        <is>
          <t>2024-06-03</t>
        </is>
      </c>
      <c r="B4967" t="inlineStr">
        <is>
          <t>롯데관광개발</t>
        </is>
      </c>
      <c r="C4967" t="inlineStr">
        <is>
          <t>032350</t>
        </is>
      </c>
      <c r="D4967" t="inlineStr">
        <is>
          <t>연결</t>
        </is>
      </c>
      <c r="E4967" t="inlineStr">
        <is>
          <t>2024Q1</t>
        </is>
      </c>
      <c r="F4967" s="2" t="inlineStr"/>
      <c r="G4967" t="inlineStr"/>
      <c r="H4967" t="inlineStr"/>
      <c r="I4967" s="2" t="inlineStr"/>
      <c r="J4967" t="inlineStr"/>
      <c r="K4967" t="inlineStr"/>
      <c r="L4967" s="2" t="inlineStr"/>
      <c r="M4967" t="inlineStr"/>
      <c r="N4967" t="inlineStr">
        <is>
          <t>20240603800305</t>
        </is>
      </c>
      <c r="O4967">
        <f>HYPERLINK("https://dart.fss.or.kr/dsaf001/main.do?rcpNo=20240603800305", "공시열람")</f>
        <v/>
      </c>
    </row>
    <row r="4968">
      <c r="A4968" t="inlineStr">
        <is>
          <t>2024-06-03</t>
        </is>
      </c>
      <c r="B4968" t="inlineStr">
        <is>
          <t>KG모빌리티</t>
        </is>
      </c>
      <c r="C4968" t="inlineStr">
        <is>
          <t>003620</t>
        </is>
      </c>
      <c r="D4968" t="inlineStr">
        <is>
          <t>별도</t>
        </is>
      </c>
      <c r="E4968" t="inlineStr">
        <is>
          <t>2024Q1</t>
        </is>
      </c>
      <c r="F4968" s="2" t="inlineStr"/>
      <c r="G4968" t="inlineStr"/>
      <c r="H4968" t="inlineStr"/>
      <c r="I4968" s="2" t="inlineStr"/>
      <c r="J4968" t="inlineStr"/>
      <c r="K4968" t="inlineStr"/>
      <c r="L4968" s="2" t="inlineStr"/>
      <c r="M4968" t="inlineStr"/>
      <c r="N4968" t="inlineStr">
        <is>
          <t>20240603800244</t>
        </is>
      </c>
      <c r="O4968">
        <f>HYPERLINK("https://dart.fss.or.kr/dsaf001/main.do?rcpNo=20240603800244", "공시열람")</f>
        <v/>
      </c>
    </row>
    <row r="4969">
      <c r="A4969" t="inlineStr">
        <is>
          <t>2024-06-03</t>
        </is>
      </c>
      <c r="B4969" t="inlineStr">
        <is>
          <t>기아</t>
        </is>
      </c>
      <c r="C4969" t="inlineStr">
        <is>
          <t>000270</t>
        </is>
      </c>
      <c r="D4969" t="inlineStr">
        <is>
          <t>별도</t>
        </is>
      </c>
      <c r="E4969" t="inlineStr">
        <is>
          <t>2024Q1</t>
        </is>
      </c>
      <c r="F4969" s="2" t="inlineStr"/>
      <c r="G4969" t="inlineStr"/>
      <c r="H4969" t="inlineStr"/>
      <c r="I4969" s="2" t="inlineStr"/>
      <c r="J4969" t="inlineStr"/>
      <c r="K4969" t="inlineStr"/>
      <c r="L4969" s="2" t="inlineStr"/>
      <c r="M4969" t="inlineStr"/>
      <c r="N4969" t="inlineStr">
        <is>
          <t>20240603800328</t>
        </is>
      </c>
      <c r="O4969">
        <f>HYPERLINK("https://dart.fss.or.kr/dsaf001/main.do?rcpNo=20240603800328", "공시열람")</f>
        <v/>
      </c>
    </row>
    <row r="4970">
      <c r="A4970" t="inlineStr">
        <is>
          <t>2024-06-03</t>
        </is>
      </c>
      <c r="B4970" t="inlineStr">
        <is>
          <t>현대자동차</t>
        </is>
      </c>
      <c r="C4970" t="inlineStr">
        <is>
          <t>005380</t>
        </is>
      </c>
      <c r="D4970" t="inlineStr">
        <is>
          <t>별도</t>
        </is>
      </c>
      <c r="E4970" t="inlineStr">
        <is>
          <t>2024Q1</t>
        </is>
      </c>
      <c r="F4970" s="2" t="inlineStr"/>
      <c r="G4970" t="inlineStr"/>
      <c r="H4970" t="inlineStr"/>
      <c r="I4970" s="2" t="inlineStr"/>
      <c r="J4970" t="inlineStr"/>
      <c r="K4970" t="inlineStr"/>
      <c r="L4970" s="2" t="inlineStr"/>
      <c r="M4970" t="inlineStr"/>
      <c r="N4970" t="inlineStr">
        <is>
          <t>20240603800300</t>
        </is>
      </c>
      <c r="O4970">
        <f>HYPERLINK("https://dart.fss.or.kr/dsaf001/main.do?rcpNo=20240603800300", "공시열람")</f>
        <v/>
      </c>
    </row>
    <row r="4971">
      <c r="A4971" t="inlineStr">
        <is>
          <t>2024-06-03</t>
        </is>
      </c>
      <c r="B4971" t="inlineStr">
        <is>
          <t>파라다이스</t>
        </is>
      </c>
      <c r="C4971" t="inlineStr">
        <is>
          <t>034230</t>
        </is>
      </c>
      <c r="D4971" t="inlineStr">
        <is>
          <t>연결</t>
        </is>
      </c>
      <c r="E4971" t="inlineStr">
        <is>
          <t>2024Q1</t>
        </is>
      </c>
      <c r="F4971" s="2" t="inlineStr"/>
      <c r="G4971" t="inlineStr"/>
      <c r="H4971" t="inlineStr"/>
      <c r="I4971" s="2" t="inlineStr"/>
      <c r="J4971" t="inlineStr"/>
      <c r="K4971" t="inlineStr"/>
      <c r="L4971" s="2" t="inlineStr"/>
      <c r="M4971" t="inlineStr"/>
      <c r="N4971" t="inlineStr">
        <is>
          <t>20240603900104</t>
        </is>
      </c>
      <c r="O4971">
        <f>HYPERLINK("https://dart.fss.or.kr/dsaf001/main.do?rcpNo=20240603900104", "공시열람")</f>
        <v/>
      </c>
    </row>
    <row r="4972">
      <c r="A4972" t="inlineStr">
        <is>
          <t>2024-05-21</t>
        </is>
      </c>
      <c r="B4972" t="inlineStr">
        <is>
          <t>HD한국조선해양</t>
        </is>
      </c>
      <c r="C4972" t="inlineStr">
        <is>
          <t>009540</t>
        </is>
      </c>
      <c r="D4972" t="inlineStr">
        <is>
          <t>별도</t>
        </is>
      </c>
      <c r="E4972" t="inlineStr">
        <is>
          <t>2024Q1</t>
        </is>
      </c>
      <c r="F4972" s="2" t="n">
        <v>538530</v>
      </c>
      <c r="G4972" t="n">
        <v>-12.93</v>
      </c>
      <c r="H4972" t="n">
        <v>10.86</v>
      </c>
      <c r="I4972" s="2" t="inlineStr"/>
      <c r="J4972" t="inlineStr"/>
      <c r="K4972" t="inlineStr"/>
      <c r="L4972" s="2" t="inlineStr"/>
      <c r="M4972" t="inlineStr"/>
      <c r="N4972" t="inlineStr">
        <is>
          <t>20240521800334</t>
        </is>
      </c>
      <c r="O4972">
        <f>HYPERLINK("https://dart.fss.or.kr/dsaf001/main.do?rcpNo=20240521800334", "공시열람")</f>
        <v/>
      </c>
    </row>
    <row r="4973">
      <c r="A4973" t="inlineStr">
        <is>
          <t>2024-05-21</t>
        </is>
      </c>
      <c r="B4973" t="inlineStr">
        <is>
          <t>지역난방공사</t>
        </is>
      </c>
      <c r="C4973" t="inlineStr">
        <is>
          <t>071320</t>
        </is>
      </c>
      <c r="D4973" t="inlineStr">
        <is>
          <t>별도</t>
        </is>
      </c>
      <c r="E4973" t="inlineStr">
        <is>
          <t>2024Q1</t>
        </is>
      </c>
      <c r="F4973" s="2" t="inlineStr"/>
      <c r="G4973" t="inlineStr"/>
      <c r="H4973" t="inlineStr"/>
      <c r="I4973" s="2" t="inlineStr"/>
      <c r="J4973" t="inlineStr"/>
      <c r="K4973" t="inlineStr"/>
      <c r="L4973" s="2" t="inlineStr"/>
      <c r="M4973" t="inlineStr"/>
      <c r="N4973" t="inlineStr">
        <is>
          <t>20240521800283</t>
        </is>
      </c>
      <c r="O4973">
        <f>HYPERLINK("https://dart.fss.or.kr/dsaf001/main.do?rcpNo=20240521800283", "공시열람")</f>
        <v/>
      </c>
    </row>
    <row r="4974">
      <c r="A4974" t="inlineStr">
        <is>
          <t>2024-05-21</t>
        </is>
      </c>
      <c r="B4974" t="inlineStr">
        <is>
          <t>HD현대중공업</t>
        </is>
      </c>
      <c r="C4974" t="inlineStr">
        <is>
          <t>329180</t>
        </is>
      </c>
      <c r="D4974" t="inlineStr">
        <is>
          <t>별도</t>
        </is>
      </c>
      <c r="E4974" t="inlineStr">
        <is>
          <t>2024Q1</t>
        </is>
      </c>
      <c r="F4974" s="2" t="n">
        <v>1197824</v>
      </c>
      <c r="G4974" t="n">
        <v>0.75</v>
      </c>
      <c r="H4974" t="n">
        <v>24.9</v>
      </c>
      <c r="I4974" s="2" t="inlineStr"/>
      <c r="J4974" t="inlineStr"/>
      <c r="K4974" t="inlineStr"/>
      <c r="L4974" s="2" t="inlineStr"/>
      <c r="M4974" t="inlineStr"/>
      <c r="N4974" t="inlineStr">
        <is>
          <t>20240521800348</t>
        </is>
      </c>
      <c r="O4974">
        <f>HYPERLINK("https://dart.fss.or.kr/dsaf001/main.do?rcpNo=20240521800348", "공시열람")</f>
        <v/>
      </c>
    </row>
    <row r="4975">
      <c r="A4975" t="inlineStr">
        <is>
          <t>2024-05-21</t>
        </is>
      </c>
      <c r="B4975" t="inlineStr">
        <is>
          <t>오리온</t>
        </is>
      </c>
      <c r="C4975" t="inlineStr">
        <is>
          <t>271560</t>
        </is>
      </c>
      <c r="D4975" t="inlineStr">
        <is>
          <t>연결</t>
        </is>
      </c>
      <c r="E4975" t="inlineStr">
        <is>
          <t>2024Q1</t>
        </is>
      </c>
      <c r="F4975" s="2" t="inlineStr"/>
      <c r="G4975" t="inlineStr"/>
      <c r="H4975" t="inlineStr"/>
      <c r="I4975" s="2" t="inlineStr"/>
      <c r="J4975" t="inlineStr"/>
      <c r="K4975" t="inlineStr"/>
      <c r="L4975" s="2" t="inlineStr"/>
      <c r="M4975" t="inlineStr"/>
      <c r="N4975" t="inlineStr">
        <is>
          <t>20240521800093</t>
        </is>
      </c>
      <c r="O4975">
        <f>HYPERLINK("https://dart.fss.or.kr/dsaf001/main.do?rcpNo=20240521800093", "공시열람")</f>
        <v/>
      </c>
    </row>
    <row r="4976">
      <c r="A4976" t="inlineStr">
        <is>
          <t>2024-05-16</t>
        </is>
      </c>
      <c r="B4976" t="inlineStr">
        <is>
          <t>이마트</t>
        </is>
      </c>
      <c r="C4976" t="inlineStr">
        <is>
          <t>139480</t>
        </is>
      </c>
      <c r="D4976" t="inlineStr">
        <is>
          <t>연결</t>
        </is>
      </c>
      <c r="E4976" t="inlineStr">
        <is>
          <t>2024Q1</t>
        </is>
      </c>
      <c r="F4976" s="2" t="n">
        <v>7206700</v>
      </c>
      <c r="G4976" t="n">
        <v>-2</v>
      </c>
      <c r="H4976" t="n">
        <v>1</v>
      </c>
      <c r="I4976" s="2" t="n">
        <v>47100</v>
      </c>
      <c r="J4976" t="inlineStr"/>
      <c r="K4976" t="n">
        <v>245</v>
      </c>
      <c r="L4976" s="2" t="n">
        <v>29400</v>
      </c>
      <c r="M4976" t="n">
        <v>1000.8</v>
      </c>
      <c r="N4976" t="inlineStr">
        <is>
          <t>20240516800452</t>
        </is>
      </c>
      <c r="O4976">
        <f>HYPERLINK("https://dart.fss.or.kr/dsaf001/main.do?rcpNo=20240516800452", "공시열람")</f>
        <v/>
      </c>
    </row>
    <row r="4977">
      <c r="A4977" t="inlineStr">
        <is>
          <t>2024-05-16</t>
        </is>
      </c>
      <c r="B4977" t="inlineStr">
        <is>
          <t>제일엠앤에스</t>
        </is>
      </c>
      <c r="C4977" t="inlineStr">
        <is>
          <t>412540</t>
        </is>
      </c>
      <c r="D4977" t="inlineStr">
        <is>
          <t>연결</t>
        </is>
      </c>
      <c r="E4977" t="inlineStr">
        <is>
          <t>2024Q1</t>
        </is>
      </c>
      <c r="F4977" s="2" t="n">
        <v>74182</v>
      </c>
      <c r="G4977" t="inlineStr"/>
      <c r="H4977" t="inlineStr"/>
      <c r="I4977" s="2" t="n">
        <v>3258</v>
      </c>
      <c r="J4977" t="inlineStr"/>
      <c r="K4977" t="inlineStr"/>
      <c r="L4977" s="2" t="n">
        <v>3868</v>
      </c>
      <c r="M4977" t="inlineStr"/>
      <c r="N4977" t="inlineStr">
        <is>
          <t>20240516901932</t>
        </is>
      </c>
      <c r="O4977">
        <f>HYPERLINK("https://dart.fss.or.kr/dsaf001/main.do?rcpNo=20240516901932", "공시열람")</f>
        <v/>
      </c>
    </row>
    <row r="4978">
      <c r="A4978" t="inlineStr">
        <is>
          <t>2024-05-16</t>
        </is>
      </c>
      <c r="B4978" t="inlineStr">
        <is>
          <t>이마트</t>
        </is>
      </c>
      <c r="C4978" t="inlineStr">
        <is>
          <t>139480</t>
        </is>
      </c>
      <c r="D4978" t="inlineStr">
        <is>
          <t>별도</t>
        </is>
      </c>
      <c r="E4978" t="inlineStr">
        <is>
          <t>2024Q1</t>
        </is>
      </c>
      <c r="F4978" s="2" t="n">
        <v>1135700</v>
      </c>
      <c r="G4978" t="n">
        <v>-5.2</v>
      </c>
      <c r="H4978" t="n">
        <v>-5.3</v>
      </c>
      <c r="I4978" s="2" t="inlineStr"/>
      <c r="J4978" t="inlineStr"/>
      <c r="K4978" t="inlineStr"/>
      <c r="L4978" s="2" t="inlineStr"/>
      <c r="M4978" t="inlineStr"/>
      <c r="N4978" t="inlineStr">
        <is>
          <t>20240516800471</t>
        </is>
      </c>
      <c r="O4978">
        <f>HYPERLINK("https://dart.fss.or.kr/dsaf001/main.do?rcpNo=20240516800471", "공시열람")</f>
        <v/>
      </c>
    </row>
    <row r="4979">
      <c r="A4979" t="inlineStr">
        <is>
          <t>2024-05-16</t>
        </is>
      </c>
      <c r="B4979" t="inlineStr">
        <is>
          <t>삼성생명</t>
        </is>
      </c>
      <c r="C4979" t="inlineStr">
        <is>
          <t>032830</t>
        </is>
      </c>
      <c r="D4979" t="inlineStr">
        <is>
          <t>연결</t>
        </is>
      </c>
      <c r="E4979" t="inlineStr">
        <is>
          <t>2024Q1</t>
        </is>
      </c>
      <c r="F4979" s="2" t="n">
        <v>9318986</v>
      </c>
      <c r="G4979" t="inlineStr"/>
      <c r="H4979" t="inlineStr"/>
      <c r="I4979" s="2" t="n">
        <v>746310</v>
      </c>
      <c r="J4979" t="inlineStr"/>
      <c r="K4979" t="inlineStr"/>
      <c r="L4979" s="2" t="n">
        <v>663292</v>
      </c>
      <c r="M4979" t="inlineStr"/>
      <c r="N4979" t="inlineStr">
        <is>
          <t>20240516800043</t>
        </is>
      </c>
      <c r="O4979">
        <f>HYPERLINK("https://dart.fss.or.kr/dsaf001/main.do?rcpNo=20240516800043", "공시열람")</f>
        <v/>
      </c>
    </row>
    <row r="4980">
      <c r="A4980" t="inlineStr">
        <is>
          <t>2024-05-14</t>
        </is>
      </c>
      <c r="B4980" t="inlineStr">
        <is>
          <t>삼성화재해상보험</t>
        </is>
      </c>
      <c r="C4980" t="inlineStr">
        <is>
          <t>000810</t>
        </is>
      </c>
      <c r="D4980" t="inlineStr">
        <is>
          <t>연결</t>
        </is>
      </c>
      <c r="E4980" t="inlineStr">
        <is>
          <t>2024Q1</t>
        </is>
      </c>
      <c r="F4980" s="2" t="n">
        <v>5506824</v>
      </c>
      <c r="G4980" t="n">
        <v>7.7</v>
      </c>
      <c r="H4980" t="n">
        <v>3.1</v>
      </c>
      <c r="I4980" s="2" t="n">
        <v>897061</v>
      </c>
      <c r="J4980" t="n">
        <v>335</v>
      </c>
      <c r="K4980" t="n">
        <v>7.8</v>
      </c>
      <c r="L4980" s="2" t="n">
        <v>701953</v>
      </c>
      <c r="M4980" t="n">
        <v>14.6</v>
      </c>
      <c r="N4980" t="inlineStr">
        <is>
          <t>20240514800021</t>
        </is>
      </c>
      <c r="O4980">
        <f>HYPERLINK("https://dart.fss.or.kr/dsaf001/main.do?rcpNo=20240514800021", "공시열람")</f>
        <v/>
      </c>
    </row>
    <row r="4981">
      <c r="A4981" t="inlineStr">
        <is>
          <t>2024-05-14</t>
        </is>
      </c>
      <c r="B4981" t="inlineStr">
        <is>
          <t>현대해상</t>
        </is>
      </c>
      <c r="C4981" t="inlineStr">
        <is>
          <t>001450</t>
        </is>
      </c>
      <c r="D4981" t="inlineStr">
        <is>
          <t>별도</t>
        </is>
      </c>
      <c r="E4981" t="inlineStr">
        <is>
          <t>2024Q1</t>
        </is>
      </c>
      <c r="F4981" s="2" t="n">
        <v>4440124</v>
      </c>
      <c r="G4981" t="n">
        <v>15.4</v>
      </c>
      <c r="H4981" t="n">
        <v>5</v>
      </c>
      <c r="I4981" s="2" t="n">
        <v>641133</v>
      </c>
      <c r="J4981" t="inlineStr"/>
      <c r="K4981" t="n">
        <v>52.3</v>
      </c>
      <c r="L4981" s="2" t="n">
        <v>477254</v>
      </c>
      <c r="M4981" t="n">
        <v>51.4</v>
      </c>
      <c r="N4981" t="inlineStr">
        <is>
          <t>20240514800481</t>
        </is>
      </c>
      <c r="O4981">
        <f>HYPERLINK("https://dart.fss.or.kr/dsaf001/main.do?rcpNo=20240514800481", "공시열람")</f>
        <v/>
      </c>
    </row>
    <row r="4982">
      <c r="A4982" t="inlineStr">
        <is>
          <t>2024-05-14</t>
        </is>
      </c>
      <c r="B4982" t="inlineStr">
        <is>
          <t>DB손해보험</t>
        </is>
      </c>
      <c r="C4982" t="inlineStr">
        <is>
          <t>005830</t>
        </is>
      </c>
      <c r="D4982" t="inlineStr">
        <is>
          <t>별도</t>
        </is>
      </c>
      <c r="E4982" t="inlineStr">
        <is>
          <t>2024Q1</t>
        </is>
      </c>
      <c r="F4982" s="2" t="n">
        <v>4631559</v>
      </c>
      <c r="G4982" t="n">
        <v>8.6</v>
      </c>
      <c r="H4982" t="n">
        <v>3.2</v>
      </c>
      <c r="I4982" s="2" t="n">
        <v>766608</v>
      </c>
      <c r="J4982" t="n">
        <v>129</v>
      </c>
      <c r="K4982" t="n">
        <v>30.6</v>
      </c>
      <c r="L4982" s="2" t="n">
        <v>583443</v>
      </c>
      <c r="M4982" t="n">
        <v>30.4</v>
      </c>
      <c r="N4982" t="inlineStr">
        <is>
          <t>20240514800399</t>
        </is>
      </c>
      <c r="O4982">
        <f>HYPERLINK("https://dart.fss.or.kr/dsaf001/main.do?rcpNo=20240514800399", "공시열람")</f>
        <v/>
      </c>
    </row>
    <row r="4983">
      <c r="A4983" t="inlineStr">
        <is>
          <t>2024-05-14</t>
        </is>
      </c>
      <c r="B4983" t="inlineStr">
        <is>
          <t>정상제이엘에스</t>
        </is>
      </c>
      <c r="C4983" t="inlineStr">
        <is>
          <t>040420</t>
        </is>
      </c>
      <c r="D4983" t="inlineStr">
        <is>
          <t>연결</t>
        </is>
      </c>
      <c r="E4983" t="inlineStr">
        <is>
          <t>2024Q1</t>
        </is>
      </c>
      <c r="F4983" s="2" t="n">
        <v>28314</v>
      </c>
      <c r="G4983" t="inlineStr"/>
      <c r="H4983" t="inlineStr"/>
      <c r="I4983" s="2" t="n">
        <v>3743</v>
      </c>
      <c r="J4983" t="inlineStr"/>
      <c r="K4983" t="inlineStr"/>
      <c r="L4983" s="2" t="n">
        <v>3101</v>
      </c>
      <c r="M4983" t="inlineStr"/>
      <c r="N4983" t="inlineStr">
        <is>
          <t>20240514900316</t>
        </is>
      </c>
      <c r="O4983">
        <f>HYPERLINK("https://dart.fss.or.kr/dsaf001/main.do?rcpNo=20240514900316", "공시열람")</f>
        <v/>
      </c>
    </row>
    <row r="4984">
      <c r="A4984" t="inlineStr">
        <is>
          <t>2024-05-14</t>
        </is>
      </c>
      <c r="B4984" t="inlineStr">
        <is>
          <t>CJ제일제당</t>
        </is>
      </c>
      <c r="C4984" t="inlineStr">
        <is>
          <t>097950</t>
        </is>
      </c>
      <c r="D4984" t="inlineStr">
        <is>
          <t>연결</t>
        </is>
      </c>
      <c r="E4984" t="inlineStr">
        <is>
          <t>2024Q1</t>
        </is>
      </c>
      <c r="F4984" s="2" t="n">
        <v>7215961</v>
      </c>
      <c r="G4984" t="n">
        <v>-1</v>
      </c>
      <c r="H4984" t="n">
        <v>2</v>
      </c>
      <c r="I4984" s="2" t="n">
        <v>375944</v>
      </c>
      <c r="J4984" t="n">
        <v>26</v>
      </c>
      <c r="K4984" t="n">
        <v>48.7</v>
      </c>
      <c r="L4984" s="2" t="n">
        <v>154627</v>
      </c>
      <c r="M4984" t="n">
        <v>213.5</v>
      </c>
      <c r="N4984" t="inlineStr">
        <is>
          <t>20240514800024</t>
        </is>
      </c>
      <c r="O4984">
        <f>HYPERLINK("https://dart.fss.or.kr/dsaf001/main.do?rcpNo=20240514800024", "공시열람")</f>
        <v/>
      </c>
    </row>
    <row r="4985">
      <c r="A4985" t="inlineStr">
        <is>
          <t>2024-05-14</t>
        </is>
      </c>
      <c r="B4985" t="inlineStr">
        <is>
          <t>에스피지</t>
        </is>
      </c>
      <c r="C4985" t="inlineStr">
        <is>
          <t>058610</t>
        </is>
      </c>
      <c r="D4985" t="inlineStr">
        <is>
          <t>연결</t>
        </is>
      </c>
      <c r="E4985" t="inlineStr">
        <is>
          <t>2024Q1</t>
        </is>
      </c>
      <c r="F4985" s="2" t="n">
        <v>97824</v>
      </c>
      <c r="G4985" t="inlineStr"/>
      <c r="H4985" t="inlineStr"/>
      <c r="I4985" s="2" t="n">
        <v>3073</v>
      </c>
      <c r="J4985" t="inlineStr"/>
      <c r="K4985" t="inlineStr"/>
      <c r="L4985" s="2" t="n">
        <v>2603</v>
      </c>
      <c r="M4985" t="inlineStr"/>
      <c r="N4985" t="inlineStr">
        <is>
          <t>20240514900416</t>
        </is>
      </c>
      <c r="O4985">
        <f>HYPERLINK("https://dart.fss.or.kr/dsaf001/main.do?rcpNo=20240514900416", "공시열람")</f>
        <v/>
      </c>
    </row>
    <row r="4986">
      <c r="A4986" t="inlineStr">
        <is>
          <t>2024-05-14</t>
        </is>
      </c>
      <c r="B4986" t="inlineStr">
        <is>
          <t>에어부산</t>
        </is>
      </c>
      <c r="C4986" t="inlineStr">
        <is>
          <t>298690</t>
        </is>
      </c>
      <c r="D4986" t="inlineStr">
        <is>
          <t>별도</t>
        </is>
      </c>
      <c r="E4986" t="inlineStr">
        <is>
          <t>2024Q1</t>
        </is>
      </c>
      <c r="F4986" s="2" t="n">
        <v>272242</v>
      </c>
      <c r="G4986" t="n">
        <v>9.5</v>
      </c>
      <c r="H4986" t="n">
        <v>27.8</v>
      </c>
      <c r="I4986" s="2" t="n">
        <v>70940</v>
      </c>
      <c r="J4986" t="n">
        <v>104.1</v>
      </c>
      <c r="K4986" t="n">
        <v>48.3</v>
      </c>
      <c r="L4986" s="2" t="n">
        <v>22733</v>
      </c>
      <c r="M4986" t="n">
        <v>45.1</v>
      </c>
      <c r="N4986" t="inlineStr">
        <is>
          <t>20240514800542</t>
        </is>
      </c>
      <c r="O4986">
        <f>HYPERLINK("https://dart.fss.or.kr/dsaf001/main.do?rcpNo=20240514800542", "공시열람")</f>
        <v/>
      </c>
    </row>
    <row r="4987">
      <c r="A4987" t="inlineStr">
        <is>
          <t>2024-05-14</t>
        </is>
      </c>
      <c r="B4987" t="inlineStr">
        <is>
          <t>삼성증권</t>
        </is>
      </c>
      <c r="C4987" t="inlineStr">
        <is>
          <t>016360</t>
        </is>
      </c>
      <c r="D4987" t="inlineStr">
        <is>
          <t>연결</t>
        </is>
      </c>
      <c r="E4987" t="inlineStr">
        <is>
          <t>2024Q1</t>
        </is>
      </c>
      <c r="F4987" s="2" t="n">
        <v>3722592</v>
      </c>
      <c r="G4987" t="inlineStr"/>
      <c r="H4987" t="inlineStr"/>
      <c r="I4987" s="2" t="n">
        <v>331626</v>
      </c>
      <c r="J4987" t="inlineStr"/>
      <c r="K4987" t="inlineStr"/>
      <c r="L4987" s="2" t="n">
        <v>253144</v>
      </c>
      <c r="M4987" t="inlineStr"/>
      <c r="N4987" t="inlineStr">
        <is>
          <t>20240514800861</t>
        </is>
      </c>
      <c r="O4987">
        <f>HYPERLINK("https://dart.fss.or.kr/dsaf001/main.do?rcpNo=20240514800861", "공시열람")</f>
        <v/>
      </c>
    </row>
    <row r="4988">
      <c r="A4988" t="inlineStr">
        <is>
          <t>2024-05-14</t>
        </is>
      </c>
      <c r="B4988" t="inlineStr">
        <is>
          <t>CJ씨푸드</t>
        </is>
      </c>
      <c r="C4988" t="inlineStr">
        <is>
          <t>011150</t>
        </is>
      </c>
      <c r="D4988" t="inlineStr">
        <is>
          <t>연결</t>
        </is>
      </c>
      <c r="E4988" t="inlineStr">
        <is>
          <t>2024Q1</t>
        </is>
      </c>
      <c r="F4988" s="2" t="n">
        <v>52496</v>
      </c>
      <c r="G4988" t="n">
        <v>25.8</v>
      </c>
      <c r="H4988" t="n">
        <v>49.5</v>
      </c>
      <c r="I4988" s="2" t="n">
        <v>1333</v>
      </c>
      <c r="J4988" t="n">
        <v>-54.6</v>
      </c>
      <c r="K4988" t="n">
        <v>10161.2</v>
      </c>
      <c r="L4988" s="2" t="n">
        <v>1428</v>
      </c>
      <c r="M4988" t="inlineStr"/>
      <c r="N4988" t="inlineStr">
        <is>
          <t>20240514800528</t>
        </is>
      </c>
      <c r="O4988">
        <f>HYPERLINK("https://dart.fss.or.kr/dsaf001/main.do?rcpNo=20240514800528", "공시열람")</f>
        <v/>
      </c>
    </row>
    <row r="4989">
      <c r="A4989" t="inlineStr">
        <is>
          <t>2024-05-14</t>
        </is>
      </c>
      <c r="B4989" t="inlineStr">
        <is>
          <t>코리안리</t>
        </is>
      </c>
      <c r="C4989" t="inlineStr">
        <is>
          <t>003690</t>
        </is>
      </c>
      <c r="D4989" t="inlineStr">
        <is>
          <t>별도</t>
        </is>
      </c>
      <c r="E4989" t="inlineStr">
        <is>
          <t>2024Q1</t>
        </is>
      </c>
      <c r="F4989" s="2" t="n">
        <v>1541212</v>
      </c>
      <c r="G4989" t="n">
        <v>-11.4</v>
      </c>
      <c r="H4989" t="n">
        <v>-13.8</v>
      </c>
      <c r="I4989" s="2" t="n">
        <v>80738</v>
      </c>
      <c r="J4989" t="inlineStr"/>
      <c r="K4989" t="n">
        <v>-50.3</v>
      </c>
      <c r="L4989" s="2" t="n">
        <v>63483</v>
      </c>
      <c r="M4989" t="n">
        <v>-49.7</v>
      </c>
      <c r="N4989" t="inlineStr">
        <is>
          <t>20240514801434</t>
        </is>
      </c>
      <c r="O4989">
        <f>HYPERLINK("https://dart.fss.or.kr/dsaf001/main.do?rcpNo=20240514801434", "공시열람")</f>
        <v/>
      </c>
    </row>
    <row r="4990">
      <c r="A4990" t="inlineStr">
        <is>
          <t>2024-05-14</t>
        </is>
      </c>
      <c r="B4990" t="inlineStr">
        <is>
          <t>에이치피오</t>
        </is>
      </c>
      <c r="C4990" t="inlineStr">
        <is>
          <t>357230</t>
        </is>
      </c>
      <c r="D4990" t="inlineStr">
        <is>
          <t>연결</t>
        </is>
      </c>
      <c r="E4990" t="inlineStr">
        <is>
          <t>2024Q1</t>
        </is>
      </c>
      <c r="F4990" s="2" t="n">
        <v>58514</v>
      </c>
      <c r="G4990" t="inlineStr"/>
      <c r="H4990" t="inlineStr"/>
      <c r="I4990" s="2" t="n">
        <v>3577</v>
      </c>
      <c r="J4990" t="inlineStr"/>
      <c r="K4990" t="inlineStr"/>
      <c r="L4990" s="2" t="n">
        <v>3230</v>
      </c>
      <c r="M4990" t="inlineStr"/>
      <c r="N4990" t="inlineStr">
        <is>
          <t>20240514901216</t>
        </is>
      </c>
      <c r="O4990">
        <f>HYPERLINK("https://dart.fss.or.kr/dsaf001/main.do?rcpNo=20240514901216", "공시열람")</f>
        <v/>
      </c>
    </row>
    <row r="4991">
      <c r="A4991" t="inlineStr">
        <is>
          <t>2024-05-14</t>
        </is>
      </c>
      <c r="B4991" t="inlineStr">
        <is>
          <t>아이크래프트</t>
        </is>
      </c>
      <c r="C4991" t="inlineStr">
        <is>
          <t>052460</t>
        </is>
      </c>
      <c r="D4991" t="inlineStr">
        <is>
          <t>연결</t>
        </is>
      </c>
      <c r="E4991" t="inlineStr">
        <is>
          <t>2024Q1</t>
        </is>
      </c>
      <c r="F4991" s="2" t="n">
        <v>36309</v>
      </c>
      <c r="G4991" t="inlineStr"/>
      <c r="H4991" t="inlineStr"/>
      <c r="I4991" s="2" t="n">
        <v>3482</v>
      </c>
      <c r="J4991" t="inlineStr"/>
      <c r="K4991" t="inlineStr"/>
      <c r="L4991" s="2" t="n">
        <v>3187</v>
      </c>
      <c r="M4991" t="inlineStr"/>
      <c r="N4991" t="inlineStr">
        <is>
          <t>20240514901069</t>
        </is>
      </c>
      <c r="O4991">
        <f>HYPERLINK("https://dart.fss.or.kr/dsaf001/main.do?rcpNo=20240514901069", "공시열람")</f>
        <v/>
      </c>
    </row>
    <row r="4992">
      <c r="A4992" t="inlineStr">
        <is>
          <t>2024-05-14</t>
        </is>
      </c>
      <c r="B4992" t="inlineStr">
        <is>
          <t>아이크래프트</t>
        </is>
      </c>
      <c r="C4992" t="inlineStr">
        <is>
          <t>052460</t>
        </is>
      </c>
      <c r="D4992" t="inlineStr">
        <is>
          <t>별도</t>
        </is>
      </c>
      <c r="E4992" t="inlineStr">
        <is>
          <t>2024Q1</t>
        </is>
      </c>
      <c r="F4992" s="2" t="n">
        <v>33564</v>
      </c>
      <c r="G4992" t="inlineStr"/>
      <c r="H4992" t="inlineStr"/>
      <c r="I4992" s="2" t="n">
        <v>3221</v>
      </c>
      <c r="J4992" t="inlineStr"/>
      <c r="K4992" t="inlineStr"/>
      <c r="L4992" s="2" t="n">
        <v>3137</v>
      </c>
      <c r="M4992" t="inlineStr"/>
      <c r="N4992" t="inlineStr">
        <is>
          <t>20240514901064</t>
        </is>
      </c>
      <c r="O4992">
        <f>HYPERLINK("https://dart.fss.or.kr/dsaf001/main.do?rcpNo=20240514901064", "공시열람")</f>
        <v/>
      </c>
    </row>
    <row r="4993">
      <c r="A4993" t="inlineStr">
        <is>
          <t>2024-05-14</t>
        </is>
      </c>
      <c r="B4993" t="inlineStr">
        <is>
          <t>옵티시스</t>
        </is>
      </c>
      <c r="C4993" t="inlineStr">
        <is>
          <t>109080</t>
        </is>
      </c>
      <c r="D4993" t="inlineStr">
        <is>
          <t>별도</t>
        </is>
      </c>
      <c r="E4993" t="inlineStr">
        <is>
          <t>2024Q1</t>
        </is>
      </c>
      <c r="F4993" s="2" t="n">
        <v>4700</v>
      </c>
      <c r="G4993" t="inlineStr"/>
      <c r="H4993" t="inlineStr"/>
      <c r="I4993" s="2" t="n">
        <v>-343</v>
      </c>
      <c r="J4993" t="inlineStr"/>
      <c r="K4993" t="inlineStr"/>
      <c r="L4993" s="2" t="n">
        <v>366</v>
      </c>
      <c r="M4993" t="inlineStr"/>
      <c r="N4993" t="inlineStr">
        <is>
          <t>20240514900899</t>
        </is>
      </c>
      <c r="O4993">
        <f>HYPERLINK("https://dart.fss.or.kr/dsaf001/main.do?rcpNo=20240514900899", "공시열람")</f>
        <v/>
      </c>
    </row>
    <row r="4994">
      <c r="A4994" t="inlineStr">
        <is>
          <t>2024-05-14</t>
        </is>
      </c>
      <c r="B4994" t="inlineStr">
        <is>
          <t>코스맥스비티아이</t>
        </is>
      </c>
      <c r="C4994" t="inlineStr">
        <is>
          <t>044820</t>
        </is>
      </c>
      <c r="D4994" t="inlineStr">
        <is>
          <t>연결</t>
        </is>
      </c>
      <c r="E4994" t="inlineStr">
        <is>
          <t>2024Q1</t>
        </is>
      </c>
      <c r="F4994" s="2" t="n">
        <v>140241</v>
      </c>
      <c r="G4994" t="n">
        <v>-10</v>
      </c>
      <c r="H4994" t="n">
        <v>-6.2</v>
      </c>
      <c r="I4994" s="2" t="n">
        <v>2151</v>
      </c>
      <c r="J4994" t="n">
        <v>-34.4</v>
      </c>
      <c r="K4994" t="n">
        <v>0.6</v>
      </c>
      <c r="L4994" s="2" t="n">
        <v>-4386</v>
      </c>
      <c r="M4994" t="n">
        <v>-7.5</v>
      </c>
      <c r="N4994" t="inlineStr">
        <is>
          <t>20240514800863</t>
        </is>
      </c>
      <c r="O4994">
        <f>HYPERLINK("https://dart.fss.or.kr/dsaf001/main.do?rcpNo=20240514800863", "공시열람")</f>
        <v/>
      </c>
    </row>
    <row r="4995">
      <c r="A4995" t="inlineStr">
        <is>
          <t>2024-05-14</t>
        </is>
      </c>
      <c r="B4995" t="inlineStr">
        <is>
          <t>메리츠금융지주</t>
        </is>
      </c>
      <c r="C4995" t="inlineStr">
        <is>
          <t>138040</t>
        </is>
      </c>
      <c r="D4995" t="inlineStr">
        <is>
          <t>연결</t>
        </is>
      </c>
      <c r="E4995" t="inlineStr">
        <is>
          <t>2024Q1</t>
        </is>
      </c>
      <c r="F4995" s="2" t="n">
        <v>12563850</v>
      </c>
      <c r="G4995" t="n">
        <v>-17.4</v>
      </c>
      <c r="H4995" t="n">
        <v>-28.2</v>
      </c>
      <c r="I4995" s="2" t="n">
        <v>770786</v>
      </c>
      <c r="J4995" t="n">
        <v>38.1</v>
      </c>
      <c r="K4995" t="n">
        <v>-4.5</v>
      </c>
      <c r="L4995" s="2" t="n">
        <v>591290</v>
      </c>
      <c r="M4995" t="n">
        <v>-2.1</v>
      </c>
      <c r="N4995" t="inlineStr">
        <is>
          <t>20240514800771</t>
        </is>
      </c>
      <c r="O4995">
        <f>HYPERLINK("https://dart.fss.or.kr/dsaf001/main.do?rcpNo=20240514800771", "공시열람")</f>
        <v/>
      </c>
    </row>
    <row r="4996">
      <c r="A4996" t="inlineStr">
        <is>
          <t>2024-05-14</t>
        </is>
      </c>
      <c r="B4996" t="inlineStr">
        <is>
          <t>메리츠금융지주</t>
        </is>
      </c>
      <c r="C4996" t="inlineStr">
        <is>
          <t>138040</t>
        </is>
      </c>
      <c r="D4996" t="inlineStr">
        <is>
          <t>연결</t>
        </is>
      </c>
      <c r="E4996" t="inlineStr">
        <is>
          <t>2024Q1</t>
        </is>
      </c>
      <c r="F4996" s="2" t="n">
        <v>9581858</v>
      </c>
      <c r="G4996" t="n">
        <v>-27.85</v>
      </c>
      <c r="H4996" t="n">
        <v>-34.48</v>
      </c>
      <c r="I4996" s="2" t="n">
        <v>155655</v>
      </c>
      <c r="J4996" t="n">
        <v>-43.7</v>
      </c>
      <c r="K4996" t="n">
        <v>-35.06</v>
      </c>
      <c r="L4996" s="2" t="n">
        <v>126546</v>
      </c>
      <c r="M4996" t="n">
        <v>-36.68</v>
      </c>
      <c r="N4996" t="inlineStr">
        <is>
          <t>20240514800761</t>
        </is>
      </c>
      <c r="O4996">
        <f>HYPERLINK("https://dart.fss.or.kr/dsaf001/main.do?rcpNo=20240514800761", "공시열람")</f>
        <v/>
      </c>
    </row>
    <row r="4997">
      <c r="A4997" t="inlineStr">
        <is>
          <t>2024-05-14</t>
        </is>
      </c>
      <c r="B4997" t="inlineStr">
        <is>
          <t>메리츠금융지주</t>
        </is>
      </c>
      <c r="C4997" t="inlineStr">
        <is>
          <t>138040</t>
        </is>
      </c>
      <c r="D4997" t="inlineStr">
        <is>
          <t>별도</t>
        </is>
      </c>
      <c r="E4997" t="inlineStr">
        <is>
          <t>2024Q1</t>
        </is>
      </c>
      <c r="F4997" s="2" t="n">
        <v>2912896</v>
      </c>
      <c r="G4997" t="n">
        <v>6.6</v>
      </c>
      <c r="H4997" t="n">
        <v>7.7</v>
      </c>
      <c r="I4997" s="2" t="n">
        <v>660648</v>
      </c>
      <c r="J4997" t="n">
        <v>81.7</v>
      </c>
      <c r="K4997" t="n">
        <v>21.5</v>
      </c>
      <c r="L4997" s="2" t="n">
        <v>490864</v>
      </c>
      <c r="M4997" t="n">
        <v>23.8</v>
      </c>
      <c r="N4997" t="inlineStr">
        <is>
          <t>20240514800751</t>
        </is>
      </c>
      <c r="O4997">
        <f>HYPERLINK("https://dart.fss.or.kr/dsaf001/main.do?rcpNo=20240514800751", "공시열람")</f>
        <v/>
      </c>
    </row>
    <row r="4998">
      <c r="A4998" t="inlineStr">
        <is>
          <t>2024-05-14</t>
        </is>
      </c>
      <c r="B4998" t="inlineStr">
        <is>
          <t>서울반도체</t>
        </is>
      </c>
      <c r="C4998" t="inlineStr">
        <is>
          <t>046890</t>
        </is>
      </c>
      <c r="D4998" t="inlineStr">
        <is>
          <t>연결</t>
        </is>
      </c>
      <c r="E4998" t="inlineStr">
        <is>
          <t>2024Q1</t>
        </is>
      </c>
      <c r="F4998" s="2" t="n">
        <v>241619</v>
      </c>
      <c r="G4998" t="inlineStr"/>
      <c r="H4998" t="inlineStr"/>
      <c r="I4998" s="2" t="n">
        <v>-3623</v>
      </c>
      <c r="J4998" t="inlineStr"/>
      <c r="K4998" t="inlineStr"/>
      <c r="L4998" s="2" t="n">
        <v>-5441</v>
      </c>
      <c r="M4998" t="inlineStr"/>
      <c r="N4998" t="inlineStr">
        <is>
          <t>20240514900674</t>
        </is>
      </c>
      <c r="O4998">
        <f>HYPERLINK("https://dart.fss.or.kr/dsaf001/main.do?rcpNo=20240514900674", "공시열람")</f>
        <v/>
      </c>
    </row>
    <row r="4999">
      <c r="A4999" t="inlineStr">
        <is>
          <t>2024-05-13</t>
        </is>
      </c>
      <c r="B4999" t="inlineStr">
        <is>
          <t>젝시믹스</t>
        </is>
      </c>
      <c r="C4999" t="inlineStr">
        <is>
          <t>337930</t>
        </is>
      </c>
      <c r="D4999" t="inlineStr">
        <is>
          <t>별도</t>
        </is>
      </c>
      <c r="E4999" t="inlineStr">
        <is>
          <t>2024Q1</t>
        </is>
      </c>
      <c r="F4999" s="2" t="n">
        <v>48988</v>
      </c>
      <c r="G4999" t="inlineStr"/>
      <c r="H4999" t="inlineStr"/>
      <c r="I4999" s="2" t="n">
        <v>3685</v>
      </c>
      <c r="J4999" t="inlineStr"/>
      <c r="K4999" t="inlineStr"/>
      <c r="L4999" s="2" t="n">
        <v>2779</v>
      </c>
      <c r="M4999" t="inlineStr"/>
      <c r="N4999" t="inlineStr">
        <is>
          <t>20240513900159</t>
        </is>
      </c>
      <c r="O4999">
        <f>HYPERLINK("https://dart.fss.or.kr/dsaf001/main.do?rcpNo=20240513900159", "공시열람")</f>
        <v/>
      </c>
    </row>
    <row r="5000">
      <c r="A5000" t="inlineStr">
        <is>
          <t>2024-05-13</t>
        </is>
      </c>
      <c r="B5000" t="inlineStr">
        <is>
          <t>아비코전자</t>
        </is>
      </c>
      <c r="C5000" t="inlineStr">
        <is>
          <t>036010</t>
        </is>
      </c>
      <c r="D5000" t="inlineStr">
        <is>
          <t>연결</t>
        </is>
      </c>
      <c r="E5000" t="inlineStr">
        <is>
          <t>2024Q1</t>
        </is>
      </c>
      <c r="F5000" s="2" t="n">
        <v>29598</v>
      </c>
      <c r="G5000" t="inlineStr"/>
      <c r="H5000" t="inlineStr"/>
      <c r="I5000" s="2" t="n">
        <v>-1545</v>
      </c>
      <c r="J5000" t="inlineStr"/>
      <c r="K5000" t="inlineStr"/>
      <c r="L5000" s="2" t="n">
        <v>-346</v>
      </c>
      <c r="M5000" t="inlineStr"/>
      <c r="N5000" t="inlineStr">
        <is>
          <t>20240513900125</t>
        </is>
      </c>
      <c r="O5000">
        <f>HYPERLINK("https://dart.fss.or.kr/dsaf001/main.do?rcpNo=20240513900125", "공시열람")</f>
        <v/>
      </c>
    </row>
    <row r="5001">
      <c r="A5001" t="inlineStr">
        <is>
          <t>2024-05-13</t>
        </is>
      </c>
      <c r="B5001" t="inlineStr">
        <is>
          <t>동양생명</t>
        </is>
      </c>
      <c r="C5001" t="inlineStr">
        <is>
          <t>082640</t>
        </is>
      </c>
      <c r="D5001" t="inlineStr">
        <is>
          <t>연결</t>
        </is>
      </c>
      <c r="E5001" t="inlineStr">
        <is>
          <t>2024Q1</t>
        </is>
      </c>
      <c r="F5001" s="2" t="n">
        <v>961297</v>
      </c>
      <c r="G5001" t="n">
        <v>25.62</v>
      </c>
      <c r="H5001" t="n">
        <v>-11.45</v>
      </c>
      <c r="I5001" s="2" t="n">
        <v>99706</v>
      </c>
      <c r="J5001" t="n">
        <v>25.26</v>
      </c>
      <c r="K5001" t="n">
        <v>-47.29</v>
      </c>
      <c r="L5001" s="2" t="n">
        <v>82672</v>
      </c>
      <c r="M5001" t="n">
        <v>-44.73</v>
      </c>
      <c r="N5001" t="inlineStr">
        <is>
          <t>20240513800775</t>
        </is>
      </c>
      <c r="O5001">
        <f>HYPERLINK("https://dart.fss.or.kr/dsaf001/main.do?rcpNo=20240513800775", "공시열람")</f>
        <v/>
      </c>
    </row>
    <row r="5002">
      <c r="A5002" t="inlineStr">
        <is>
          <t>2024-05-13</t>
        </is>
      </c>
      <c r="B5002" t="inlineStr">
        <is>
          <t>이스트소프트</t>
        </is>
      </c>
      <c r="C5002" t="inlineStr">
        <is>
          <t>047560</t>
        </is>
      </c>
      <c r="D5002" t="inlineStr">
        <is>
          <t>연결</t>
        </is>
      </c>
      <c r="E5002" t="inlineStr">
        <is>
          <t>2024Q1</t>
        </is>
      </c>
      <c r="F5002" s="2" t="n">
        <v>25682</v>
      </c>
      <c r="G5002" t="inlineStr"/>
      <c r="H5002" t="inlineStr"/>
      <c r="I5002" s="2" t="n">
        <v>-2037</v>
      </c>
      <c r="J5002" t="inlineStr"/>
      <c r="K5002" t="inlineStr"/>
      <c r="L5002" s="2" t="n">
        <v>-5437</v>
      </c>
      <c r="M5002" t="inlineStr"/>
      <c r="N5002" t="inlineStr">
        <is>
          <t>20240513900198</t>
        </is>
      </c>
      <c r="O5002">
        <f>HYPERLINK("https://dart.fss.or.kr/dsaf001/main.do?rcpNo=20240513900198", "공시열람")</f>
        <v/>
      </c>
    </row>
    <row r="5003">
      <c r="A5003" t="inlineStr">
        <is>
          <t>2024-05-13</t>
        </is>
      </c>
      <c r="B5003" t="inlineStr">
        <is>
          <t>동양생명</t>
        </is>
      </c>
      <c r="C5003" t="inlineStr">
        <is>
          <t>082640</t>
        </is>
      </c>
      <c r="D5003" t="inlineStr">
        <is>
          <t>별도</t>
        </is>
      </c>
      <c r="E5003" t="inlineStr">
        <is>
          <t>2024Q1</t>
        </is>
      </c>
      <c r="F5003" s="2" t="n">
        <v>951366</v>
      </c>
      <c r="G5003" t="n">
        <v>25.86</v>
      </c>
      <c r="H5003" t="n">
        <v>-11.81</v>
      </c>
      <c r="I5003" s="2" t="n">
        <v>105507</v>
      </c>
      <c r="J5003" t="n">
        <v>24.09</v>
      </c>
      <c r="K5003" t="n">
        <v>-46.2</v>
      </c>
      <c r="L5003" s="2" t="n">
        <v>88485</v>
      </c>
      <c r="M5003" t="n">
        <v>-43.46</v>
      </c>
      <c r="N5003" t="inlineStr">
        <is>
          <t>20240513800773</t>
        </is>
      </c>
      <c r="O5003">
        <f>HYPERLINK("https://dart.fss.or.kr/dsaf001/main.do?rcpNo=20240513800773", "공시열람")</f>
        <v/>
      </c>
    </row>
    <row r="5004">
      <c r="A5004" t="inlineStr">
        <is>
          <t>2024-05-13</t>
        </is>
      </c>
      <c r="B5004" t="inlineStr">
        <is>
          <t>젝시믹스</t>
        </is>
      </c>
      <c r="C5004" t="inlineStr">
        <is>
          <t>337930</t>
        </is>
      </c>
      <c r="D5004" t="inlineStr">
        <is>
          <t>연결</t>
        </is>
      </c>
      <c r="E5004" t="inlineStr">
        <is>
          <t>2024Q1</t>
        </is>
      </c>
      <c r="F5004" s="2" t="n">
        <v>53155</v>
      </c>
      <c r="G5004" t="inlineStr"/>
      <c r="H5004" t="inlineStr"/>
      <c r="I5004" s="2" t="n">
        <v>3390</v>
      </c>
      <c r="J5004" t="inlineStr"/>
      <c r="K5004" t="inlineStr"/>
      <c r="L5004" s="2" t="n">
        <v>2655</v>
      </c>
      <c r="M5004" t="inlineStr"/>
      <c r="N5004" t="inlineStr">
        <is>
          <t>20240513900155</t>
        </is>
      </c>
      <c r="O5004">
        <f>HYPERLINK("https://dart.fss.or.kr/dsaf001/main.do?rcpNo=20240513900155", "공시열람")</f>
        <v/>
      </c>
    </row>
    <row r="5005">
      <c r="A5005" t="inlineStr">
        <is>
          <t>2024-05-13</t>
        </is>
      </c>
      <c r="B5005" t="inlineStr">
        <is>
          <t>코스맥스</t>
        </is>
      </c>
      <c r="C5005" t="inlineStr">
        <is>
          <t>192820</t>
        </is>
      </c>
      <c r="D5005" t="inlineStr">
        <is>
          <t>연결</t>
        </is>
      </c>
      <c r="E5005" t="inlineStr">
        <is>
          <t>2024Q1</t>
        </is>
      </c>
      <c r="F5005" s="2" t="n">
        <v>526802</v>
      </c>
      <c r="G5005" t="n">
        <v>20.6</v>
      </c>
      <c r="H5005" t="n">
        <v>30.6</v>
      </c>
      <c r="I5005" s="2" t="n">
        <v>45453</v>
      </c>
      <c r="J5005" t="n">
        <v>101.8</v>
      </c>
      <c r="K5005" t="n">
        <v>229.1</v>
      </c>
      <c r="L5005" s="2" t="n">
        <v>19618</v>
      </c>
      <c r="M5005" t="n">
        <v>2654.3</v>
      </c>
      <c r="N5005" t="inlineStr">
        <is>
          <t>20240513800053</t>
        </is>
      </c>
      <c r="O5005">
        <f>HYPERLINK("https://dart.fss.or.kr/dsaf001/main.do?rcpNo=20240513800053", "공시열람")</f>
        <v/>
      </c>
    </row>
    <row r="5006">
      <c r="A5006" t="inlineStr">
        <is>
          <t>2024-05-13</t>
        </is>
      </c>
      <c r="B5006" t="inlineStr">
        <is>
          <t>한전KPS</t>
        </is>
      </c>
      <c r="C5006" t="inlineStr">
        <is>
          <t>051600</t>
        </is>
      </c>
      <c r="D5006" t="inlineStr">
        <is>
          <t>연결</t>
        </is>
      </c>
      <c r="E5006" t="inlineStr">
        <is>
          <t>2024Q1</t>
        </is>
      </c>
      <c r="F5006" s="2" t="n">
        <v>342849</v>
      </c>
      <c r="G5006" t="n">
        <v>-22.2</v>
      </c>
      <c r="H5006" t="n">
        <v>-2.4</v>
      </c>
      <c r="I5006" s="2" t="n">
        <v>52242</v>
      </c>
      <c r="J5006" t="n">
        <v>-11.8</v>
      </c>
      <c r="K5006" t="n">
        <v>-4.9</v>
      </c>
      <c r="L5006" s="2" t="n">
        <v>43556</v>
      </c>
      <c r="M5006" t="n">
        <v>-5.3</v>
      </c>
      <c r="N5006" t="inlineStr">
        <is>
          <t>20240513800308</t>
        </is>
      </c>
      <c r="O5006">
        <f>HYPERLINK("https://dart.fss.or.kr/dsaf001/main.do?rcpNo=20240513800308", "공시열람")</f>
        <v/>
      </c>
    </row>
    <row r="5007">
      <c r="A5007" t="inlineStr">
        <is>
          <t>2024-05-13</t>
        </is>
      </c>
      <c r="B5007" t="inlineStr">
        <is>
          <t>한국가스공사</t>
        </is>
      </c>
      <c r="C5007" t="inlineStr">
        <is>
          <t>036460</t>
        </is>
      </c>
      <c r="D5007" t="inlineStr">
        <is>
          <t>연결</t>
        </is>
      </c>
      <c r="E5007" t="inlineStr">
        <is>
          <t>2024Q1</t>
        </is>
      </c>
      <c r="F5007" s="2" t="n">
        <v>12810655</v>
      </c>
      <c r="G5007" t="n">
        <v>20.8</v>
      </c>
      <c r="H5007" t="n">
        <v>-28.6</v>
      </c>
      <c r="I5007" s="2" t="n">
        <v>921577</v>
      </c>
      <c r="J5007" t="n">
        <v>74</v>
      </c>
      <c r="K5007" t="n">
        <v>56.6</v>
      </c>
      <c r="L5007" s="2" t="n">
        <v>406925</v>
      </c>
      <c r="M5007" t="n">
        <v>191.9</v>
      </c>
      <c r="N5007" t="inlineStr">
        <is>
          <t>20240513800444</t>
        </is>
      </c>
      <c r="O5007">
        <f>HYPERLINK("https://dart.fss.or.kr/dsaf001/main.do?rcpNo=20240513800444", "공시열람")</f>
        <v/>
      </c>
    </row>
    <row r="5008">
      <c r="A5008" t="inlineStr">
        <is>
          <t>2024-05-13</t>
        </is>
      </c>
      <c r="B5008" t="inlineStr">
        <is>
          <t>광동제약</t>
        </is>
      </c>
      <c r="C5008" t="inlineStr">
        <is>
          <t>009290</t>
        </is>
      </c>
      <c r="D5008" t="inlineStr">
        <is>
          <t>연결</t>
        </is>
      </c>
      <c r="E5008" t="inlineStr">
        <is>
          <t>2024Q1</t>
        </is>
      </c>
      <c r="F5008" s="2" t="n">
        <v>412486</v>
      </c>
      <c r="G5008" t="n">
        <v>7.3</v>
      </c>
      <c r="H5008" t="n">
        <v>15.6</v>
      </c>
      <c r="I5008" s="2" t="n">
        <v>17030</v>
      </c>
      <c r="J5008" t="n">
        <v>423.4</v>
      </c>
      <c r="K5008" t="n">
        <v>7.7</v>
      </c>
      <c r="L5008" s="2" t="n">
        <v>18360</v>
      </c>
      <c r="M5008" t="n">
        <v>22.7</v>
      </c>
      <c r="N5008" t="inlineStr">
        <is>
          <t>20240513800715</t>
        </is>
      </c>
      <c r="O5008">
        <f>HYPERLINK("https://dart.fss.or.kr/dsaf001/main.do?rcpNo=20240513800715", "공시열람")</f>
        <v/>
      </c>
    </row>
    <row r="5009">
      <c r="A5009" t="inlineStr">
        <is>
          <t>2024-05-13</t>
        </is>
      </c>
      <c r="B5009" t="inlineStr">
        <is>
          <t>LX홀딩스</t>
        </is>
      </c>
      <c r="C5009" t="inlineStr">
        <is>
          <t>383800</t>
        </is>
      </c>
      <c r="D5009" t="inlineStr">
        <is>
          <t>연결</t>
        </is>
      </c>
      <c r="E5009" t="inlineStr">
        <is>
          <t>2024Q1</t>
        </is>
      </c>
      <c r="F5009" s="2" t="n">
        <v>9176</v>
      </c>
      <c r="G5009" t="n">
        <v>-6.8</v>
      </c>
      <c r="H5009" t="n">
        <v>7.3</v>
      </c>
      <c r="I5009" s="2" t="n">
        <v>48624</v>
      </c>
      <c r="J5009" t="inlineStr"/>
      <c r="K5009" t="n">
        <v>20</v>
      </c>
      <c r="L5009" s="2" t="n">
        <v>48370</v>
      </c>
      <c r="M5009" t="n">
        <v>19.5</v>
      </c>
      <c r="N5009" t="inlineStr">
        <is>
          <t>20240513800693</t>
        </is>
      </c>
      <c r="O5009">
        <f>HYPERLINK("https://dart.fss.or.kr/dsaf001/main.do?rcpNo=20240513800693", "공시열람")</f>
        <v/>
      </c>
    </row>
    <row r="5010">
      <c r="A5010" t="inlineStr">
        <is>
          <t>2024-05-13</t>
        </is>
      </c>
      <c r="B5010" t="inlineStr">
        <is>
          <t>동양생명</t>
        </is>
      </c>
      <c r="C5010" t="inlineStr">
        <is>
          <t>082640</t>
        </is>
      </c>
      <c r="D5010" t="inlineStr">
        <is>
          <t>연결</t>
        </is>
      </c>
      <c r="E5010" t="inlineStr">
        <is>
          <t>2024Q1</t>
        </is>
      </c>
      <c r="F5010" s="2" t="n">
        <v>961297</v>
      </c>
      <c r="G5010" t="n">
        <v>25.62</v>
      </c>
      <c r="H5010" t="n">
        <v>-11.45</v>
      </c>
      <c r="I5010" s="2" t="n">
        <v>99706</v>
      </c>
      <c r="J5010" t="n">
        <v>25.26</v>
      </c>
      <c r="K5010" t="n">
        <v>-47.29</v>
      </c>
      <c r="L5010" s="2" t="n">
        <v>82672</v>
      </c>
      <c r="M5010" t="n">
        <v>-44.73</v>
      </c>
      <c r="N5010" t="inlineStr">
        <is>
          <t>20240513800630</t>
        </is>
      </c>
      <c r="O5010">
        <f>HYPERLINK("https://dart.fss.or.kr/dsaf001/main.do?rcpNo=20240513800630", "공시열람")</f>
        <v/>
      </c>
    </row>
    <row r="5011">
      <c r="A5011" t="inlineStr">
        <is>
          <t>2024-05-13</t>
        </is>
      </c>
      <c r="B5011" t="inlineStr">
        <is>
          <t>동양생명</t>
        </is>
      </c>
      <c r="C5011" t="inlineStr">
        <is>
          <t>082640</t>
        </is>
      </c>
      <c r="D5011" t="inlineStr">
        <is>
          <t>별도</t>
        </is>
      </c>
      <c r="E5011" t="inlineStr">
        <is>
          <t>2024Q1</t>
        </is>
      </c>
      <c r="F5011" s="2" t="n">
        <v>951366</v>
      </c>
      <c r="G5011" t="n">
        <v>25.86</v>
      </c>
      <c r="H5011" t="n">
        <v>-11.81</v>
      </c>
      <c r="I5011" s="2" t="n">
        <v>105507</v>
      </c>
      <c r="J5011" t="n">
        <v>24.09</v>
      </c>
      <c r="K5011" t="n">
        <v>-46.2</v>
      </c>
      <c r="L5011" s="2" t="n">
        <v>88485</v>
      </c>
      <c r="M5011" t="n">
        <v>-43.46</v>
      </c>
      <c r="N5011" t="inlineStr">
        <is>
          <t>20240513800622</t>
        </is>
      </c>
      <c r="O5011">
        <f>HYPERLINK("https://dart.fss.or.kr/dsaf001/main.do?rcpNo=20240513800622", "공시열람")</f>
        <v/>
      </c>
    </row>
    <row r="5012">
      <c r="A5012" t="inlineStr">
        <is>
          <t>2024-05-13</t>
        </is>
      </c>
      <c r="B5012" t="inlineStr">
        <is>
          <t>콜마홀딩스</t>
        </is>
      </c>
      <c r="C5012" t="inlineStr">
        <is>
          <t>024720</t>
        </is>
      </c>
      <c r="D5012" t="inlineStr">
        <is>
          <t>연결</t>
        </is>
      </c>
      <c r="E5012" t="inlineStr">
        <is>
          <t>2024Q1</t>
        </is>
      </c>
      <c r="F5012" s="2" t="n">
        <v>176367</v>
      </c>
      <c r="G5012" t="n">
        <v>10.71</v>
      </c>
      <c r="H5012" t="n">
        <v>15.34</v>
      </c>
      <c r="I5012" s="2" t="n">
        <v>8827</v>
      </c>
      <c r="J5012" t="inlineStr"/>
      <c r="K5012" t="n">
        <v>14.8</v>
      </c>
      <c r="L5012" s="2" t="n">
        <v>8478</v>
      </c>
      <c r="M5012" t="n">
        <v>75.59999999999999</v>
      </c>
      <c r="N5012" t="inlineStr">
        <is>
          <t>20240513800632</t>
        </is>
      </c>
      <c r="O5012">
        <f>HYPERLINK("https://dart.fss.or.kr/dsaf001/main.do?rcpNo=20240513800632", "공시열람")</f>
        <v/>
      </c>
    </row>
    <row r="5013">
      <c r="A5013" t="inlineStr">
        <is>
          <t>2024-05-13</t>
        </is>
      </c>
      <c r="B5013" t="inlineStr">
        <is>
          <t>신성이엔지</t>
        </is>
      </c>
      <c r="C5013" t="inlineStr">
        <is>
          <t>011930</t>
        </is>
      </c>
      <c r="D5013" t="inlineStr">
        <is>
          <t>연결</t>
        </is>
      </c>
      <c r="E5013" t="inlineStr">
        <is>
          <t>2024Q1</t>
        </is>
      </c>
      <c r="F5013" s="2" t="n">
        <v>134100</v>
      </c>
      <c r="G5013" t="inlineStr"/>
      <c r="H5013" t="inlineStr"/>
      <c r="I5013" s="2" t="n">
        <v>5106</v>
      </c>
      <c r="J5013" t="inlineStr"/>
      <c r="K5013" t="inlineStr"/>
      <c r="L5013" s="2" t="n">
        <v>3597</v>
      </c>
      <c r="M5013" t="inlineStr"/>
      <c r="N5013" t="inlineStr">
        <is>
          <t>20240513800614</t>
        </is>
      </c>
      <c r="O5013">
        <f>HYPERLINK("https://dart.fss.or.kr/dsaf001/main.do?rcpNo=20240513800614", "공시열람")</f>
        <v/>
      </c>
    </row>
    <row r="5014">
      <c r="A5014" t="inlineStr">
        <is>
          <t>2024-05-13</t>
        </is>
      </c>
      <c r="B5014" t="inlineStr">
        <is>
          <t>콜마홀딩스</t>
        </is>
      </c>
      <c r="C5014" t="inlineStr">
        <is>
          <t>024720</t>
        </is>
      </c>
      <c r="D5014" t="inlineStr">
        <is>
          <t>별도</t>
        </is>
      </c>
      <c r="E5014" t="inlineStr">
        <is>
          <t>2024Q1</t>
        </is>
      </c>
      <c r="F5014" s="2" t="n">
        <v>16627</v>
      </c>
      <c r="G5014" t="n">
        <v>105.58</v>
      </c>
      <c r="H5014" t="n">
        <v>13.78</v>
      </c>
      <c r="I5014" s="2" t="n">
        <v>7284</v>
      </c>
      <c r="J5014" t="inlineStr"/>
      <c r="K5014" t="n">
        <v>22.32</v>
      </c>
      <c r="L5014" s="2" t="n">
        <v>12561</v>
      </c>
      <c r="M5014" t="n">
        <v>-54.5</v>
      </c>
      <c r="N5014" t="inlineStr">
        <is>
          <t>20240513800576</t>
        </is>
      </c>
      <c r="O5014">
        <f>HYPERLINK("https://dart.fss.or.kr/dsaf001/main.do?rcpNo=20240513800576", "공시열람")</f>
        <v/>
      </c>
    </row>
    <row r="5015">
      <c r="A5015" t="inlineStr">
        <is>
          <t>2024-05-13</t>
        </is>
      </c>
      <c r="B5015" t="inlineStr">
        <is>
          <t>와토스코리아</t>
        </is>
      </c>
      <c r="C5015" t="inlineStr">
        <is>
          <t>079000</t>
        </is>
      </c>
      <c r="D5015" t="inlineStr">
        <is>
          <t>별도</t>
        </is>
      </c>
      <c r="E5015" t="inlineStr">
        <is>
          <t>2024Q1</t>
        </is>
      </c>
      <c r="F5015" s="2" t="n">
        <v>4405</v>
      </c>
      <c r="G5015" t="inlineStr"/>
      <c r="H5015" t="inlineStr"/>
      <c r="I5015" s="2" t="n">
        <v>-277</v>
      </c>
      <c r="J5015" t="inlineStr"/>
      <c r="K5015" t="inlineStr"/>
      <c r="L5015" s="2" t="n">
        <v>477</v>
      </c>
      <c r="M5015" t="inlineStr"/>
      <c r="N5015" t="inlineStr">
        <is>
          <t>20240513900340</t>
        </is>
      </c>
      <c r="O5015">
        <f>HYPERLINK("https://dart.fss.or.kr/dsaf001/main.do?rcpNo=20240513900340", "공시열람")</f>
        <v/>
      </c>
    </row>
    <row r="5016">
      <c r="A5016" t="inlineStr">
        <is>
          <t>2024-05-13</t>
        </is>
      </c>
      <c r="B5016" t="inlineStr">
        <is>
          <t>SK네트웍스</t>
        </is>
      </c>
      <c r="C5016" t="inlineStr">
        <is>
          <t>001740</t>
        </is>
      </c>
      <c r="D5016" t="inlineStr">
        <is>
          <t>연결</t>
        </is>
      </c>
      <c r="E5016" t="inlineStr">
        <is>
          <t>2024Q1</t>
        </is>
      </c>
      <c r="F5016" s="2" t="n">
        <v>2476906</v>
      </c>
      <c r="G5016" t="n">
        <v>2.9</v>
      </c>
      <c r="H5016" t="n">
        <v>3.6</v>
      </c>
      <c r="I5016" s="2" t="n">
        <v>62410</v>
      </c>
      <c r="J5016" t="n">
        <v>23.7</v>
      </c>
      <c r="K5016" t="n">
        <v>1.5</v>
      </c>
      <c r="L5016" s="2" t="n">
        <v>7307</v>
      </c>
      <c r="M5016" t="n">
        <v>36.2</v>
      </c>
      <c r="N5016" t="inlineStr">
        <is>
          <t>20240513800462</t>
        </is>
      </c>
      <c r="O5016">
        <f>HYPERLINK("https://dart.fss.or.kr/dsaf001/main.do?rcpNo=20240513800462", "공시열람")</f>
        <v/>
      </c>
    </row>
    <row r="5017">
      <c r="A5017" t="inlineStr">
        <is>
          <t>2024-05-13</t>
        </is>
      </c>
      <c r="B5017" t="inlineStr">
        <is>
          <t>아진전자부품</t>
        </is>
      </c>
      <c r="C5017" t="inlineStr">
        <is>
          <t>009320</t>
        </is>
      </c>
      <c r="D5017" t="inlineStr">
        <is>
          <t>별도</t>
        </is>
      </c>
      <c r="E5017" t="inlineStr">
        <is>
          <t>2024Q1</t>
        </is>
      </c>
      <c r="F5017" s="2" t="n">
        <v>29473</v>
      </c>
      <c r="G5017" t="n">
        <v>-5.3</v>
      </c>
      <c r="H5017" t="n">
        <v>4.1</v>
      </c>
      <c r="I5017" s="2" t="n">
        <v>336</v>
      </c>
      <c r="J5017" t="n">
        <v>-81</v>
      </c>
      <c r="K5017" t="n">
        <v>-64.90000000000001</v>
      </c>
      <c r="L5017" s="2" t="n">
        <v>-782</v>
      </c>
      <c r="M5017" t="inlineStr"/>
      <c r="N5017" t="inlineStr">
        <is>
          <t>20240513800430</t>
        </is>
      </c>
      <c r="O5017">
        <f>HYPERLINK("https://dart.fss.or.kr/dsaf001/main.do?rcpNo=20240513800430", "공시열람")</f>
        <v/>
      </c>
    </row>
    <row r="5018">
      <c r="A5018" t="inlineStr">
        <is>
          <t>2024-05-13</t>
        </is>
      </c>
      <c r="B5018" t="inlineStr">
        <is>
          <t>케이티알파</t>
        </is>
      </c>
      <c r="C5018" t="inlineStr">
        <is>
          <t>036030</t>
        </is>
      </c>
      <c r="D5018" t="inlineStr">
        <is>
          <t>별도</t>
        </is>
      </c>
      <c r="E5018" t="inlineStr">
        <is>
          <t>2024Q1</t>
        </is>
      </c>
      <c r="F5018" s="2" t="n">
        <v>106464</v>
      </c>
      <c r="G5018" t="inlineStr"/>
      <c r="H5018" t="inlineStr"/>
      <c r="I5018" s="2" t="n">
        <v>8665</v>
      </c>
      <c r="J5018" t="inlineStr"/>
      <c r="K5018" t="inlineStr"/>
      <c r="L5018" s="2" t="n">
        <v>8235</v>
      </c>
      <c r="M5018" t="inlineStr"/>
      <c r="N5018" t="inlineStr">
        <is>
          <t>20240513900391</t>
        </is>
      </c>
      <c r="O5018">
        <f>HYPERLINK("https://dart.fss.or.kr/dsaf001/main.do?rcpNo=20240513900391", "공시열람")</f>
        <v/>
      </c>
    </row>
    <row r="5019">
      <c r="A5019" t="inlineStr">
        <is>
          <t>2024-05-13</t>
        </is>
      </c>
      <c r="B5019" t="inlineStr">
        <is>
          <t>서울바이오시스</t>
        </is>
      </c>
      <c r="C5019" t="inlineStr">
        <is>
          <t>092190</t>
        </is>
      </c>
      <c r="D5019" t="inlineStr">
        <is>
          <t>연결</t>
        </is>
      </c>
      <c r="E5019" t="inlineStr">
        <is>
          <t>2024Q1</t>
        </is>
      </c>
      <c r="F5019" s="2" t="n">
        <v>147735</v>
      </c>
      <c r="G5019" t="inlineStr"/>
      <c r="H5019" t="inlineStr"/>
      <c r="I5019" s="2" t="n">
        <v>-3981</v>
      </c>
      <c r="J5019" t="inlineStr"/>
      <c r="K5019" t="inlineStr"/>
      <c r="L5019" s="2" t="n">
        <v>-15973</v>
      </c>
      <c r="M5019" t="inlineStr"/>
      <c r="N5019" t="inlineStr">
        <is>
          <t>20240513900387</t>
        </is>
      </c>
      <c r="O5019">
        <f>HYPERLINK("https://dart.fss.or.kr/dsaf001/main.do?rcpNo=20240513900387", "공시열람")</f>
        <v/>
      </c>
    </row>
    <row r="5020">
      <c r="A5020" t="inlineStr">
        <is>
          <t>2024-05-13</t>
        </is>
      </c>
      <c r="B5020" t="inlineStr">
        <is>
          <t>쏘카</t>
        </is>
      </c>
      <c r="C5020" t="inlineStr">
        <is>
          <t>403550</t>
        </is>
      </c>
      <c r="D5020" t="inlineStr">
        <is>
          <t>연결</t>
        </is>
      </c>
      <c r="E5020" t="inlineStr">
        <is>
          <t>2024Q1</t>
        </is>
      </c>
      <c r="F5020" s="2" t="n">
        <v>90575</v>
      </c>
      <c r="G5020" t="n">
        <v>-5.8</v>
      </c>
      <c r="H5020" t="n">
        <v>5.7</v>
      </c>
      <c r="I5020" s="2" t="n">
        <v>-10759</v>
      </c>
      <c r="J5020" t="n">
        <v>-290.4</v>
      </c>
      <c r="K5020" t="n">
        <v>-115.8</v>
      </c>
      <c r="L5020" s="2" t="n">
        <v>-16743</v>
      </c>
      <c r="M5020" t="n">
        <v>-56</v>
      </c>
      <c r="N5020" t="inlineStr">
        <is>
          <t>20240513800357</t>
        </is>
      </c>
      <c r="O5020">
        <f>HYPERLINK("https://dart.fss.or.kr/dsaf001/main.do?rcpNo=20240513800357", "공시열람")</f>
        <v/>
      </c>
    </row>
    <row r="5021">
      <c r="A5021" t="inlineStr">
        <is>
          <t>2024-05-13</t>
        </is>
      </c>
      <c r="B5021" t="inlineStr">
        <is>
          <t>롯데칠성음료</t>
        </is>
      </c>
      <c r="C5021" t="inlineStr">
        <is>
          <t>005300</t>
        </is>
      </c>
      <c r="D5021" t="inlineStr">
        <is>
          <t>연결</t>
        </is>
      </c>
      <c r="E5021" t="inlineStr">
        <is>
          <t>2024Q1</t>
        </is>
      </c>
      <c r="F5021" s="2" t="n">
        <v>936891</v>
      </c>
      <c r="G5021" t="n">
        <v>2</v>
      </c>
      <c r="H5021" t="n">
        <v>37.8</v>
      </c>
      <c r="I5021" s="2" t="n">
        <v>36760</v>
      </c>
      <c r="J5021" t="n">
        <v>361.9</v>
      </c>
      <c r="K5021" t="n">
        <v>-38</v>
      </c>
      <c r="L5021" s="2" t="n">
        <v>16132</v>
      </c>
      <c r="M5021" t="n">
        <v>-47</v>
      </c>
      <c r="N5021" t="inlineStr">
        <is>
          <t>20240513800429</t>
        </is>
      </c>
      <c r="O5021">
        <f>HYPERLINK("https://dart.fss.or.kr/dsaf001/main.do?rcpNo=20240513800429", "공시열람")</f>
        <v/>
      </c>
    </row>
    <row r="5022">
      <c r="A5022" t="inlineStr">
        <is>
          <t>2024-05-10</t>
        </is>
      </c>
      <c r="B5022" t="inlineStr">
        <is>
          <t>잉글우드랩</t>
        </is>
      </c>
      <c r="C5022" t="inlineStr">
        <is>
          <t>950140</t>
        </is>
      </c>
      <c r="D5022" t="inlineStr">
        <is>
          <t>연결</t>
        </is>
      </c>
      <c r="E5022" t="inlineStr">
        <is>
          <t>2024Q1</t>
        </is>
      </c>
      <c r="F5022" s="2" t="n">
        <v>52585</v>
      </c>
      <c r="G5022" t="inlineStr"/>
      <c r="H5022" t="inlineStr"/>
      <c r="I5022" s="2" t="n">
        <v>6624</v>
      </c>
      <c r="J5022" t="inlineStr"/>
      <c r="K5022" t="inlineStr"/>
      <c r="L5022" s="2" t="n">
        <v>6617</v>
      </c>
      <c r="M5022" t="inlineStr"/>
      <c r="N5022" t="inlineStr">
        <is>
          <t>20240510900460</t>
        </is>
      </c>
      <c r="O5022">
        <f>HYPERLINK("https://dart.fss.or.kr/dsaf001/main.do?rcpNo=20240510900460", "공시열람")</f>
        <v/>
      </c>
    </row>
    <row r="5023">
      <c r="A5023" t="inlineStr">
        <is>
          <t>2024-05-10</t>
        </is>
      </c>
      <c r="B5023" t="inlineStr">
        <is>
          <t>파마리서치</t>
        </is>
      </c>
      <c r="C5023" t="inlineStr">
        <is>
          <t>214450</t>
        </is>
      </c>
      <c r="D5023" t="inlineStr">
        <is>
          <t>연결</t>
        </is>
      </c>
      <c r="E5023" t="inlineStr">
        <is>
          <t>2024Q1</t>
        </is>
      </c>
      <c r="F5023" s="2" t="n">
        <v>74717</v>
      </c>
      <c r="G5023" t="n">
        <v>6.8</v>
      </c>
      <c r="H5023" t="n">
        <v>34.8</v>
      </c>
      <c r="I5023" s="2" t="n">
        <v>26668</v>
      </c>
      <c r="J5023" t="n">
        <v>30.9</v>
      </c>
      <c r="K5023" t="n">
        <v>28.6</v>
      </c>
      <c r="L5023" s="2" t="n">
        <v>18305</v>
      </c>
      <c r="M5023" t="n">
        <v>-0.1</v>
      </c>
      <c r="N5023" t="inlineStr">
        <is>
          <t>20240510900321</t>
        </is>
      </c>
      <c r="O5023">
        <f>HYPERLINK("https://dart.fss.or.kr/dsaf001/main.do?rcpNo=20240510900321", "공시열람")</f>
        <v/>
      </c>
    </row>
    <row r="5024">
      <c r="A5024" t="inlineStr">
        <is>
          <t>2024-05-10</t>
        </is>
      </c>
      <c r="B5024" t="inlineStr">
        <is>
          <t>한국전력공사</t>
        </is>
      </c>
      <c r="C5024" t="inlineStr">
        <is>
          <t>015760</t>
        </is>
      </c>
      <c r="D5024" t="inlineStr">
        <is>
          <t>연결</t>
        </is>
      </c>
      <c r="E5024" t="inlineStr">
        <is>
          <t>2024Q1</t>
        </is>
      </c>
      <c r="F5024" s="2" t="n">
        <v>23292743</v>
      </c>
      <c r="G5024" t="n">
        <v>3.4</v>
      </c>
      <c r="H5024" t="n">
        <v>7.9</v>
      </c>
      <c r="I5024" s="2" t="n">
        <v>1299343</v>
      </c>
      <c r="J5024" t="n">
        <v>-32</v>
      </c>
      <c r="K5024" t="inlineStr"/>
      <c r="L5024" s="2" t="n">
        <v>595935</v>
      </c>
      <c r="M5024" t="inlineStr"/>
      <c r="N5024" t="inlineStr">
        <is>
          <t>20240510800315</t>
        </is>
      </c>
      <c r="O5024">
        <f>HYPERLINK("https://dart.fss.or.kr/dsaf001/main.do?rcpNo=20240510800315", "공시열람")</f>
        <v/>
      </c>
    </row>
    <row r="5025">
      <c r="A5025" t="inlineStr">
        <is>
          <t>2024-05-10</t>
        </is>
      </c>
      <c r="B5025" t="inlineStr">
        <is>
          <t>케어젠</t>
        </is>
      </c>
      <c r="C5025" t="inlineStr">
        <is>
          <t>214370</t>
        </is>
      </c>
      <c r="D5025" t="inlineStr">
        <is>
          <t>연결</t>
        </is>
      </c>
      <c r="E5025" t="inlineStr">
        <is>
          <t>2024Q1</t>
        </is>
      </c>
      <c r="F5025" s="2" t="n">
        <v>20449</v>
      </c>
      <c r="G5025" t="inlineStr"/>
      <c r="H5025" t="inlineStr"/>
      <c r="I5025" s="2" t="n">
        <v>9251</v>
      </c>
      <c r="J5025" t="inlineStr"/>
      <c r="K5025" t="inlineStr"/>
      <c r="L5025" s="2" t="n">
        <v>9522</v>
      </c>
      <c r="M5025" t="inlineStr"/>
      <c r="N5025" t="inlineStr">
        <is>
          <t>20240510900322</t>
        </is>
      </c>
      <c r="O5025">
        <f>HYPERLINK("https://dart.fss.or.kr/dsaf001/main.do?rcpNo=20240510900322", "공시열람")</f>
        <v/>
      </c>
    </row>
    <row r="5026">
      <c r="A5026" t="inlineStr">
        <is>
          <t>2024-05-10</t>
        </is>
      </c>
      <c r="B5026" t="inlineStr">
        <is>
          <t>한전기술</t>
        </is>
      </c>
      <c r="C5026" t="inlineStr">
        <is>
          <t>052690</t>
        </is>
      </c>
      <c r="D5026" t="inlineStr">
        <is>
          <t>연결</t>
        </is>
      </c>
      <c r="E5026" t="inlineStr">
        <is>
          <t>2024Q1</t>
        </is>
      </c>
      <c r="F5026" s="2" t="n">
        <v>127615</v>
      </c>
      <c r="G5026" t="n">
        <v>-35.3</v>
      </c>
      <c r="H5026" t="n">
        <v>17.7</v>
      </c>
      <c r="I5026" s="2" t="n">
        <v>9125</v>
      </c>
      <c r="J5026" t="n">
        <v>328.2</v>
      </c>
      <c r="K5026" t="n">
        <v>-9.199999999999999</v>
      </c>
      <c r="L5026" s="2" t="n">
        <v>8647</v>
      </c>
      <c r="M5026" t="n">
        <v>-2.3</v>
      </c>
      <c r="N5026" t="inlineStr">
        <is>
          <t>20240510800374</t>
        </is>
      </c>
      <c r="O5026">
        <f>HYPERLINK("https://dart.fss.or.kr/dsaf001/main.do?rcpNo=20240510800374", "공시열람")</f>
        <v/>
      </c>
    </row>
    <row r="5027">
      <c r="A5027" t="inlineStr">
        <is>
          <t>2024-05-10</t>
        </is>
      </c>
      <c r="B5027" t="inlineStr">
        <is>
          <t>비엠티</t>
        </is>
      </c>
      <c r="C5027" t="inlineStr">
        <is>
          <t>086670</t>
        </is>
      </c>
      <c r="D5027" t="inlineStr">
        <is>
          <t>별도</t>
        </is>
      </c>
      <c r="E5027" t="inlineStr">
        <is>
          <t>2024Q1</t>
        </is>
      </c>
      <c r="F5027" s="2" t="n">
        <v>31283</v>
      </c>
      <c r="G5027" t="inlineStr"/>
      <c r="H5027" t="inlineStr"/>
      <c r="I5027" s="2" t="n">
        <v>2941</v>
      </c>
      <c r="J5027" t="inlineStr"/>
      <c r="K5027" t="inlineStr"/>
      <c r="L5027" s="2" t="n">
        <v>2758</v>
      </c>
      <c r="M5027" t="inlineStr"/>
      <c r="N5027" t="inlineStr">
        <is>
          <t>20240510900388</t>
        </is>
      </c>
      <c r="O5027">
        <f>HYPERLINK("https://dart.fss.or.kr/dsaf001/main.do?rcpNo=20240510900388", "공시열람")</f>
        <v/>
      </c>
    </row>
    <row r="5028">
      <c r="A5028" t="inlineStr">
        <is>
          <t>2024-05-10</t>
        </is>
      </c>
      <c r="B5028" t="inlineStr">
        <is>
          <t>비엠티</t>
        </is>
      </c>
      <c r="C5028" t="inlineStr">
        <is>
          <t>086670</t>
        </is>
      </c>
      <c r="D5028" t="inlineStr">
        <is>
          <t>연결</t>
        </is>
      </c>
      <c r="E5028" t="inlineStr">
        <is>
          <t>2024Q1</t>
        </is>
      </c>
      <c r="F5028" s="2" t="n">
        <v>31285</v>
      </c>
      <c r="G5028" t="inlineStr"/>
      <c r="H5028" t="inlineStr"/>
      <c r="I5028" s="2" t="n">
        <v>2762</v>
      </c>
      <c r="J5028" t="inlineStr"/>
      <c r="K5028" t="inlineStr"/>
      <c r="L5028" s="2" t="n">
        <v>2552</v>
      </c>
      <c r="M5028" t="inlineStr"/>
      <c r="N5028" t="inlineStr">
        <is>
          <t>20240510900389</t>
        </is>
      </c>
      <c r="O5028">
        <f>HYPERLINK("https://dart.fss.or.kr/dsaf001/main.do?rcpNo=20240510900389", "공시열람")</f>
        <v/>
      </c>
    </row>
    <row r="5029">
      <c r="A5029" t="inlineStr">
        <is>
          <t>2024-05-10</t>
        </is>
      </c>
      <c r="B5029" t="inlineStr">
        <is>
          <t>동원산업</t>
        </is>
      </c>
      <c r="C5029" t="inlineStr">
        <is>
          <t>006040</t>
        </is>
      </c>
      <c r="D5029" t="inlineStr">
        <is>
          <t>별도</t>
        </is>
      </c>
      <c r="E5029" t="inlineStr">
        <is>
          <t>2024Q1</t>
        </is>
      </c>
      <c r="F5029" s="2" t="n">
        <v>327573</v>
      </c>
      <c r="G5029" t="inlineStr"/>
      <c r="H5029" t="inlineStr"/>
      <c r="I5029" s="2" t="n">
        <v>74929</v>
      </c>
      <c r="J5029" t="inlineStr"/>
      <c r="K5029" t="inlineStr"/>
      <c r="L5029" s="2" t="n">
        <v>72060</v>
      </c>
      <c r="M5029" t="inlineStr"/>
      <c r="N5029" t="inlineStr">
        <is>
          <t>20240510800411</t>
        </is>
      </c>
      <c r="O5029">
        <f>HYPERLINK("https://dart.fss.or.kr/dsaf001/main.do?rcpNo=20240510800411", "공시열람")</f>
        <v/>
      </c>
    </row>
    <row r="5030">
      <c r="A5030" t="inlineStr">
        <is>
          <t>2024-05-10</t>
        </is>
      </c>
      <c r="B5030" t="inlineStr">
        <is>
          <t>동원산업</t>
        </is>
      </c>
      <c r="C5030" t="inlineStr">
        <is>
          <t>006040</t>
        </is>
      </c>
      <c r="D5030" t="inlineStr">
        <is>
          <t>연결</t>
        </is>
      </c>
      <c r="E5030" t="inlineStr">
        <is>
          <t>2024Q1</t>
        </is>
      </c>
      <c r="F5030" s="2" t="n">
        <v>2241875</v>
      </c>
      <c r="G5030" t="inlineStr"/>
      <c r="H5030" t="inlineStr"/>
      <c r="I5030" s="2" t="n">
        <v>110016</v>
      </c>
      <c r="J5030" t="inlineStr"/>
      <c r="K5030" t="inlineStr"/>
      <c r="L5030" s="2" t="n">
        <v>82401</v>
      </c>
      <c r="M5030" t="inlineStr"/>
      <c r="N5030" t="inlineStr">
        <is>
          <t>20240510800410</t>
        </is>
      </c>
      <c r="O5030">
        <f>HYPERLINK("https://dart.fss.or.kr/dsaf001/main.do?rcpNo=20240510800410", "공시열람")</f>
        <v/>
      </c>
    </row>
    <row r="5031">
      <c r="A5031" t="inlineStr">
        <is>
          <t>2024-05-10</t>
        </is>
      </c>
      <c r="B5031" t="inlineStr">
        <is>
          <t>원익QnC</t>
        </is>
      </c>
      <c r="C5031" t="inlineStr">
        <is>
          <t>074600</t>
        </is>
      </c>
      <c r="D5031" t="inlineStr">
        <is>
          <t>연결</t>
        </is>
      </c>
      <c r="E5031" t="inlineStr">
        <is>
          <t>2024Q1</t>
        </is>
      </c>
      <c r="F5031" s="2" t="n">
        <v>216354</v>
      </c>
      <c r="G5031" t="inlineStr"/>
      <c r="H5031" t="inlineStr"/>
      <c r="I5031" s="2" t="n">
        <v>32504</v>
      </c>
      <c r="J5031" t="inlineStr"/>
      <c r="K5031" t="inlineStr"/>
      <c r="L5031" s="2" t="n">
        <v>22570</v>
      </c>
      <c r="M5031" t="inlineStr"/>
      <c r="N5031" t="inlineStr">
        <is>
          <t>20240510900398</t>
        </is>
      </c>
      <c r="O5031">
        <f>HYPERLINK("https://dart.fss.or.kr/dsaf001/main.do?rcpNo=20240510900398", "공시열람")</f>
        <v/>
      </c>
    </row>
    <row r="5032">
      <c r="A5032" t="inlineStr">
        <is>
          <t>2024-05-10</t>
        </is>
      </c>
      <c r="B5032" t="inlineStr">
        <is>
          <t>이니텍</t>
        </is>
      </c>
      <c r="C5032" t="inlineStr">
        <is>
          <t>053350</t>
        </is>
      </c>
      <c r="D5032" t="inlineStr">
        <is>
          <t>별도</t>
        </is>
      </c>
      <c r="E5032" t="inlineStr">
        <is>
          <t>2024Q1</t>
        </is>
      </c>
      <c r="F5032" s="2" t="n">
        <v>9044</v>
      </c>
      <c r="G5032" t="inlineStr"/>
      <c r="H5032" t="inlineStr"/>
      <c r="I5032" s="2" t="n">
        <v>11</v>
      </c>
      <c r="J5032" t="inlineStr"/>
      <c r="K5032" t="inlineStr"/>
      <c r="L5032" s="2" t="n">
        <v>526</v>
      </c>
      <c r="M5032" t="inlineStr"/>
      <c r="N5032" t="inlineStr">
        <is>
          <t>20240510900882</t>
        </is>
      </c>
      <c r="O5032">
        <f>HYPERLINK("https://dart.fss.or.kr/dsaf001/main.do?rcpNo=20240510900882", "공시열람")</f>
        <v/>
      </c>
    </row>
    <row r="5033">
      <c r="A5033" t="inlineStr">
        <is>
          <t>2024-05-10</t>
        </is>
      </c>
      <c r="B5033" t="inlineStr">
        <is>
          <t>씨젠</t>
        </is>
      </c>
      <c r="C5033" t="inlineStr">
        <is>
          <t>096530</t>
        </is>
      </c>
      <c r="D5033" t="inlineStr">
        <is>
          <t>연결</t>
        </is>
      </c>
      <c r="E5033" t="inlineStr">
        <is>
          <t>2024Q1</t>
        </is>
      </c>
      <c r="F5033" s="2" t="n">
        <v>89946</v>
      </c>
      <c r="G5033" t="inlineStr"/>
      <c r="H5033" t="inlineStr"/>
      <c r="I5033" s="2" t="n">
        <v>-14371</v>
      </c>
      <c r="J5033" t="inlineStr"/>
      <c r="K5033" t="inlineStr"/>
      <c r="L5033" s="2" t="n">
        <v>-1983</v>
      </c>
      <c r="M5033" t="inlineStr"/>
      <c r="N5033" t="inlineStr">
        <is>
          <t>20240510900481</t>
        </is>
      </c>
      <c r="O5033">
        <f>HYPERLINK("https://dart.fss.or.kr/dsaf001/main.do?rcpNo=20240510900481", "공시열람")</f>
        <v/>
      </c>
    </row>
    <row r="5034">
      <c r="A5034" t="inlineStr">
        <is>
          <t>2024-05-10</t>
        </is>
      </c>
      <c r="B5034" t="inlineStr">
        <is>
          <t>CJ CGV</t>
        </is>
      </c>
      <c r="C5034" t="inlineStr">
        <is>
          <t>079160</t>
        </is>
      </c>
      <c r="D5034" t="inlineStr">
        <is>
          <t>연결</t>
        </is>
      </c>
      <c r="E5034" t="inlineStr">
        <is>
          <t>2024Q1</t>
        </is>
      </c>
      <c r="F5034" s="2" t="n">
        <v>392946</v>
      </c>
      <c r="G5034" t="n">
        <v>14.6</v>
      </c>
      <c r="H5034" t="n">
        <v>0.2</v>
      </c>
      <c r="I5034" s="2" t="n">
        <v>4541</v>
      </c>
      <c r="J5034" t="n">
        <v>-73.09999999999999</v>
      </c>
      <c r="K5034" t="inlineStr"/>
      <c r="L5034" s="2" t="n">
        <v>-41089</v>
      </c>
      <c r="M5034" t="n">
        <v>-6.1</v>
      </c>
      <c r="N5034" t="inlineStr">
        <is>
          <t>20240510800487</t>
        </is>
      </c>
      <c r="O5034">
        <f>HYPERLINK("https://dart.fss.or.kr/dsaf001/main.do?rcpNo=20240510800487", "공시열람")</f>
        <v/>
      </c>
    </row>
    <row r="5035">
      <c r="A5035" t="inlineStr">
        <is>
          <t>2024-05-10</t>
        </is>
      </c>
      <c r="B5035" t="inlineStr">
        <is>
          <t>코스메카코리아</t>
        </is>
      </c>
      <c r="C5035" t="inlineStr">
        <is>
          <t>241710</t>
        </is>
      </c>
      <c r="D5035" t="inlineStr">
        <is>
          <t>연결</t>
        </is>
      </c>
      <c r="E5035" t="inlineStr">
        <is>
          <t>2024Q1</t>
        </is>
      </c>
      <c r="F5035" s="2" t="n">
        <v>125588</v>
      </c>
      <c r="G5035" t="inlineStr"/>
      <c r="H5035" t="inlineStr"/>
      <c r="I5035" s="2" t="n">
        <v>13730</v>
      </c>
      <c r="J5035" t="inlineStr"/>
      <c r="K5035" t="inlineStr"/>
      <c r="L5035" s="2" t="n">
        <v>12553</v>
      </c>
      <c r="M5035" t="inlineStr"/>
      <c r="N5035" t="inlineStr">
        <is>
          <t>20240510900466</t>
        </is>
      </c>
      <c r="O5035">
        <f>HYPERLINK("https://dart.fss.or.kr/dsaf001/main.do?rcpNo=20240510900466", "공시열람")</f>
        <v/>
      </c>
    </row>
    <row r="5036">
      <c r="A5036" t="inlineStr">
        <is>
          <t>2024-05-10</t>
        </is>
      </c>
      <c r="B5036" t="inlineStr">
        <is>
          <t>코웨이</t>
        </is>
      </c>
      <c r="C5036" t="inlineStr">
        <is>
          <t>021240</t>
        </is>
      </c>
      <c r="D5036" t="inlineStr">
        <is>
          <t>연결</t>
        </is>
      </c>
      <c r="E5036" t="inlineStr">
        <is>
          <t>2024Q1</t>
        </is>
      </c>
      <c r="F5036" s="2" t="n">
        <v>1001835</v>
      </c>
      <c r="G5036" t="inlineStr"/>
      <c r="H5036" t="inlineStr"/>
      <c r="I5036" s="2" t="n">
        <v>193745</v>
      </c>
      <c r="J5036" t="inlineStr"/>
      <c r="K5036" t="inlineStr"/>
      <c r="L5036" s="2" t="n">
        <v>127653</v>
      </c>
      <c r="M5036" t="inlineStr"/>
      <c r="N5036" t="inlineStr">
        <is>
          <t>20240510800519</t>
        </is>
      </c>
      <c r="O5036">
        <f>HYPERLINK("https://dart.fss.or.kr/dsaf001/main.do?rcpNo=20240510800519", "공시열람")</f>
        <v/>
      </c>
    </row>
    <row r="5037">
      <c r="A5037" t="inlineStr">
        <is>
          <t>2024-05-10</t>
        </is>
      </c>
      <c r="B5037" t="inlineStr">
        <is>
          <t>고스트스튜디오</t>
        </is>
      </c>
      <c r="C5037" t="inlineStr">
        <is>
          <t>950190</t>
        </is>
      </c>
      <c r="D5037" t="inlineStr">
        <is>
          <t>연결</t>
        </is>
      </c>
      <c r="E5037" t="inlineStr">
        <is>
          <t>2024Q1</t>
        </is>
      </c>
      <c r="F5037" s="2" t="n">
        <v>23153</v>
      </c>
      <c r="G5037" t="inlineStr"/>
      <c r="H5037" t="inlineStr"/>
      <c r="I5037" s="2" t="n">
        <v>5113</v>
      </c>
      <c r="J5037" t="inlineStr"/>
      <c r="K5037" t="inlineStr"/>
      <c r="L5037" s="2" t="n">
        <v>5085</v>
      </c>
      <c r="M5037" t="inlineStr"/>
      <c r="N5037" t="inlineStr">
        <is>
          <t>20240510900532</t>
        </is>
      </c>
      <c r="O5037">
        <f>HYPERLINK("https://dart.fss.or.kr/dsaf001/main.do?rcpNo=20240510900532", "공시열람")</f>
        <v/>
      </c>
    </row>
    <row r="5038">
      <c r="A5038" t="inlineStr">
        <is>
          <t>2024-05-10</t>
        </is>
      </c>
      <c r="B5038" t="inlineStr">
        <is>
          <t>미투온</t>
        </is>
      </c>
      <c r="C5038" t="inlineStr">
        <is>
          <t>201490</t>
        </is>
      </c>
      <c r="D5038" t="inlineStr">
        <is>
          <t>연결</t>
        </is>
      </c>
      <c r="E5038" t="inlineStr">
        <is>
          <t>2024Q1</t>
        </is>
      </c>
      <c r="F5038" s="2" t="n">
        <v>25417</v>
      </c>
      <c r="G5038" t="inlineStr"/>
      <c r="H5038" t="inlineStr"/>
      <c r="I5038" s="2" t="n">
        <v>4409</v>
      </c>
      <c r="J5038" t="inlineStr"/>
      <c r="K5038" t="inlineStr"/>
      <c r="L5038" s="2" t="n">
        <v>4401</v>
      </c>
      <c r="M5038" t="inlineStr"/>
      <c r="N5038" t="inlineStr">
        <is>
          <t>20240510900523</t>
        </is>
      </c>
      <c r="O5038">
        <f>HYPERLINK("https://dart.fss.or.kr/dsaf001/main.do?rcpNo=20240510900523", "공시열람")</f>
        <v/>
      </c>
    </row>
    <row r="5039">
      <c r="A5039" t="inlineStr">
        <is>
          <t>2024-05-10</t>
        </is>
      </c>
      <c r="B5039" t="inlineStr">
        <is>
          <t>현대지에프홀딩스</t>
        </is>
      </c>
      <c r="C5039" t="inlineStr">
        <is>
          <t>005440</t>
        </is>
      </c>
      <c r="D5039" t="inlineStr">
        <is>
          <t>연결</t>
        </is>
      </c>
      <c r="E5039" t="inlineStr">
        <is>
          <t>2024Q1</t>
        </is>
      </c>
      <c r="F5039" s="2" t="n">
        <v>1168300</v>
      </c>
      <c r="G5039" t="n">
        <v>6.5</v>
      </c>
      <c r="H5039" t="n">
        <v>135.5</v>
      </c>
      <c r="I5039" s="2" t="n">
        <v>36800</v>
      </c>
      <c r="J5039" t="inlineStr"/>
      <c r="K5039" t="inlineStr"/>
      <c r="L5039" s="2" t="n">
        <v>71900</v>
      </c>
      <c r="M5039" t="n">
        <v>-35.2</v>
      </c>
      <c r="N5039" t="inlineStr">
        <is>
          <t>20240510800279</t>
        </is>
      </c>
      <c r="O5039">
        <f>HYPERLINK("https://dart.fss.or.kr/dsaf001/main.do?rcpNo=20240510800279", "공시열람")</f>
        <v/>
      </c>
    </row>
    <row r="5040">
      <c r="A5040" t="inlineStr">
        <is>
          <t>2024-05-10</t>
        </is>
      </c>
      <c r="B5040" t="inlineStr">
        <is>
          <t>SG세계물산</t>
        </is>
      </c>
      <c r="C5040" t="inlineStr">
        <is>
          <t>004060</t>
        </is>
      </c>
      <c r="D5040" t="inlineStr">
        <is>
          <t>연결</t>
        </is>
      </c>
      <c r="E5040" t="inlineStr">
        <is>
          <t>2024Q1</t>
        </is>
      </c>
      <c r="F5040" s="2" t="n">
        <v>36482</v>
      </c>
      <c r="G5040" t="inlineStr"/>
      <c r="H5040" t="inlineStr"/>
      <c r="I5040" s="2" t="n">
        <v>-717</v>
      </c>
      <c r="J5040" t="inlineStr"/>
      <c r="K5040" t="inlineStr"/>
      <c r="L5040" s="2" t="n">
        <v>-28</v>
      </c>
      <c r="M5040" t="inlineStr"/>
      <c r="N5040" t="inlineStr">
        <is>
          <t>20240510800541</t>
        </is>
      </c>
      <c r="O5040">
        <f>HYPERLINK("https://dart.fss.or.kr/dsaf001/main.do?rcpNo=20240510800541", "공시열람")</f>
        <v/>
      </c>
    </row>
    <row r="5041">
      <c r="A5041" t="inlineStr">
        <is>
          <t>2024-05-10</t>
        </is>
      </c>
      <c r="B5041" t="inlineStr">
        <is>
          <t>현대퓨처넷</t>
        </is>
      </c>
      <c r="C5041" t="inlineStr">
        <is>
          <t>126560</t>
        </is>
      </c>
      <c r="D5041" t="inlineStr">
        <is>
          <t>연결</t>
        </is>
      </c>
      <c r="E5041" t="inlineStr">
        <is>
          <t>2024Q1</t>
        </is>
      </c>
      <c r="F5041" s="2" t="n">
        <v>43402</v>
      </c>
      <c r="G5041" t="n">
        <v>10.7</v>
      </c>
      <c r="H5041" t="n">
        <v>9.6</v>
      </c>
      <c r="I5041" s="2" t="n">
        <v>2212</v>
      </c>
      <c r="J5041" t="inlineStr"/>
      <c r="K5041" t="n">
        <v>-3.1</v>
      </c>
      <c r="L5041" s="2" t="n">
        <v>5839</v>
      </c>
      <c r="M5041" t="n">
        <v>-41</v>
      </c>
      <c r="N5041" t="inlineStr">
        <is>
          <t>20240510800680</t>
        </is>
      </c>
      <c r="O5041">
        <f>HYPERLINK("https://dart.fss.or.kr/dsaf001/main.do?rcpNo=20240510800680", "공시열람")</f>
        <v/>
      </c>
    </row>
    <row r="5042">
      <c r="A5042" t="inlineStr">
        <is>
          <t>2024-05-10</t>
        </is>
      </c>
      <c r="B5042" t="inlineStr">
        <is>
          <t>사람인</t>
        </is>
      </c>
      <c r="C5042" t="inlineStr">
        <is>
          <t>143240</t>
        </is>
      </c>
      <c r="D5042" t="inlineStr">
        <is>
          <t>연결</t>
        </is>
      </c>
      <c r="E5042" t="inlineStr">
        <is>
          <t>2024Q1</t>
        </is>
      </c>
      <c r="F5042" s="2" t="n">
        <v>30782</v>
      </c>
      <c r="G5042" t="inlineStr"/>
      <c r="H5042" t="inlineStr"/>
      <c r="I5042" s="2" t="n">
        <v>5277</v>
      </c>
      <c r="J5042" t="inlineStr"/>
      <c r="K5042" t="inlineStr"/>
      <c r="L5042" s="2" t="n">
        <v>4067</v>
      </c>
      <c r="M5042" t="inlineStr"/>
      <c r="N5042" t="inlineStr">
        <is>
          <t>20240510900865</t>
        </is>
      </c>
      <c r="O5042">
        <f>HYPERLINK("https://dart.fss.or.kr/dsaf001/main.do?rcpNo=20240510900865", "공시열람")</f>
        <v/>
      </c>
    </row>
    <row r="5043">
      <c r="A5043" t="inlineStr">
        <is>
          <t>2024-05-10</t>
        </is>
      </c>
      <c r="B5043" t="inlineStr">
        <is>
          <t>인지소프트</t>
        </is>
      </c>
      <c r="C5043" t="inlineStr">
        <is>
          <t>100030</t>
        </is>
      </c>
      <c r="D5043" t="inlineStr">
        <is>
          <t>연결</t>
        </is>
      </c>
      <c r="E5043" t="inlineStr">
        <is>
          <t>2024Q1</t>
        </is>
      </c>
      <c r="F5043" s="2" t="n">
        <v>4744</v>
      </c>
      <c r="G5043" t="inlineStr"/>
      <c r="H5043" t="inlineStr"/>
      <c r="I5043" s="2" t="n">
        <v>-80</v>
      </c>
      <c r="J5043" t="inlineStr"/>
      <c r="K5043" t="inlineStr"/>
      <c r="L5043" s="2" t="n">
        <v>2214</v>
      </c>
      <c r="M5043" t="inlineStr"/>
      <c r="N5043" t="inlineStr">
        <is>
          <t>20240510900306</t>
        </is>
      </c>
      <c r="O5043">
        <f>HYPERLINK("https://dart.fss.or.kr/dsaf001/main.do?rcpNo=20240510900306", "공시열람")</f>
        <v/>
      </c>
    </row>
    <row r="5044">
      <c r="A5044" t="inlineStr">
        <is>
          <t>2024-05-10</t>
        </is>
      </c>
      <c r="B5044" t="inlineStr">
        <is>
          <t>컴투스홀딩스</t>
        </is>
      </c>
      <c r="C5044" t="inlineStr">
        <is>
          <t>063080</t>
        </is>
      </c>
      <c r="D5044" t="inlineStr">
        <is>
          <t>연결</t>
        </is>
      </c>
      <c r="E5044" t="inlineStr">
        <is>
          <t>2024Q1</t>
        </is>
      </c>
      <c r="F5044" s="2" t="n">
        <v>45835</v>
      </c>
      <c r="G5044" t="inlineStr"/>
      <c r="H5044" t="inlineStr"/>
      <c r="I5044" s="2" t="n">
        <v>3473</v>
      </c>
      <c r="J5044" t="inlineStr"/>
      <c r="K5044" t="inlineStr"/>
      <c r="L5044" s="2" t="n">
        <v>604</v>
      </c>
      <c r="M5044" t="inlineStr"/>
      <c r="N5044" t="inlineStr">
        <is>
          <t>20240510900042</t>
        </is>
      </c>
      <c r="O5044">
        <f>HYPERLINK("https://dart.fss.or.kr/dsaf001/main.do?rcpNo=20240510900042", "공시열람")</f>
        <v/>
      </c>
    </row>
    <row r="5045">
      <c r="A5045" t="inlineStr">
        <is>
          <t>2024-05-10</t>
        </is>
      </c>
      <c r="B5045" t="inlineStr">
        <is>
          <t>메디톡스</t>
        </is>
      </c>
      <c r="C5045" t="inlineStr">
        <is>
          <t>086900</t>
        </is>
      </c>
      <c r="D5045" t="inlineStr">
        <is>
          <t>연결</t>
        </is>
      </c>
      <c r="E5045" t="inlineStr">
        <is>
          <t>2024Q1</t>
        </is>
      </c>
      <c r="F5045" s="2" t="n">
        <v>54588</v>
      </c>
      <c r="G5045" t="inlineStr"/>
      <c r="H5045" t="inlineStr"/>
      <c r="I5045" s="2" t="n">
        <v>-930</v>
      </c>
      <c r="J5045" t="inlineStr"/>
      <c r="K5045" t="inlineStr"/>
      <c r="L5045" s="2" t="n">
        <v>-1462</v>
      </c>
      <c r="M5045" t="inlineStr"/>
      <c r="N5045" t="inlineStr">
        <is>
          <t>20240510900249</t>
        </is>
      </c>
      <c r="O5045">
        <f>HYPERLINK("https://dart.fss.or.kr/dsaf001/main.do?rcpNo=20240510900249", "공시열람")</f>
        <v/>
      </c>
    </row>
    <row r="5046">
      <c r="A5046" t="inlineStr">
        <is>
          <t>2024-05-10</t>
        </is>
      </c>
      <c r="B5046" t="inlineStr">
        <is>
          <t>클리오</t>
        </is>
      </c>
      <c r="C5046" t="inlineStr">
        <is>
          <t>237880</t>
        </is>
      </c>
      <c r="D5046" t="inlineStr">
        <is>
          <t>연결</t>
        </is>
      </c>
      <c r="E5046" t="inlineStr">
        <is>
          <t>2024Q1</t>
        </is>
      </c>
      <c r="F5046" s="2" t="n">
        <v>92976</v>
      </c>
      <c r="G5046" t="inlineStr"/>
      <c r="H5046" t="inlineStr"/>
      <c r="I5046" s="2" t="n">
        <v>8509</v>
      </c>
      <c r="J5046" t="inlineStr"/>
      <c r="K5046" t="inlineStr"/>
      <c r="L5046" s="2" t="n">
        <v>9896</v>
      </c>
      <c r="M5046" t="inlineStr"/>
      <c r="N5046" t="inlineStr">
        <is>
          <t>20240510900144</t>
        </is>
      </c>
      <c r="O5046">
        <f>HYPERLINK("https://dart.fss.or.kr/dsaf001/main.do?rcpNo=20240510900144", "공시열람")</f>
        <v/>
      </c>
    </row>
    <row r="5047">
      <c r="A5047" t="inlineStr">
        <is>
          <t>2024-05-10</t>
        </is>
      </c>
      <c r="B5047" t="inlineStr">
        <is>
          <t>펄어비스</t>
        </is>
      </c>
      <c r="C5047" t="inlineStr">
        <is>
          <t>263750</t>
        </is>
      </c>
      <c r="D5047" t="inlineStr">
        <is>
          <t>연결</t>
        </is>
      </c>
      <c r="E5047" t="inlineStr">
        <is>
          <t>2024Q1</t>
        </is>
      </c>
      <c r="F5047" s="2" t="n">
        <v>85440</v>
      </c>
      <c r="G5047" t="inlineStr"/>
      <c r="H5047" t="inlineStr"/>
      <c r="I5047" s="2" t="n">
        <v>588</v>
      </c>
      <c r="J5047" t="inlineStr"/>
      <c r="K5047" t="inlineStr"/>
      <c r="L5047" s="2" t="n">
        <v>12802</v>
      </c>
      <c r="M5047" t="inlineStr"/>
      <c r="N5047" t="inlineStr">
        <is>
          <t>20240510900001</t>
        </is>
      </c>
      <c r="O5047">
        <f>HYPERLINK("https://dart.fss.or.kr/dsaf001/main.do?rcpNo=20240510900001", "공시열람")</f>
        <v/>
      </c>
    </row>
    <row r="5048">
      <c r="A5048" t="inlineStr">
        <is>
          <t>2024-05-10</t>
        </is>
      </c>
      <c r="B5048" t="inlineStr">
        <is>
          <t>네오위즈</t>
        </is>
      </c>
      <c r="C5048" t="inlineStr">
        <is>
          <t>095660</t>
        </is>
      </c>
      <c r="D5048" t="inlineStr">
        <is>
          <t>연결</t>
        </is>
      </c>
      <c r="E5048" t="inlineStr">
        <is>
          <t>2024Q1</t>
        </is>
      </c>
      <c r="F5048" s="2" t="n">
        <v>97064</v>
      </c>
      <c r="G5048" t="inlineStr"/>
      <c r="H5048" t="inlineStr"/>
      <c r="I5048" s="2" t="n">
        <v>14844</v>
      </c>
      <c r="J5048" t="inlineStr"/>
      <c r="K5048" t="inlineStr"/>
      <c r="L5048" s="2" t="n">
        <v>14339</v>
      </c>
      <c r="M5048" t="inlineStr"/>
      <c r="N5048" t="inlineStr">
        <is>
          <t>20240510900049</t>
        </is>
      </c>
      <c r="O5048">
        <f>HYPERLINK("https://dart.fss.or.kr/dsaf001/main.do?rcpNo=20240510900049", "공시열람")</f>
        <v/>
      </c>
    </row>
    <row r="5049">
      <c r="A5049" t="inlineStr">
        <is>
          <t>2024-05-10</t>
        </is>
      </c>
      <c r="B5049" t="inlineStr">
        <is>
          <t>휴온스</t>
        </is>
      </c>
      <c r="C5049" t="inlineStr">
        <is>
          <t>243070</t>
        </is>
      </c>
      <c r="D5049" t="inlineStr">
        <is>
          <t>연결</t>
        </is>
      </c>
      <c r="E5049" t="inlineStr">
        <is>
          <t>2024Q1</t>
        </is>
      </c>
      <c r="F5049" s="2" t="n">
        <v>147760</v>
      </c>
      <c r="G5049" t="inlineStr"/>
      <c r="H5049" t="inlineStr"/>
      <c r="I5049" s="2" t="n">
        <v>10692</v>
      </c>
      <c r="J5049" t="inlineStr"/>
      <c r="K5049" t="inlineStr"/>
      <c r="L5049" s="2" t="n">
        <v>9804</v>
      </c>
      <c r="M5049" t="inlineStr"/>
      <c r="N5049" t="inlineStr">
        <is>
          <t>20240510900083</t>
        </is>
      </c>
      <c r="O5049">
        <f>HYPERLINK("https://dart.fss.or.kr/dsaf001/main.do?rcpNo=20240510900083", "공시열람")</f>
        <v/>
      </c>
    </row>
    <row r="5050">
      <c r="A5050" t="inlineStr">
        <is>
          <t>2024-05-10</t>
        </is>
      </c>
      <c r="B5050" t="inlineStr">
        <is>
          <t>한국콜마</t>
        </is>
      </c>
      <c r="C5050" t="inlineStr">
        <is>
          <t>161890</t>
        </is>
      </c>
      <c r="D5050" t="inlineStr">
        <is>
          <t>별도</t>
        </is>
      </c>
      <c r="E5050" t="inlineStr">
        <is>
          <t>2024Q1</t>
        </is>
      </c>
      <c r="F5050" s="2" t="n">
        <v>247796</v>
      </c>
      <c r="G5050" t="n">
        <v>15.52</v>
      </c>
      <c r="H5050" t="n">
        <v>22.82</v>
      </c>
      <c r="I5050" s="2" t="n">
        <v>22827</v>
      </c>
      <c r="J5050" t="n">
        <v>24.12</v>
      </c>
      <c r="K5050" t="n">
        <v>68.64</v>
      </c>
      <c r="L5050" s="2" t="n">
        <v>15644</v>
      </c>
      <c r="M5050" t="n">
        <v>94.34</v>
      </c>
      <c r="N5050" t="inlineStr">
        <is>
          <t>20240510800093</t>
        </is>
      </c>
      <c r="O5050">
        <f>HYPERLINK("https://dart.fss.or.kr/dsaf001/main.do?rcpNo=20240510800093", "공시열람")</f>
        <v/>
      </c>
    </row>
    <row r="5051">
      <c r="A5051" t="inlineStr">
        <is>
          <t>2024-05-10</t>
        </is>
      </c>
      <c r="B5051" t="inlineStr">
        <is>
          <t>한국콜마</t>
        </is>
      </c>
      <c r="C5051" t="inlineStr">
        <is>
          <t>161890</t>
        </is>
      </c>
      <c r="D5051" t="inlineStr">
        <is>
          <t>연결</t>
        </is>
      </c>
      <c r="E5051" t="inlineStr">
        <is>
          <t>2024Q1</t>
        </is>
      </c>
      <c r="F5051" s="2" t="n">
        <v>574790</v>
      </c>
      <c r="G5051" t="n">
        <v>4.15</v>
      </c>
      <c r="H5051" t="n">
        <v>17.87</v>
      </c>
      <c r="I5051" s="2" t="n">
        <v>32430</v>
      </c>
      <c r="J5051" t="n">
        <v>-13.24</v>
      </c>
      <c r="K5051" t="n">
        <v>168.94</v>
      </c>
      <c r="L5051" s="2" t="n">
        <v>12073</v>
      </c>
      <c r="M5051" t="n">
        <v>86.93000000000001</v>
      </c>
      <c r="N5051" t="inlineStr">
        <is>
          <t>20240510800096</t>
        </is>
      </c>
      <c r="O5051">
        <f>HYPERLINK("https://dart.fss.or.kr/dsaf001/main.do?rcpNo=20240510800096", "공시열람")</f>
        <v/>
      </c>
    </row>
    <row r="5052">
      <c r="A5052" t="inlineStr">
        <is>
          <t>2024-05-10</t>
        </is>
      </c>
      <c r="B5052" t="inlineStr">
        <is>
          <t>지역난방공사</t>
        </is>
      </c>
      <c r="C5052" t="inlineStr">
        <is>
          <t>071320</t>
        </is>
      </c>
      <c r="D5052" t="inlineStr">
        <is>
          <t>연결</t>
        </is>
      </c>
      <c r="E5052" t="inlineStr">
        <is>
          <t>2024Q1</t>
        </is>
      </c>
      <c r="F5052" s="2" t="n">
        <v>1374588</v>
      </c>
      <c r="G5052" t="n">
        <v>32.4</v>
      </c>
      <c r="H5052" t="n">
        <v>-17.2</v>
      </c>
      <c r="I5052" s="2" t="n">
        <v>208552</v>
      </c>
      <c r="J5052" t="n">
        <v>-57.7</v>
      </c>
      <c r="K5052" t="inlineStr"/>
      <c r="L5052" s="2" t="n">
        <v>142451</v>
      </c>
      <c r="M5052" t="inlineStr"/>
      <c r="N5052" t="inlineStr">
        <is>
          <t>20240510800094</t>
        </is>
      </c>
      <c r="O5052">
        <f>HYPERLINK("https://dart.fss.or.kr/dsaf001/main.do?rcpNo=20240510800094", "공시열람")</f>
        <v/>
      </c>
    </row>
    <row r="5053">
      <c r="A5053" t="inlineStr">
        <is>
          <t>2024-05-10</t>
        </is>
      </c>
      <c r="B5053" t="inlineStr">
        <is>
          <t>와이지엔터테인먼트</t>
        </is>
      </c>
      <c r="C5053" t="inlineStr">
        <is>
          <t>122870</t>
        </is>
      </c>
      <c r="D5053" t="inlineStr">
        <is>
          <t>연결</t>
        </is>
      </c>
      <c r="E5053" t="inlineStr">
        <is>
          <t>2024Q1</t>
        </is>
      </c>
      <c r="F5053" s="2" t="n">
        <v>87344</v>
      </c>
      <c r="G5053" t="inlineStr"/>
      <c r="H5053" t="inlineStr"/>
      <c r="I5053" s="2" t="n">
        <v>-7015</v>
      </c>
      <c r="J5053" t="inlineStr"/>
      <c r="K5053" t="inlineStr"/>
      <c r="L5053" s="2" t="n">
        <v>422</v>
      </c>
      <c r="M5053" t="inlineStr"/>
      <c r="N5053" t="inlineStr">
        <is>
          <t>20240510900145</t>
        </is>
      </c>
      <c r="O5053">
        <f>HYPERLINK("https://dart.fss.or.kr/dsaf001/main.do?rcpNo=20240510900145", "공시열람")</f>
        <v/>
      </c>
    </row>
    <row r="5054">
      <c r="A5054" t="inlineStr">
        <is>
          <t>2024-05-10</t>
        </is>
      </c>
      <c r="B5054" t="inlineStr">
        <is>
          <t>CJ대한통운</t>
        </is>
      </c>
      <c r="C5054" t="inlineStr">
        <is>
          <t>000120</t>
        </is>
      </c>
      <c r="D5054" t="inlineStr">
        <is>
          <t>연결</t>
        </is>
      </c>
      <c r="E5054" t="inlineStr">
        <is>
          <t>2024Q1</t>
        </is>
      </c>
      <c r="F5054" s="2" t="n">
        <v>2921426</v>
      </c>
      <c r="G5054" t="n">
        <v>-4.5</v>
      </c>
      <c r="H5054" t="n">
        <v>4</v>
      </c>
      <c r="I5054" s="2" t="n">
        <v>109365</v>
      </c>
      <c r="J5054" t="n">
        <v>-24.1</v>
      </c>
      <c r="K5054" t="n">
        <v>10.4</v>
      </c>
      <c r="L5054" s="2" t="n">
        <v>55435</v>
      </c>
      <c r="M5054" t="n">
        <v>14.5</v>
      </c>
      <c r="N5054" t="inlineStr">
        <is>
          <t>20240510800126</t>
        </is>
      </c>
      <c r="O5054">
        <f>HYPERLINK("https://dart.fss.or.kr/dsaf001/main.do?rcpNo=20240510800126", "공시열람")</f>
        <v/>
      </c>
    </row>
    <row r="5055">
      <c r="A5055" t="inlineStr">
        <is>
          <t>2024-05-10</t>
        </is>
      </c>
      <c r="B5055" t="inlineStr">
        <is>
          <t>YG PLUS</t>
        </is>
      </c>
      <c r="C5055" t="inlineStr">
        <is>
          <t>037270</t>
        </is>
      </c>
      <c r="D5055" t="inlineStr">
        <is>
          <t>연결</t>
        </is>
      </c>
      <c r="E5055" t="inlineStr">
        <is>
          <t>2024Q1</t>
        </is>
      </c>
      <c r="F5055" s="2" t="n">
        <v>41460</v>
      </c>
      <c r="G5055" t="n">
        <v>-16.97</v>
      </c>
      <c r="H5055" t="n">
        <v>-25.33</v>
      </c>
      <c r="I5055" s="2" t="n">
        <v>-2032</v>
      </c>
      <c r="J5055" t="n">
        <v>-35.3</v>
      </c>
      <c r="K5055" t="inlineStr"/>
      <c r="L5055" s="2" t="n">
        <v>-77</v>
      </c>
      <c r="M5055" t="inlineStr"/>
      <c r="N5055" t="inlineStr">
        <is>
          <t>20240510800154</t>
        </is>
      </c>
      <c r="O5055">
        <f>HYPERLINK("https://dart.fss.or.kr/dsaf001/main.do?rcpNo=20240510800154", "공시열람")</f>
        <v/>
      </c>
    </row>
    <row r="5056">
      <c r="A5056" t="inlineStr">
        <is>
          <t>2024-05-10</t>
        </is>
      </c>
      <c r="B5056" t="inlineStr">
        <is>
          <t>한국가스공사</t>
        </is>
      </c>
      <c r="C5056" t="inlineStr">
        <is>
          <t>036460</t>
        </is>
      </c>
      <c r="D5056" t="inlineStr">
        <is>
          <t>별도</t>
        </is>
      </c>
      <c r="E5056" t="inlineStr">
        <is>
          <t>2024Q1</t>
        </is>
      </c>
      <c r="F5056" s="2" t="inlineStr"/>
      <c r="G5056" t="inlineStr"/>
      <c r="H5056" t="inlineStr"/>
      <c r="I5056" s="2" t="inlineStr"/>
      <c r="J5056" t="inlineStr"/>
      <c r="K5056" t="inlineStr"/>
      <c r="L5056" s="2" t="inlineStr"/>
      <c r="M5056" t="inlineStr"/>
      <c r="N5056" t="inlineStr">
        <is>
          <t>20240510800166</t>
        </is>
      </c>
      <c r="O5056">
        <f>HYPERLINK("https://dart.fss.or.kr/dsaf001/main.do?rcpNo=20240510800166", "공시열람")</f>
        <v/>
      </c>
    </row>
    <row r="5057">
      <c r="A5057" t="inlineStr">
        <is>
          <t>2024-05-10</t>
        </is>
      </c>
      <c r="B5057" t="inlineStr">
        <is>
          <t>케이티</t>
        </is>
      </c>
      <c r="C5057" t="inlineStr">
        <is>
          <t>030200</t>
        </is>
      </c>
      <c r="D5057" t="inlineStr">
        <is>
          <t>별도</t>
        </is>
      </c>
      <c r="E5057" t="inlineStr">
        <is>
          <t>2024Q1</t>
        </is>
      </c>
      <c r="F5057" s="2" t="n">
        <v>4694800</v>
      </c>
      <c r="G5057" t="n">
        <v>2.2</v>
      </c>
      <c r="H5057" t="n">
        <v>1.6</v>
      </c>
      <c r="I5057" s="2" t="n">
        <v>393800</v>
      </c>
      <c r="J5057" t="n">
        <v>100.6</v>
      </c>
      <c r="K5057" t="n">
        <v>1.5</v>
      </c>
      <c r="L5057" s="2" t="n">
        <v>354000</v>
      </c>
      <c r="M5057" t="n">
        <v>10.7</v>
      </c>
      <c r="N5057" t="inlineStr">
        <is>
          <t>20240510800002</t>
        </is>
      </c>
      <c r="O5057">
        <f>HYPERLINK("https://dart.fss.or.kr/dsaf001/main.do?rcpNo=20240510800002", "공시열람")</f>
        <v/>
      </c>
    </row>
    <row r="5058">
      <c r="A5058" t="inlineStr">
        <is>
          <t>2024-05-10</t>
        </is>
      </c>
      <c r="B5058" t="inlineStr">
        <is>
          <t>메쎄이상</t>
        </is>
      </c>
      <c r="C5058" t="inlineStr">
        <is>
          <t>408920</t>
        </is>
      </c>
      <c r="D5058" t="inlineStr">
        <is>
          <t>연결</t>
        </is>
      </c>
      <c r="E5058" t="inlineStr">
        <is>
          <t>2024Q1</t>
        </is>
      </c>
      <c r="F5058" s="2" t="n">
        <v>11945</v>
      </c>
      <c r="G5058" t="inlineStr"/>
      <c r="H5058" t="inlineStr"/>
      <c r="I5058" s="2" t="n">
        <v>3160</v>
      </c>
      <c r="J5058" t="inlineStr"/>
      <c r="K5058" t="inlineStr"/>
      <c r="L5058" s="2" t="n">
        <v>2647</v>
      </c>
      <c r="M5058" t="inlineStr"/>
      <c r="N5058" t="inlineStr">
        <is>
          <t>20240510900206</t>
        </is>
      </c>
      <c r="O5058">
        <f>HYPERLINK("https://dart.fss.or.kr/dsaf001/main.do?rcpNo=20240510900206", "공시열람")</f>
        <v/>
      </c>
    </row>
    <row r="5059">
      <c r="A5059" t="inlineStr">
        <is>
          <t>2024-05-10</t>
        </is>
      </c>
      <c r="B5059" t="inlineStr">
        <is>
          <t>케이티</t>
        </is>
      </c>
      <c r="C5059" t="inlineStr">
        <is>
          <t>030200</t>
        </is>
      </c>
      <c r="D5059" t="inlineStr">
        <is>
          <t>연결</t>
        </is>
      </c>
      <c r="E5059" t="inlineStr">
        <is>
          <t>2024Q1</t>
        </is>
      </c>
      <c r="F5059" s="2" t="n">
        <v>6654600</v>
      </c>
      <c r="G5059" t="n">
        <v>-0.5</v>
      </c>
      <c r="H5059" t="n">
        <v>3.3</v>
      </c>
      <c r="I5059" s="2" t="n">
        <v>506500</v>
      </c>
      <c r="J5059" t="n">
        <v>90.7</v>
      </c>
      <c r="K5059" t="n">
        <v>4.2</v>
      </c>
      <c r="L5059" s="2" t="n">
        <v>393000</v>
      </c>
      <c r="M5059" t="n">
        <v>26.9</v>
      </c>
      <c r="N5059" t="inlineStr">
        <is>
          <t>20240510800003</t>
        </is>
      </c>
      <c r="O5059">
        <f>HYPERLINK("https://dart.fss.or.kr/dsaf001/main.do?rcpNo=20240510800003", "공시열람")</f>
        <v/>
      </c>
    </row>
    <row r="5060">
      <c r="A5060" t="inlineStr">
        <is>
          <t>2024-05-10</t>
        </is>
      </c>
      <c r="B5060" t="inlineStr">
        <is>
          <t>NC</t>
        </is>
      </c>
      <c r="C5060" t="inlineStr">
        <is>
          <t>036570</t>
        </is>
      </c>
      <c r="D5060" t="inlineStr">
        <is>
          <t>연결</t>
        </is>
      </c>
      <c r="E5060" t="inlineStr">
        <is>
          <t>2024Q1</t>
        </is>
      </c>
      <c r="F5060" s="2" t="n">
        <v>397911</v>
      </c>
      <c r="G5060" t="inlineStr"/>
      <c r="H5060" t="inlineStr"/>
      <c r="I5060" s="2" t="n">
        <v>25723</v>
      </c>
      <c r="J5060" t="inlineStr"/>
      <c r="K5060" t="inlineStr"/>
      <c r="L5060" s="2" t="n">
        <v>57122</v>
      </c>
      <c r="M5060" t="inlineStr"/>
      <c r="N5060" t="inlineStr">
        <is>
          <t>20240510800006</t>
        </is>
      </c>
      <c r="O5060">
        <f>HYPERLINK("https://dart.fss.or.kr/dsaf001/main.do?rcpNo=20240510800006", "공시열람")</f>
        <v/>
      </c>
    </row>
    <row r="5061">
      <c r="A5061" t="inlineStr">
        <is>
          <t>2024-05-10</t>
        </is>
      </c>
      <c r="B5061" t="inlineStr">
        <is>
          <t>컴투스</t>
        </is>
      </c>
      <c r="C5061" t="inlineStr">
        <is>
          <t>078340</t>
        </is>
      </c>
      <c r="D5061" t="inlineStr">
        <is>
          <t>연결</t>
        </is>
      </c>
      <c r="E5061" t="inlineStr">
        <is>
          <t>2024Q1</t>
        </is>
      </c>
      <c r="F5061" s="2" t="n">
        <v>157772</v>
      </c>
      <c r="G5061" t="inlineStr"/>
      <c r="H5061" t="inlineStr"/>
      <c r="I5061" s="2" t="n">
        <v>1160</v>
      </c>
      <c r="J5061" t="inlineStr"/>
      <c r="K5061" t="inlineStr"/>
      <c r="L5061" s="2" t="n">
        <v>4048</v>
      </c>
      <c r="M5061" t="inlineStr"/>
      <c r="N5061" t="inlineStr">
        <is>
          <t>20240510900040</t>
        </is>
      </c>
      <c r="O5061">
        <f>HYPERLINK("https://dart.fss.or.kr/dsaf001/main.do?rcpNo=20240510900040", "공시열람")</f>
        <v/>
      </c>
    </row>
    <row r="5062">
      <c r="A5062" t="inlineStr">
        <is>
          <t>2024-05-09</t>
        </is>
      </c>
      <c r="B5062" t="inlineStr">
        <is>
          <t>현대리바트</t>
        </is>
      </c>
      <c r="C5062" t="inlineStr">
        <is>
          <t>079430</t>
        </is>
      </c>
      <c r="D5062" t="inlineStr">
        <is>
          <t>연결</t>
        </is>
      </c>
      <c r="E5062" t="inlineStr">
        <is>
          <t>2024Q1</t>
        </is>
      </c>
      <c r="F5062" s="2" t="n">
        <v>504787</v>
      </c>
      <c r="G5062" t="n">
        <v>20.1</v>
      </c>
      <c r="H5062" t="n">
        <v>36.3</v>
      </c>
      <c r="I5062" s="2" t="n">
        <v>6799</v>
      </c>
      <c r="J5062" t="inlineStr"/>
      <c r="K5062" t="inlineStr"/>
      <c r="L5062" s="2" t="n">
        <v>4684</v>
      </c>
      <c r="M5062" t="inlineStr"/>
      <c r="N5062" t="inlineStr">
        <is>
          <t>20240509800212</t>
        </is>
      </c>
      <c r="O5062">
        <f>HYPERLINK("https://dart.fss.or.kr/dsaf001/main.do?rcpNo=20240509800212", "공시열람")</f>
        <v/>
      </c>
    </row>
    <row r="5063">
      <c r="A5063" t="inlineStr">
        <is>
          <t>2024-05-09</t>
        </is>
      </c>
      <c r="B5063" t="inlineStr">
        <is>
          <t>수성웹툰</t>
        </is>
      </c>
      <c r="C5063" t="inlineStr">
        <is>
          <t>084180</t>
        </is>
      </c>
      <c r="D5063" t="inlineStr">
        <is>
          <t>연결</t>
        </is>
      </c>
      <c r="E5063" t="inlineStr">
        <is>
          <t>2024Q1</t>
        </is>
      </c>
      <c r="F5063" s="2" t="n">
        <v>15692</v>
      </c>
      <c r="G5063" t="inlineStr"/>
      <c r="H5063" t="inlineStr"/>
      <c r="I5063" s="2" t="n">
        <v>588</v>
      </c>
      <c r="J5063" t="inlineStr"/>
      <c r="K5063" t="inlineStr"/>
      <c r="L5063" s="2" t="n">
        <v>-1067</v>
      </c>
      <c r="M5063" t="inlineStr"/>
      <c r="N5063" t="inlineStr">
        <is>
          <t>20240509900100</t>
        </is>
      </c>
      <c r="O5063">
        <f>HYPERLINK("https://dart.fss.or.kr/dsaf001/main.do?rcpNo=20240509900100", "공시열람")</f>
        <v/>
      </c>
    </row>
    <row r="5064">
      <c r="A5064" t="inlineStr">
        <is>
          <t>2024-05-09</t>
        </is>
      </c>
      <c r="B5064" t="inlineStr">
        <is>
          <t>GS리테일</t>
        </is>
      </c>
      <c r="C5064" t="inlineStr">
        <is>
          <t>007070</t>
        </is>
      </c>
      <c r="D5064" t="inlineStr">
        <is>
          <t>연결</t>
        </is>
      </c>
      <c r="E5064" t="inlineStr">
        <is>
          <t>2024Q1</t>
        </is>
      </c>
      <c r="F5064" s="2" t="n">
        <v>2810377</v>
      </c>
      <c r="G5064" t="inlineStr"/>
      <c r="H5064" t="inlineStr"/>
      <c r="I5064" s="2" t="n">
        <v>73885</v>
      </c>
      <c r="J5064" t="inlineStr"/>
      <c r="K5064" t="inlineStr"/>
      <c r="L5064" s="2" t="n">
        <v>38800</v>
      </c>
      <c r="M5064" t="inlineStr"/>
      <c r="N5064" t="inlineStr">
        <is>
          <t>20240509800107</t>
        </is>
      </c>
      <c r="O5064">
        <f>HYPERLINK("https://dart.fss.or.kr/dsaf001/main.do?rcpNo=20240509800107", "공시열람")</f>
        <v/>
      </c>
    </row>
    <row r="5065">
      <c r="A5065" t="inlineStr">
        <is>
          <t>2024-05-09</t>
        </is>
      </c>
      <c r="B5065" t="inlineStr">
        <is>
          <t>LG헬로비전</t>
        </is>
      </c>
      <c r="C5065" t="inlineStr">
        <is>
          <t>037560</t>
        </is>
      </c>
      <c r="D5065" t="inlineStr">
        <is>
          <t>연결</t>
        </is>
      </c>
      <c r="E5065" t="inlineStr">
        <is>
          <t>2024Q1</t>
        </is>
      </c>
      <c r="F5065" s="2" t="n">
        <v>267196</v>
      </c>
      <c r="G5065" t="n">
        <v>-20.8</v>
      </c>
      <c r="H5065" t="n">
        <v>-3.7</v>
      </c>
      <c r="I5065" s="2" t="n">
        <v>4110</v>
      </c>
      <c r="J5065" t="n">
        <v>-67.59999999999999</v>
      </c>
      <c r="K5065" t="n">
        <v>-64.8</v>
      </c>
      <c r="L5065" s="2" t="n">
        <v>1539</v>
      </c>
      <c r="M5065" t="n">
        <v>-87.90000000000001</v>
      </c>
      <c r="N5065" t="inlineStr">
        <is>
          <t>20240509800114</t>
        </is>
      </c>
      <c r="O5065">
        <f>HYPERLINK("https://dart.fss.or.kr/dsaf001/main.do?rcpNo=20240509800114", "공시열람")</f>
        <v/>
      </c>
    </row>
    <row r="5066">
      <c r="A5066" t="inlineStr">
        <is>
          <t>2024-05-09</t>
        </is>
      </c>
      <c r="B5066" t="inlineStr">
        <is>
          <t>에스케이바이오팜</t>
        </is>
      </c>
      <c r="C5066" t="inlineStr">
        <is>
          <t>326030</t>
        </is>
      </c>
      <c r="D5066" t="inlineStr">
        <is>
          <t>연결</t>
        </is>
      </c>
      <c r="E5066" t="inlineStr">
        <is>
          <t>2024Q1</t>
        </is>
      </c>
      <c r="F5066" s="2" t="n">
        <v>113975</v>
      </c>
      <c r="G5066" t="n">
        <v>-10.1</v>
      </c>
      <c r="H5066" t="n">
        <v>87.5</v>
      </c>
      <c r="I5066" s="2" t="n">
        <v>10296</v>
      </c>
      <c r="J5066" t="n">
        <v>-30.3</v>
      </c>
      <c r="K5066" t="inlineStr"/>
      <c r="L5066" s="2" t="n">
        <v>9698</v>
      </c>
      <c r="M5066" t="inlineStr"/>
      <c r="N5066" t="inlineStr">
        <is>
          <t>20240509800111</t>
        </is>
      </c>
      <c r="O5066">
        <f>HYPERLINK("https://dart.fss.or.kr/dsaf001/main.do?rcpNo=20240509800111", "공시열람")</f>
        <v/>
      </c>
    </row>
    <row r="5067">
      <c r="A5067" t="inlineStr">
        <is>
          <t>2024-05-09</t>
        </is>
      </c>
      <c r="B5067" t="inlineStr">
        <is>
          <t>성광벤드</t>
        </is>
      </c>
      <c r="C5067" t="inlineStr">
        <is>
          <t>014620</t>
        </is>
      </c>
      <c r="D5067" t="inlineStr">
        <is>
          <t>연결</t>
        </is>
      </c>
      <c r="E5067" t="inlineStr">
        <is>
          <t>2024Q1</t>
        </is>
      </c>
      <c r="F5067" s="2" t="n">
        <v>57168</v>
      </c>
      <c r="G5067" t="inlineStr"/>
      <c r="H5067" t="inlineStr"/>
      <c r="I5067" s="2" t="n">
        <v>9891</v>
      </c>
      <c r="J5067" t="inlineStr"/>
      <c r="K5067" t="inlineStr"/>
      <c r="L5067" s="2" t="n">
        <v>11316</v>
      </c>
      <c r="M5067" t="inlineStr"/>
      <c r="N5067" t="inlineStr">
        <is>
          <t>20240509900105</t>
        </is>
      </c>
      <c r="O5067">
        <f>HYPERLINK("https://dart.fss.or.kr/dsaf001/main.do?rcpNo=20240509900105", "공시열람")</f>
        <v/>
      </c>
    </row>
    <row r="5068">
      <c r="A5068" t="inlineStr">
        <is>
          <t>2024-05-09</t>
        </is>
      </c>
      <c r="B5068" t="inlineStr">
        <is>
          <t>CJ ENM</t>
        </is>
      </c>
      <c r="C5068" t="inlineStr">
        <is>
          <t>035760</t>
        </is>
      </c>
      <c r="D5068" t="inlineStr">
        <is>
          <t>연결</t>
        </is>
      </c>
      <c r="E5068" t="inlineStr">
        <is>
          <t>2024Q1</t>
        </is>
      </c>
      <c r="F5068" s="2" t="n">
        <v>1154143</v>
      </c>
      <c r="G5068" t="inlineStr"/>
      <c r="H5068" t="inlineStr"/>
      <c r="I5068" s="2" t="n">
        <v>12333</v>
      </c>
      <c r="J5068" t="inlineStr"/>
      <c r="K5068" t="inlineStr"/>
      <c r="L5068" s="2" t="n">
        <v>-34786</v>
      </c>
      <c r="M5068" t="inlineStr"/>
      <c r="N5068" t="inlineStr">
        <is>
          <t>20240509900207</t>
        </is>
      </c>
      <c r="O5068">
        <f>HYPERLINK("https://dart.fss.or.kr/dsaf001/main.do?rcpNo=20240509900207", "공시열람")</f>
        <v/>
      </c>
    </row>
    <row r="5069">
      <c r="A5069" t="inlineStr">
        <is>
          <t>2024-05-09</t>
        </is>
      </c>
      <c r="B5069" t="inlineStr">
        <is>
          <t>LG유플러스</t>
        </is>
      </c>
      <c r="C5069" t="inlineStr">
        <is>
          <t>032640</t>
        </is>
      </c>
      <c r="D5069" t="inlineStr">
        <is>
          <t>별도</t>
        </is>
      </c>
      <c r="E5069" t="inlineStr">
        <is>
          <t>2024Q1</t>
        </is>
      </c>
      <c r="F5069" s="2" t="n">
        <v>3322800</v>
      </c>
      <c r="G5069" t="n">
        <v>-4.7</v>
      </c>
      <c r="H5069" t="n">
        <v>1.3</v>
      </c>
      <c r="I5069" s="2" t="n">
        <v>221200</v>
      </c>
      <c r="J5069" t="n">
        <v>16.8</v>
      </c>
      <c r="K5069" t="n">
        <v>-14</v>
      </c>
      <c r="L5069" s="2" t="n">
        <v>135300</v>
      </c>
      <c r="M5069" t="n">
        <v>-13.9</v>
      </c>
      <c r="N5069" t="inlineStr">
        <is>
          <t>20240509800128</t>
        </is>
      </c>
      <c r="O5069">
        <f>HYPERLINK("https://dart.fss.or.kr/dsaf001/main.do?rcpNo=20240509800128", "공시열람")</f>
        <v/>
      </c>
    </row>
    <row r="5070">
      <c r="A5070" t="inlineStr">
        <is>
          <t>2024-05-09</t>
        </is>
      </c>
      <c r="B5070" t="inlineStr">
        <is>
          <t>SP삼화</t>
        </is>
      </c>
      <c r="C5070" t="inlineStr">
        <is>
          <t>000390</t>
        </is>
      </c>
      <c r="D5070" t="inlineStr">
        <is>
          <t>연결</t>
        </is>
      </c>
      <c r="E5070" t="inlineStr">
        <is>
          <t>2024Q1</t>
        </is>
      </c>
      <c r="F5070" s="2" t="n">
        <v>140395</v>
      </c>
      <c r="G5070" t="n">
        <v>-13</v>
      </c>
      <c r="H5070" t="n">
        <v>0.5</v>
      </c>
      <c r="I5070" s="2" t="n">
        <v>3081</v>
      </c>
      <c r="J5070" t="n">
        <v>79.7</v>
      </c>
      <c r="K5070" t="n">
        <v>-0.1</v>
      </c>
      <c r="L5070" s="2" t="n">
        <v>3240</v>
      </c>
      <c r="M5070" t="n">
        <v>653.5</v>
      </c>
      <c r="N5070" t="inlineStr">
        <is>
          <t>20240509800204</t>
        </is>
      </c>
      <c r="O5070">
        <f>HYPERLINK("https://dart.fss.or.kr/dsaf001/main.do?rcpNo=20240509800204", "공시열람")</f>
        <v/>
      </c>
    </row>
    <row r="5071">
      <c r="A5071" t="inlineStr">
        <is>
          <t>2024-05-09</t>
        </is>
      </c>
      <c r="B5071" t="inlineStr">
        <is>
          <t>스튜디오드래곤</t>
        </is>
      </c>
      <c r="C5071" t="inlineStr">
        <is>
          <t>253450</t>
        </is>
      </c>
      <c r="D5071" t="inlineStr">
        <is>
          <t>연결</t>
        </is>
      </c>
      <c r="E5071" t="inlineStr">
        <is>
          <t>2024Q1</t>
        </is>
      </c>
      <c r="F5071" s="2" t="n">
        <v>192071</v>
      </c>
      <c r="G5071" t="inlineStr"/>
      <c r="H5071" t="inlineStr"/>
      <c r="I5071" s="2" t="n">
        <v>21525</v>
      </c>
      <c r="J5071" t="inlineStr"/>
      <c r="K5071" t="inlineStr"/>
      <c r="L5071" s="2" t="n">
        <v>20196</v>
      </c>
      <c r="M5071" t="inlineStr"/>
      <c r="N5071" t="inlineStr">
        <is>
          <t>20240509900187</t>
        </is>
      </c>
      <c r="O5071">
        <f>HYPERLINK("https://dart.fss.or.kr/dsaf001/main.do?rcpNo=20240509900187", "공시열람")</f>
        <v/>
      </c>
    </row>
    <row r="5072">
      <c r="A5072" t="inlineStr">
        <is>
          <t>2024-05-09</t>
        </is>
      </c>
      <c r="B5072" t="inlineStr">
        <is>
          <t>한온시스템</t>
        </is>
      </c>
      <c r="C5072" t="inlineStr">
        <is>
          <t>018880</t>
        </is>
      </c>
      <c r="D5072" t="inlineStr">
        <is>
          <t>연결</t>
        </is>
      </c>
      <c r="E5072" t="inlineStr">
        <is>
          <t>2024Q1</t>
        </is>
      </c>
      <c r="F5072" s="2" t="n">
        <v>2404648</v>
      </c>
      <c r="G5072" t="inlineStr"/>
      <c r="H5072" t="inlineStr"/>
      <c r="I5072" s="2" t="n">
        <v>65321</v>
      </c>
      <c r="J5072" t="inlineStr"/>
      <c r="K5072" t="inlineStr"/>
      <c r="L5072" s="2" t="n">
        <v>10116</v>
      </c>
      <c r="M5072" t="inlineStr"/>
      <c r="N5072" t="inlineStr">
        <is>
          <t>20240509800188</t>
        </is>
      </c>
      <c r="O5072">
        <f>HYPERLINK("https://dart.fss.or.kr/dsaf001/main.do?rcpNo=20240509800188", "공시열람")</f>
        <v/>
      </c>
    </row>
    <row r="5073">
      <c r="A5073" t="inlineStr">
        <is>
          <t>2024-05-09</t>
        </is>
      </c>
      <c r="B5073" t="inlineStr">
        <is>
          <t>LG유플러스</t>
        </is>
      </c>
      <c r="C5073" t="inlineStr">
        <is>
          <t>032640</t>
        </is>
      </c>
      <c r="D5073" t="inlineStr">
        <is>
          <t>연결</t>
        </is>
      </c>
      <c r="E5073" t="inlineStr">
        <is>
          <t>2024Q1</t>
        </is>
      </c>
      <c r="F5073" s="2" t="n">
        <v>3577000</v>
      </c>
      <c r="G5073" t="n">
        <v>-6.4</v>
      </c>
      <c r="H5073" t="n">
        <v>1</v>
      </c>
      <c r="I5073" s="2" t="n">
        <v>220900</v>
      </c>
      <c r="J5073" t="n">
        <v>13</v>
      </c>
      <c r="K5073" t="n">
        <v>-15.1</v>
      </c>
      <c r="L5073" s="2" t="n">
        <v>130400</v>
      </c>
      <c r="M5073" t="n">
        <v>-15.9</v>
      </c>
      <c r="N5073" t="inlineStr">
        <is>
          <t>20240509800125</t>
        </is>
      </c>
      <c r="O5073">
        <f>HYPERLINK("https://dart.fss.or.kr/dsaf001/main.do?rcpNo=20240509800125", "공시열람")</f>
        <v/>
      </c>
    </row>
    <row r="5074">
      <c r="A5074" t="inlineStr">
        <is>
          <t>2024-05-09</t>
        </is>
      </c>
      <c r="B5074" t="inlineStr">
        <is>
          <t>알서포트</t>
        </is>
      </c>
      <c r="C5074" t="inlineStr">
        <is>
          <t>131370</t>
        </is>
      </c>
      <c r="D5074" t="inlineStr">
        <is>
          <t>연결</t>
        </is>
      </c>
      <c r="E5074" t="inlineStr">
        <is>
          <t>2024Q1</t>
        </is>
      </c>
      <c r="F5074" s="2" t="n">
        <v>10133</v>
      </c>
      <c r="G5074" t="inlineStr"/>
      <c r="H5074" t="inlineStr"/>
      <c r="I5074" s="2" t="n">
        <v>587</v>
      </c>
      <c r="J5074" t="inlineStr"/>
      <c r="K5074" t="inlineStr"/>
      <c r="L5074" s="2" t="n">
        <v>1063</v>
      </c>
      <c r="M5074" t="inlineStr"/>
      <c r="N5074" t="inlineStr">
        <is>
          <t>20240509900133</t>
        </is>
      </c>
      <c r="O5074">
        <f>HYPERLINK("https://dart.fss.or.kr/dsaf001/main.do?rcpNo=20240509900133", "공시열람")</f>
        <v/>
      </c>
    </row>
    <row r="5075">
      <c r="A5075" t="inlineStr">
        <is>
          <t>2024-05-09</t>
        </is>
      </c>
      <c r="B5075" t="inlineStr">
        <is>
          <t>더존비즈온</t>
        </is>
      </c>
      <c r="C5075" t="inlineStr">
        <is>
          <t>012510</t>
        </is>
      </c>
      <c r="D5075" t="inlineStr">
        <is>
          <t>연결</t>
        </is>
      </c>
      <c r="E5075" t="inlineStr">
        <is>
          <t>2024Q1</t>
        </is>
      </c>
      <c r="F5075" s="2" t="n">
        <v>94413</v>
      </c>
      <c r="G5075" t="n">
        <v>-8.800000000000001</v>
      </c>
      <c r="H5075" t="n">
        <v>16</v>
      </c>
      <c r="I5075" s="2" t="n">
        <v>18115</v>
      </c>
      <c r="J5075" t="n">
        <v>-26.9</v>
      </c>
      <c r="K5075" t="n">
        <v>21.3</v>
      </c>
      <c r="L5075" s="2" t="n">
        <v>36578</v>
      </c>
      <c r="M5075" t="n">
        <v>340.1</v>
      </c>
      <c r="N5075" t="inlineStr">
        <is>
          <t>20240509800062</t>
        </is>
      </c>
      <c r="O5075">
        <f>HYPERLINK("https://dart.fss.or.kr/dsaf001/main.do?rcpNo=20240509800062", "공시열람")</f>
        <v/>
      </c>
    </row>
    <row r="5076">
      <c r="A5076" t="inlineStr">
        <is>
          <t>2024-05-09</t>
        </is>
      </c>
      <c r="B5076" t="inlineStr">
        <is>
          <t>GKL</t>
        </is>
      </c>
      <c r="C5076" t="inlineStr">
        <is>
          <t>114090</t>
        </is>
      </c>
      <c r="D5076" t="inlineStr">
        <is>
          <t>연결</t>
        </is>
      </c>
      <c r="E5076" t="inlineStr">
        <is>
          <t>2024Q1</t>
        </is>
      </c>
      <c r="F5076" s="2" t="n">
        <v>97942</v>
      </c>
      <c r="G5076" t="inlineStr"/>
      <c r="H5076" t="inlineStr"/>
      <c r="I5076" s="2" t="n">
        <v>13850</v>
      </c>
      <c r="J5076" t="inlineStr"/>
      <c r="K5076" t="inlineStr"/>
      <c r="L5076" s="2" t="n">
        <v>10201</v>
      </c>
      <c r="M5076" t="inlineStr"/>
      <c r="N5076" t="inlineStr">
        <is>
          <t>20240509800181</t>
        </is>
      </c>
      <c r="O5076">
        <f>HYPERLINK("https://dart.fss.or.kr/dsaf001/main.do?rcpNo=20240509800181", "공시열람")</f>
        <v/>
      </c>
    </row>
    <row r="5077">
      <c r="A5077" t="inlineStr">
        <is>
          <t>2024-05-09</t>
        </is>
      </c>
      <c r="B5077" t="inlineStr">
        <is>
          <t>파라다이스</t>
        </is>
      </c>
      <c r="C5077" t="inlineStr">
        <is>
          <t>034230</t>
        </is>
      </c>
      <c r="D5077" t="inlineStr">
        <is>
          <t>연결</t>
        </is>
      </c>
      <c r="E5077" t="inlineStr">
        <is>
          <t>2024Q1</t>
        </is>
      </c>
      <c r="F5077" s="2" t="n">
        <v>264770</v>
      </c>
      <c r="G5077" t="inlineStr"/>
      <c r="H5077" t="inlineStr"/>
      <c r="I5077" s="2" t="n">
        <v>48404</v>
      </c>
      <c r="J5077" t="inlineStr"/>
      <c r="K5077" t="inlineStr"/>
      <c r="L5077" s="2" t="n">
        <v>36980</v>
      </c>
      <c r="M5077" t="inlineStr"/>
      <c r="N5077" t="inlineStr">
        <is>
          <t>20240509900083</t>
        </is>
      </c>
      <c r="O5077">
        <f>HYPERLINK("https://dart.fss.or.kr/dsaf001/main.do?rcpNo=20240509900083", "공시열람")</f>
        <v/>
      </c>
    </row>
    <row r="5078">
      <c r="A5078" t="inlineStr">
        <is>
          <t>2024-05-09</t>
        </is>
      </c>
      <c r="B5078" t="inlineStr">
        <is>
          <t>LG</t>
        </is>
      </c>
      <c r="C5078" t="inlineStr">
        <is>
          <t>003550</t>
        </is>
      </c>
      <c r="D5078" t="inlineStr">
        <is>
          <t>연결</t>
        </is>
      </c>
      <c r="E5078" t="inlineStr">
        <is>
          <t>2024Q1</t>
        </is>
      </c>
      <c r="F5078" s="2" t="n">
        <v>1623788</v>
      </c>
      <c r="G5078" t="inlineStr"/>
      <c r="H5078" t="inlineStr"/>
      <c r="I5078" s="2" t="n">
        <v>422628</v>
      </c>
      <c r="J5078" t="inlineStr"/>
      <c r="K5078" t="inlineStr"/>
      <c r="L5078" s="2" t="n">
        <v>368356</v>
      </c>
      <c r="M5078" t="inlineStr"/>
      <c r="N5078" t="inlineStr">
        <is>
          <t>20240509800292</t>
        </is>
      </c>
      <c r="O5078">
        <f>HYPERLINK("https://dart.fss.or.kr/dsaf001/main.do?rcpNo=20240509800292", "공시열람")</f>
        <v/>
      </c>
    </row>
    <row r="5079">
      <c r="A5079" t="inlineStr">
        <is>
          <t>2024-05-09</t>
        </is>
      </c>
      <c r="B5079" t="inlineStr">
        <is>
          <t>케이카</t>
        </is>
      </c>
      <c r="C5079" t="inlineStr">
        <is>
          <t>381970</t>
        </is>
      </c>
      <c r="D5079" t="inlineStr">
        <is>
          <t>별도</t>
        </is>
      </c>
      <c r="E5079" t="inlineStr">
        <is>
          <t>2024Q1</t>
        </is>
      </c>
      <c r="F5079" s="2" t="n">
        <v>604428</v>
      </c>
      <c r="G5079" t="n">
        <v>22</v>
      </c>
      <c r="H5079" t="n">
        <v>16.8</v>
      </c>
      <c r="I5079" s="2" t="n">
        <v>17624</v>
      </c>
      <c r="J5079" t="n">
        <v>47.8</v>
      </c>
      <c r="K5079" t="n">
        <v>33.4</v>
      </c>
      <c r="L5079" s="2" t="n">
        <v>11788</v>
      </c>
      <c r="M5079" t="n">
        <v>42.7</v>
      </c>
      <c r="N5079" t="inlineStr">
        <is>
          <t>20240509800047</t>
        </is>
      </c>
      <c r="O5079">
        <f>HYPERLINK("https://dart.fss.or.kr/dsaf001/main.do?rcpNo=20240509800047", "공시열람")</f>
        <v/>
      </c>
    </row>
    <row r="5080">
      <c r="A5080" t="inlineStr">
        <is>
          <t>2024-05-09</t>
        </is>
      </c>
      <c r="B5080" t="inlineStr">
        <is>
          <t>미래에셋증권</t>
        </is>
      </c>
      <c r="C5080" t="inlineStr">
        <is>
          <t>006800</t>
        </is>
      </c>
      <c r="D5080" t="inlineStr">
        <is>
          <t>연결</t>
        </is>
      </c>
      <c r="E5080" t="inlineStr">
        <is>
          <t>2024Q1</t>
        </is>
      </c>
      <c r="F5080" s="2" t="n">
        <v>6279794</v>
      </c>
      <c r="G5080" t="n">
        <v>27</v>
      </c>
      <c r="H5080" t="n">
        <v>-8.5</v>
      </c>
      <c r="I5080" s="2" t="n">
        <v>270473</v>
      </c>
      <c r="J5080" t="inlineStr"/>
      <c r="K5080" t="n">
        <v>-4</v>
      </c>
      <c r="L5080" s="2" t="n">
        <v>170523</v>
      </c>
      <c r="M5080" t="n">
        <v>-28.4</v>
      </c>
      <c r="N5080" t="inlineStr">
        <is>
          <t>20240509800604</t>
        </is>
      </c>
      <c r="O5080">
        <f>HYPERLINK("https://dart.fss.or.kr/dsaf001/main.do?rcpNo=20240509800604", "공시열람")</f>
        <v/>
      </c>
    </row>
    <row r="5081">
      <c r="A5081" t="inlineStr">
        <is>
          <t>2024-05-09</t>
        </is>
      </c>
      <c r="B5081" t="inlineStr">
        <is>
          <t>CJ프레시웨이</t>
        </is>
      </c>
      <c r="C5081" t="inlineStr">
        <is>
          <t>051500</t>
        </is>
      </c>
      <c r="D5081" t="inlineStr">
        <is>
          <t>연결</t>
        </is>
      </c>
      <c r="E5081" t="inlineStr">
        <is>
          <t>2024Q1</t>
        </is>
      </c>
      <c r="F5081" s="2" t="n">
        <v>731449</v>
      </c>
      <c r="G5081" t="inlineStr"/>
      <c r="H5081" t="inlineStr"/>
      <c r="I5081" s="2" t="n">
        <v>10543</v>
      </c>
      <c r="J5081" t="inlineStr"/>
      <c r="K5081" t="inlineStr"/>
      <c r="L5081" s="2" t="n">
        <v>1321</v>
      </c>
      <c r="M5081" t="inlineStr"/>
      <c r="N5081" t="inlineStr">
        <is>
          <t>20240509900348</t>
        </is>
      </c>
      <c r="O5081">
        <f>HYPERLINK("https://dart.fss.or.kr/dsaf001/main.do?rcpNo=20240509900348", "공시열람")</f>
        <v/>
      </c>
    </row>
    <row r="5082">
      <c r="A5082" t="inlineStr">
        <is>
          <t>2024-05-09</t>
        </is>
      </c>
      <c r="B5082" t="inlineStr">
        <is>
          <t>일동홀딩스</t>
        </is>
      </c>
      <c r="C5082" t="inlineStr">
        <is>
          <t>000230</t>
        </is>
      </c>
      <c r="D5082" t="inlineStr">
        <is>
          <t>연결</t>
        </is>
      </c>
      <c r="E5082" t="inlineStr">
        <is>
          <t>2024Q1</t>
        </is>
      </c>
      <c r="F5082" s="2" t="n">
        <v>161856</v>
      </c>
      <c r="G5082" t="inlineStr"/>
      <c r="H5082" t="inlineStr"/>
      <c r="I5082" s="2" t="n">
        <v>-3821</v>
      </c>
      <c r="J5082" t="inlineStr"/>
      <c r="K5082" t="inlineStr"/>
      <c r="L5082" s="2" t="n">
        <v>-8711</v>
      </c>
      <c r="M5082" t="inlineStr"/>
      <c r="N5082" t="inlineStr">
        <is>
          <t>20240509800367</t>
        </is>
      </c>
      <c r="O5082">
        <f>HYPERLINK("https://dart.fss.or.kr/dsaf001/main.do?rcpNo=20240509800367", "공시열람")</f>
        <v/>
      </c>
    </row>
    <row r="5083">
      <c r="A5083" t="inlineStr">
        <is>
          <t>2024-05-09</t>
        </is>
      </c>
      <c r="B5083" t="inlineStr">
        <is>
          <t>한국석유공업</t>
        </is>
      </c>
      <c r="C5083" t="inlineStr">
        <is>
          <t>004090</t>
        </is>
      </c>
      <c r="D5083" t="inlineStr">
        <is>
          <t>연결</t>
        </is>
      </c>
      <c r="E5083" t="inlineStr">
        <is>
          <t>2024Q1</t>
        </is>
      </c>
      <c r="F5083" s="2" t="n">
        <v>165907</v>
      </c>
      <c r="G5083" t="n">
        <v>-3.8</v>
      </c>
      <c r="H5083" t="n">
        <v>2.6</v>
      </c>
      <c r="I5083" s="2" t="n">
        <v>2069</v>
      </c>
      <c r="J5083" t="n">
        <v>-32</v>
      </c>
      <c r="K5083" t="n">
        <v>-42.9</v>
      </c>
      <c r="L5083" s="2" t="n">
        <v>808</v>
      </c>
      <c r="M5083" t="n">
        <v>8.1</v>
      </c>
      <c r="N5083" t="inlineStr">
        <is>
          <t>20240509800404</t>
        </is>
      </c>
      <c r="O5083">
        <f>HYPERLINK("https://dart.fss.or.kr/dsaf001/main.do?rcpNo=20240509800404", "공시열람")</f>
        <v/>
      </c>
    </row>
    <row r="5084">
      <c r="A5084" t="inlineStr">
        <is>
          <t>2024-05-09</t>
        </is>
      </c>
      <c r="B5084" t="inlineStr">
        <is>
          <t>아이마켓코리아</t>
        </is>
      </c>
      <c r="C5084" t="inlineStr">
        <is>
          <t>122900</t>
        </is>
      </c>
      <c r="D5084" t="inlineStr">
        <is>
          <t>연결</t>
        </is>
      </c>
      <c r="E5084" t="inlineStr">
        <is>
          <t>2024Q1</t>
        </is>
      </c>
      <c r="F5084" s="2" t="n">
        <v>902096</v>
      </c>
      <c r="G5084" t="n">
        <v>-2.49</v>
      </c>
      <c r="H5084" t="n">
        <v>6.41</v>
      </c>
      <c r="I5084" s="2" t="n">
        <v>12272</v>
      </c>
      <c r="J5084" t="n">
        <v>4.96</v>
      </c>
      <c r="K5084" t="n">
        <v>-10.09</v>
      </c>
      <c r="L5084" s="2" t="n">
        <v>7582</v>
      </c>
      <c r="M5084" t="n">
        <v>17.23</v>
      </c>
      <c r="N5084" t="inlineStr">
        <is>
          <t>20240509800399</t>
        </is>
      </c>
      <c r="O5084">
        <f>HYPERLINK("https://dart.fss.or.kr/dsaf001/main.do?rcpNo=20240509800399", "공시열람")</f>
        <v/>
      </c>
    </row>
    <row r="5085">
      <c r="A5085" t="inlineStr">
        <is>
          <t>2024-05-09</t>
        </is>
      </c>
      <c r="B5085" t="inlineStr">
        <is>
          <t>텔레칩스</t>
        </is>
      </c>
      <c r="C5085" t="inlineStr">
        <is>
          <t>054450</t>
        </is>
      </c>
      <c r="D5085" t="inlineStr">
        <is>
          <t>연결</t>
        </is>
      </c>
      <c r="E5085" t="inlineStr">
        <is>
          <t>2024Q1</t>
        </is>
      </c>
      <c r="F5085" s="2" t="n">
        <v>45380</v>
      </c>
      <c r="G5085" t="inlineStr"/>
      <c r="H5085" t="inlineStr"/>
      <c r="I5085" s="2" t="n">
        <v>1019</v>
      </c>
      <c r="J5085" t="inlineStr"/>
      <c r="K5085" t="inlineStr"/>
      <c r="L5085" s="2" t="n">
        <v>-6170</v>
      </c>
      <c r="M5085" t="inlineStr"/>
      <c r="N5085" t="inlineStr">
        <is>
          <t>20240509900355</t>
        </is>
      </c>
      <c r="O5085">
        <f>HYPERLINK("https://dart.fss.or.kr/dsaf001/main.do?rcpNo=20240509900355", "공시열람")</f>
        <v/>
      </c>
    </row>
    <row r="5086">
      <c r="A5086" t="inlineStr">
        <is>
          <t>2024-05-09</t>
        </is>
      </c>
      <c r="B5086" t="inlineStr">
        <is>
          <t>원익IPS</t>
        </is>
      </c>
      <c r="C5086" t="inlineStr">
        <is>
          <t>240810</t>
        </is>
      </c>
      <c r="D5086" t="inlineStr">
        <is>
          <t>연결</t>
        </is>
      </c>
      <c r="E5086" t="inlineStr">
        <is>
          <t>2024Q1</t>
        </is>
      </c>
      <c r="F5086" s="2" t="n">
        <v>113833</v>
      </c>
      <c r="G5086" t="inlineStr"/>
      <c r="H5086" t="inlineStr"/>
      <c r="I5086" s="2" t="n">
        <v>-26718</v>
      </c>
      <c r="J5086" t="inlineStr"/>
      <c r="K5086" t="inlineStr"/>
      <c r="L5086" s="2" t="n">
        <v>-22465</v>
      </c>
      <c r="M5086" t="inlineStr"/>
      <c r="N5086" t="inlineStr">
        <is>
          <t>20240509900426</t>
        </is>
      </c>
      <c r="O5086">
        <f>HYPERLINK("https://dart.fss.or.kr/dsaf001/main.do?rcpNo=20240509900426", "공시열람")</f>
        <v/>
      </c>
    </row>
    <row r="5087">
      <c r="A5087" t="inlineStr">
        <is>
          <t>2024-05-09</t>
        </is>
      </c>
      <c r="B5087" t="inlineStr">
        <is>
          <t>원익머트리얼즈</t>
        </is>
      </c>
      <c r="C5087" t="inlineStr">
        <is>
          <t>104830</t>
        </is>
      </c>
      <c r="D5087" t="inlineStr">
        <is>
          <t>연결</t>
        </is>
      </c>
      <c r="E5087" t="inlineStr">
        <is>
          <t>2024Q1</t>
        </is>
      </c>
      <c r="F5087" s="2" t="n">
        <v>75299</v>
      </c>
      <c r="G5087" t="inlineStr"/>
      <c r="H5087" t="inlineStr"/>
      <c r="I5087" s="2" t="n">
        <v>11354</v>
      </c>
      <c r="J5087" t="inlineStr"/>
      <c r="K5087" t="inlineStr"/>
      <c r="L5087" s="2" t="n">
        <v>9214</v>
      </c>
      <c r="M5087" t="inlineStr"/>
      <c r="N5087" t="inlineStr">
        <is>
          <t>20240509900428</t>
        </is>
      </c>
      <c r="O5087">
        <f>HYPERLINK("https://dart.fss.or.kr/dsaf001/main.do?rcpNo=20240509900428", "공시열람")</f>
        <v/>
      </c>
    </row>
    <row r="5088">
      <c r="A5088" t="inlineStr">
        <is>
          <t>2024-05-09</t>
        </is>
      </c>
      <c r="B5088" t="inlineStr">
        <is>
          <t>케이씨씨글라스</t>
        </is>
      </c>
      <c r="C5088" t="inlineStr">
        <is>
          <t>344820</t>
        </is>
      </c>
      <c r="D5088" t="inlineStr">
        <is>
          <t>연결</t>
        </is>
      </c>
      <c r="E5088" t="inlineStr">
        <is>
          <t>2024Q1</t>
        </is>
      </c>
      <c r="F5088" s="2" t="n">
        <v>389091</v>
      </c>
      <c r="G5088" t="n">
        <v>-11.3</v>
      </c>
      <c r="H5088" t="n">
        <v>2.8</v>
      </c>
      <c r="I5088" s="2" t="n">
        <v>20772</v>
      </c>
      <c r="J5088" t="n">
        <v>-16</v>
      </c>
      <c r="K5088" t="n">
        <v>39</v>
      </c>
      <c r="L5088" s="2" t="n">
        <v>9089</v>
      </c>
      <c r="M5088" t="n">
        <v>-42.4</v>
      </c>
      <c r="N5088" t="inlineStr">
        <is>
          <t>20240509800454</t>
        </is>
      </c>
      <c r="O5088">
        <f>HYPERLINK("https://dart.fss.or.kr/dsaf001/main.do?rcpNo=20240509800454", "공시열람")</f>
        <v/>
      </c>
    </row>
    <row r="5089">
      <c r="A5089" t="inlineStr">
        <is>
          <t>2024-05-09</t>
        </is>
      </c>
      <c r="B5089" t="inlineStr">
        <is>
          <t>현대에버다임</t>
        </is>
      </c>
      <c r="C5089" t="inlineStr">
        <is>
          <t>041440</t>
        </is>
      </c>
      <c r="D5089" t="inlineStr">
        <is>
          <t>연결</t>
        </is>
      </c>
      <c r="E5089" t="inlineStr">
        <is>
          <t>2024Q1</t>
        </is>
      </c>
      <c r="F5089" s="2" t="n">
        <v>70115</v>
      </c>
      <c r="G5089" t="inlineStr"/>
      <c r="H5089" t="inlineStr"/>
      <c r="I5089" s="2" t="n">
        <v>-1680</v>
      </c>
      <c r="J5089" t="inlineStr"/>
      <c r="K5089" t="inlineStr"/>
      <c r="L5089" s="2" t="n">
        <v>-1357</v>
      </c>
      <c r="M5089" t="inlineStr"/>
      <c r="N5089" t="inlineStr">
        <is>
          <t>20240509900571</t>
        </is>
      </c>
      <c r="O5089">
        <f>HYPERLINK("https://dart.fss.or.kr/dsaf001/main.do?rcpNo=20240509900571", "공시열람")</f>
        <v/>
      </c>
    </row>
    <row r="5090">
      <c r="A5090" t="inlineStr">
        <is>
          <t>2024-05-09</t>
        </is>
      </c>
      <c r="B5090" t="inlineStr">
        <is>
          <t>한샘</t>
        </is>
      </c>
      <c r="C5090" t="inlineStr">
        <is>
          <t>009240</t>
        </is>
      </c>
      <c r="D5090" t="inlineStr">
        <is>
          <t>연결</t>
        </is>
      </c>
      <c r="E5090" t="inlineStr">
        <is>
          <t>2024Q1</t>
        </is>
      </c>
      <c r="F5090" s="2" t="n">
        <v>485899</v>
      </c>
      <c r="G5090" t="n">
        <v>-3.2</v>
      </c>
      <c r="H5090" t="n">
        <v>3.5</v>
      </c>
      <c r="I5090" s="2" t="n">
        <v>12995</v>
      </c>
      <c r="J5090" t="n">
        <v>12.6</v>
      </c>
      <c r="K5090" t="inlineStr"/>
      <c r="L5090" s="2" t="n">
        <v>48516</v>
      </c>
      <c r="M5090" t="inlineStr"/>
      <c r="N5090" t="inlineStr">
        <is>
          <t>20240509800624</t>
        </is>
      </c>
      <c r="O5090">
        <f>HYPERLINK("https://dart.fss.or.kr/dsaf001/main.do?rcpNo=20240509800624", "공시열람")</f>
        <v/>
      </c>
    </row>
    <row r="5091">
      <c r="A5091" t="inlineStr">
        <is>
          <t>2024-05-09</t>
        </is>
      </c>
      <c r="B5091" t="inlineStr">
        <is>
          <t>두산로보틱스</t>
        </is>
      </c>
      <c r="C5091" t="inlineStr">
        <is>
          <t>454910</t>
        </is>
      </c>
      <c r="D5091" t="inlineStr">
        <is>
          <t>연결</t>
        </is>
      </c>
      <c r="E5091" t="inlineStr">
        <is>
          <t>2024Q1</t>
        </is>
      </c>
      <c r="F5091" s="2" t="n">
        <v>10882</v>
      </c>
      <c r="G5091" t="n">
        <v>-35.52</v>
      </c>
      <c r="H5091" t="n">
        <v>3.08</v>
      </c>
      <c r="I5091" s="2" t="n">
        <v>-6886</v>
      </c>
      <c r="J5091" t="n">
        <v>-122.28</v>
      </c>
      <c r="K5091" t="n">
        <v>-52.21</v>
      </c>
      <c r="L5091" s="2" t="n">
        <v>-2847</v>
      </c>
      <c r="M5091" t="n">
        <v>37.78</v>
      </c>
      <c r="N5091" t="inlineStr">
        <is>
          <t>20240509800029</t>
        </is>
      </c>
      <c r="O5091">
        <f>HYPERLINK("https://dart.fss.or.kr/dsaf001/main.do?rcpNo=20240509800029", "공시열람")</f>
        <v/>
      </c>
    </row>
    <row r="5092">
      <c r="A5092" t="inlineStr">
        <is>
          <t>2024-05-09</t>
        </is>
      </c>
      <c r="B5092" t="inlineStr">
        <is>
          <t>GS</t>
        </is>
      </c>
      <c r="C5092" t="inlineStr">
        <is>
          <t>078930</t>
        </is>
      </c>
      <c r="D5092" t="inlineStr">
        <is>
          <t>연결</t>
        </is>
      </c>
      <c r="E5092" t="inlineStr">
        <is>
          <t>2024Q1</t>
        </is>
      </c>
      <c r="F5092" s="2" t="n">
        <v>6288978</v>
      </c>
      <c r="G5092" t="n">
        <v>-3.13</v>
      </c>
      <c r="H5092" t="n">
        <v>-7.65</v>
      </c>
      <c r="I5092" s="2" t="n">
        <v>1016270</v>
      </c>
      <c r="J5092" t="n">
        <v>36.9</v>
      </c>
      <c r="K5092" t="n">
        <v>-5.84</v>
      </c>
      <c r="L5092" s="2" t="n">
        <v>476008</v>
      </c>
      <c r="M5092" t="n">
        <v>-8.65</v>
      </c>
      <c r="N5092" t="inlineStr">
        <is>
          <t>20240509800230</t>
        </is>
      </c>
      <c r="O5092">
        <f>HYPERLINK("https://dart.fss.or.kr/dsaf001/main.do?rcpNo=20240509800230", "공시열람")</f>
        <v/>
      </c>
    </row>
    <row r="5093">
      <c r="A5093" t="inlineStr">
        <is>
          <t>2024-05-09</t>
        </is>
      </c>
      <c r="B5093" t="inlineStr">
        <is>
          <t>더블유게임즈</t>
        </is>
      </c>
      <c r="C5093" t="inlineStr">
        <is>
          <t>192080</t>
        </is>
      </c>
      <c r="D5093" t="inlineStr">
        <is>
          <t>별도</t>
        </is>
      </c>
      <c r="E5093" t="inlineStr">
        <is>
          <t>2024Q1</t>
        </is>
      </c>
      <c r="F5093" s="2" t="n">
        <v>45664</v>
      </c>
      <c r="G5093" t="inlineStr"/>
      <c r="H5093" t="inlineStr"/>
      <c r="I5093" s="2" t="n">
        <v>19740</v>
      </c>
      <c r="J5093" t="inlineStr"/>
      <c r="K5093" t="inlineStr"/>
      <c r="L5093" s="2" t="n">
        <v>20261</v>
      </c>
      <c r="M5093" t="inlineStr"/>
      <c r="N5093" t="inlineStr">
        <is>
          <t>20240509800025</t>
        </is>
      </c>
      <c r="O5093">
        <f>HYPERLINK("https://dart.fss.or.kr/dsaf001/main.do?rcpNo=20240509800025", "공시열람")</f>
        <v/>
      </c>
    </row>
    <row r="5094">
      <c r="A5094" t="inlineStr">
        <is>
          <t>2024-05-09</t>
        </is>
      </c>
      <c r="B5094" t="inlineStr">
        <is>
          <t>카카오</t>
        </is>
      </c>
      <c r="C5094" t="inlineStr">
        <is>
          <t>035720</t>
        </is>
      </c>
      <c r="D5094" t="inlineStr">
        <is>
          <t>별도</t>
        </is>
      </c>
      <c r="E5094" t="inlineStr">
        <is>
          <t>2024Q1</t>
        </is>
      </c>
      <c r="F5094" s="2" t="n">
        <v>640466</v>
      </c>
      <c r="G5094" t="n">
        <v>-3</v>
      </c>
      <c r="H5094" t="n">
        <v>5</v>
      </c>
      <c r="I5094" s="2" t="n">
        <v>137726</v>
      </c>
      <c r="J5094" t="n">
        <v>-21.5</v>
      </c>
      <c r="K5094" t="n">
        <v>13.8</v>
      </c>
      <c r="L5094" s="2" t="n">
        <v>132189</v>
      </c>
      <c r="M5094" t="n">
        <v>13.1</v>
      </c>
      <c r="N5094" t="inlineStr">
        <is>
          <t>20240509800024</t>
        </is>
      </c>
      <c r="O5094">
        <f>HYPERLINK("https://dart.fss.or.kr/dsaf001/main.do?rcpNo=20240509800024", "공시열람")</f>
        <v/>
      </c>
    </row>
    <row r="5095">
      <c r="A5095" t="inlineStr">
        <is>
          <t>2024-05-09</t>
        </is>
      </c>
      <c r="B5095" t="inlineStr">
        <is>
          <t>카카오</t>
        </is>
      </c>
      <c r="C5095" t="inlineStr">
        <is>
          <t>035720</t>
        </is>
      </c>
      <c r="D5095" t="inlineStr">
        <is>
          <t>연결</t>
        </is>
      </c>
      <c r="E5095" t="inlineStr">
        <is>
          <t>2024Q1</t>
        </is>
      </c>
      <c r="F5095" s="2" t="n">
        <v>1988350</v>
      </c>
      <c r="G5095" t="n">
        <v>-0.5</v>
      </c>
      <c r="H5095" t="n">
        <v>22.5</v>
      </c>
      <c r="I5095" s="2" t="n">
        <v>120294</v>
      </c>
      <c r="J5095" t="n">
        <v>-25.2</v>
      </c>
      <c r="K5095" t="n">
        <v>92.2</v>
      </c>
      <c r="L5095" s="2" t="n">
        <v>67675</v>
      </c>
      <c r="M5095" t="n">
        <v>711.6</v>
      </c>
      <c r="N5095" t="inlineStr">
        <is>
          <t>20240509800022</t>
        </is>
      </c>
      <c r="O5095">
        <f>HYPERLINK("https://dart.fss.or.kr/dsaf001/main.do?rcpNo=20240509800022", "공시열람")</f>
        <v/>
      </c>
    </row>
    <row r="5096">
      <c r="A5096" t="inlineStr">
        <is>
          <t>2024-05-09</t>
        </is>
      </c>
      <c r="B5096" t="inlineStr">
        <is>
          <t>더블유게임즈</t>
        </is>
      </c>
      <c r="C5096" t="inlineStr">
        <is>
          <t>192080</t>
        </is>
      </c>
      <c r="D5096" t="inlineStr">
        <is>
          <t>연결</t>
        </is>
      </c>
      <c r="E5096" t="inlineStr">
        <is>
          <t>2024Q1</t>
        </is>
      </c>
      <c r="F5096" s="2" t="n">
        <v>160481</v>
      </c>
      <c r="G5096" t="inlineStr"/>
      <c r="H5096" t="inlineStr"/>
      <c r="I5096" s="2" t="n">
        <v>61687</v>
      </c>
      <c r="J5096" t="inlineStr"/>
      <c r="K5096" t="inlineStr"/>
      <c r="L5096" s="2" t="n">
        <v>60437</v>
      </c>
      <c r="M5096" t="inlineStr"/>
      <c r="N5096" t="inlineStr">
        <is>
          <t>20240509800019</t>
        </is>
      </c>
      <c r="O5096">
        <f>HYPERLINK("https://dart.fss.or.kr/dsaf001/main.do?rcpNo=20240509800019", "공시열람")</f>
        <v/>
      </c>
    </row>
    <row r="5097">
      <c r="A5097" t="inlineStr">
        <is>
          <t>2024-05-09</t>
        </is>
      </c>
      <c r="B5097" t="inlineStr">
        <is>
          <t>NHN</t>
        </is>
      </c>
      <c r="C5097" t="inlineStr">
        <is>
          <t>181710</t>
        </is>
      </c>
      <c r="D5097" t="inlineStr">
        <is>
          <t>연결</t>
        </is>
      </c>
      <c r="E5097" t="inlineStr">
        <is>
          <t>2024Q1</t>
        </is>
      </c>
      <c r="F5097" s="2" t="n">
        <v>604395</v>
      </c>
      <c r="G5097" t="inlineStr"/>
      <c r="H5097" t="inlineStr"/>
      <c r="I5097" s="2" t="n">
        <v>27287</v>
      </c>
      <c r="J5097" t="inlineStr"/>
      <c r="K5097" t="inlineStr"/>
      <c r="L5097" s="2" t="n">
        <v>-4843</v>
      </c>
      <c r="M5097" t="inlineStr"/>
      <c r="N5097" t="inlineStr">
        <is>
          <t>20240509800018</t>
        </is>
      </c>
      <c r="O5097">
        <f>HYPERLINK("https://dart.fss.or.kr/dsaf001/main.do?rcpNo=20240509800018", "공시열람")</f>
        <v/>
      </c>
    </row>
    <row r="5098">
      <c r="A5098" t="inlineStr">
        <is>
          <t>2024-05-09</t>
        </is>
      </c>
      <c r="B5098" t="inlineStr">
        <is>
          <t>NHN</t>
        </is>
      </c>
      <c r="C5098" t="inlineStr">
        <is>
          <t>181710</t>
        </is>
      </c>
      <c r="D5098" t="inlineStr">
        <is>
          <t>별도</t>
        </is>
      </c>
      <c r="E5098" t="inlineStr">
        <is>
          <t>2024Q1</t>
        </is>
      </c>
      <c r="F5098" s="2" t="n">
        <v>93811</v>
      </c>
      <c r="G5098" t="inlineStr"/>
      <c r="H5098" t="inlineStr"/>
      <c r="I5098" s="2" t="n">
        <v>24846</v>
      </c>
      <c r="J5098" t="inlineStr"/>
      <c r="K5098" t="inlineStr"/>
      <c r="L5098" s="2" t="n">
        <v>44827</v>
      </c>
      <c r="M5098" t="inlineStr"/>
      <c r="N5098" t="inlineStr">
        <is>
          <t>20240509800017</t>
        </is>
      </c>
      <c r="O5098">
        <f>HYPERLINK("https://dart.fss.or.kr/dsaf001/main.do?rcpNo=20240509800017", "공시열람")</f>
        <v/>
      </c>
    </row>
    <row r="5099">
      <c r="A5099" t="inlineStr">
        <is>
          <t>2024-05-09</t>
        </is>
      </c>
      <c r="B5099" t="inlineStr">
        <is>
          <t>NHN벅스</t>
        </is>
      </c>
      <c r="C5099" t="inlineStr">
        <is>
          <t>104200</t>
        </is>
      </c>
      <c r="D5099" t="inlineStr">
        <is>
          <t>별도</t>
        </is>
      </c>
      <c r="E5099" t="inlineStr">
        <is>
          <t>2024Q1</t>
        </is>
      </c>
      <c r="F5099" s="2" t="n">
        <v>12895</v>
      </c>
      <c r="G5099" t="inlineStr"/>
      <c r="H5099" t="inlineStr"/>
      <c r="I5099" s="2" t="n">
        <v>-600</v>
      </c>
      <c r="J5099" t="inlineStr"/>
      <c r="K5099" t="inlineStr"/>
      <c r="L5099" s="2" t="n">
        <v>-767</v>
      </c>
      <c r="M5099" t="inlineStr"/>
      <c r="N5099" t="inlineStr">
        <is>
          <t>20240509900007</t>
        </is>
      </c>
      <c r="O5099">
        <f>HYPERLINK("https://dart.fss.or.kr/dsaf001/main.do?rcpNo=20240509900007", "공시열람")</f>
        <v/>
      </c>
    </row>
    <row r="5100">
      <c r="A5100" t="inlineStr">
        <is>
          <t>2024-05-09</t>
        </is>
      </c>
      <c r="B5100" t="inlineStr">
        <is>
          <t>NHN KCP</t>
        </is>
      </c>
      <c r="C5100" t="inlineStr">
        <is>
          <t>060250</t>
        </is>
      </c>
      <c r="D5100" t="inlineStr">
        <is>
          <t>별도</t>
        </is>
      </c>
      <c r="E5100" t="inlineStr">
        <is>
          <t>2024Q1</t>
        </is>
      </c>
      <c r="F5100" s="2" t="n">
        <v>267459</v>
      </c>
      <c r="G5100" t="inlineStr"/>
      <c r="H5100" t="inlineStr"/>
      <c r="I5100" s="2" t="n">
        <v>11785</v>
      </c>
      <c r="J5100" t="inlineStr"/>
      <c r="K5100" t="inlineStr"/>
      <c r="L5100" s="2" t="n">
        <v>12906</v>
      </c>
      <c r="M5100" t="inlineStr"/>
      <c r="N5100" t="inlineStr">
        <is>
          <t>20240509900011</t>
        </is>
      </c>
      <c r="O5100">
        <f>HYPERLINK("https://dart.fss.or.kr/dsaf001/main.do?rcpNo=20240509900011", "공시열람")</f>
        <v/>
      </c>
    </row>
    <row r="5101">
      <c r="A5101" t="inlineStr">
        <is>
          <t>2024-05-09</t>
        </is>
      </c>
      <c r="B5101" t="inlineStr">
        <is>
          <t>NHN KCP</t>
        </is>
      </c>
      <c r="C5101" t="inlineStr">
        <is>
          <t>060250</t>
        </is>
      </c>
      <c r="D5101" t="inlineStr">
        <is>
          <t>연결</t>
        </is>
      </c>
      <c r="E5101" t="inlineStr">
        <is>
          <t>2024Q1</t>
        </is>
      </c>
      <c r="F5101" s="2" t="n">
        <v>268164</v>
      </c>
      <c r="G5101" t="inlineStr"/>
      <c r="H5101" t="inlineStr"/>
      <c r="I5101" s="2" t="n">
        <v>11164</v>
      </c>
      <c r="J5101" t="inlineStr"/>
      <c r="K5101" t="inlineStr"/>
      <c r="L5101" s="2" t="n">
        <v>12553</v>
      </c>
      <c r="M5101" t="inlineStr"/>
      <c r="N5101" t="inlineStr">
        <is>
          <t>20240509900009</t>
        </is>
      </c>
      <c r="O5101">
        <f>HYPERLINK("https://dart.fss.or.kr/dsaf001/main.do?rcpNo=20240509900009", "공시열람")</f>
        <v/>
      </c>
    </row>
    <row r="5102">
      <c r="A5102" t="inlineStr">
        <is>
          <t>2024-05-09</t>
        </is>
      </c>
      <c r="B5102" t="inlineStr">
        <is>
          <t>롯데에너지머티리얼즈</t>
        </is>
      </c>
      <c r="C5102" t="inlineStr">
        <is>
          <t>020150</t>
        </is>
      </c>
      <c r="D5102" t="inlineStr">
        <is>
          <t>연결</t>
        </is>
      </c>
      <c r="E5102" t="inlineStr">
        <is>
          <t>2024Q1</t>
        </is>
      </c>
      <c r="F5102" s="2" t="n">
        <v>241700</v>
      </c>
      <c r="G5102" t="n">
        <v>5.3</v>
      </c>
      <c r="H5102" t="n">
        <v>47.7</v>
      </c>
      <c r="I5102" s="2" t="n">
        <v>4300</v>
      </c>
      <c r="J5102" t="n">
        <v>282.2</v>
      </c>
      <c r="K5102" t="n">
        <v>-29.3</v>
      </c>
      <c r="L5102" s="2" t="n">
        <v>-600</v>
      </c>
      <c r="M5102" t="n">
        <v>98.7</v>
      </c>
      <c r="N5102" t="inlineStr">
        <is>
          <t>20240509800005</t>
        </is>
      </c>
      <c r="O5102">
        <f>HYPERLINK("https://dart.fss.or.kr/dsaf001/main.do?rcpNo=20240509800005", "공시열람")</f>
        <v/>
      </c>
    </row>
    <row r="5103">
      <c r="A5103" t="inlineStr">
        <is>
          <t>2024-05-09</t>
        </is>
      </c>
      <c r="B5103" t="inlineStr">
        <is>
          <t>현대백화점</t>
        </is>
      </c>
      <c r="C5103" t="inlineStr">
        <is>
          <t>069960</t>
        </is>
      </c>
      <c r="D5103" t="inlineStr">
        <is>
          <t>연결</t>
        </is>
      </c>
      <c r="E5103" t="inlineStr">
        <is>
          <t>2024Q1</t>
        </is>
      </c>
      <c r="F5103" s="2" t="n">
        <v>951700</v>
      </c>
      <c r="G5103" t="n">
        <v>-16.2</v>
      </c>
      <c r="H5103" t="n">
        <v>-13.3</v>
      </c>
      <c r="I5103" s="2" t="n">
        <v>68900</v>
      </c>
      <c r="J5103" t="n">
        <v>-28.3</v>
      </c>
      <c r="K5103" t="n">
        <v>-11.6</v>
      </c>
      <c r="L5103" s="2" t="n">
        <v>70800</v>
      </c>
      <c r="M5103" t="n">
        <v>1.8</v>
      </c>
      <c r="N5103" t="inlineStr">
        <is>
          <t>20240509800366</t>
        </is>
      </c>
      <c r="O5103">
        <f>HYPERLINK("https://dart.fss.or.kr/dsaf001/main.do?rcpNo=20240509800366", "공시열람")</f>
        <v/>
      </c>
    </row>
    <row r="5104">
      <c r="A5104" t="inlineStr">
        <is>
          <t>2024-05-09</t>
        </is>
      </c>
      <c r="B5104" t="inlineStr">
        <is>
          <t>덴티움</t>
        </is>
      </c>
      <c r="C5104" t="inlineStr">
        <is>
          <t>145720</t>
        </is>
      </c>
      <c r="D5104" t="inlineStr">
        <is>
          <t>연결</t>
        </is>
      </c>
      <c r="E5104" t="inlineStr">
        <is>
          <t>2024Q1</t>
        </is>
      </c>
      <c r="F5104" s="2" t="n">
        <v>82733</v>
      </c>
      <c r="G5104" t="n">
        <v>-33.4</v>
      </c>
      <c r="H5104" t="n">
        <v>20.2</v>
      </c>
      <c r="I5104" s="2" t="n">
        <v>19223</v>
      </c>
      <c r="J5104" t="n">
        <v>-64.59999999999999</v>
      </c>
      <c r="K5104" t="n">
        <v>-10.7</v>
      </c>
      <c r="L5104" s="2" t="n">
        <v>16521</v>
      </c>
      <c r="M5104" t="n">
        <v>-9.800000000000001</v>
      </c>
      <c r="N5104" t="inlineStr">
        <is>
          <t>20240509800364</t>
        </is>
      </c>
      <c r="O5104">
        <f>HYPERLINK("https://dart.fss.or.kr/dsaf001/main.do?rcpNo=20240509800364", "공시열람")</f>
        <v/>
      </c>
    </row>
    <row r="5105">
      <c r="A5105" t="inlineStr">
        <is>
          <t>2024-05-09</t>
        </is>
      </c>
      <c r="B5105" t="inlineStr">
        <is>
          <t>넷마블</t>
        </is>
      </c>
      <c r="C5105" t="inlineStr">
        <is>
          <t>251270</t>
        </is>
      </c>
      <c r="D5105" t="inlineStr">
        <is>
          <t>연결</t>
        </is>
      </c>
      <c r="E5105" t="inlineStr">
        <is>
          <t>2024Q1</t>
        </is>
      </c>
      <c r="F5105" s="2" t="n">
        <v>585400</v>
      </c>
      <c r="G5105" t="n">
        <v>-12</v>
      </c>
      <c r="H5105" t="n">
        <v>-2.9</v>
      </c>
      <c r="I5105" s="2" t="n">
        <v>3700</v>
      </c>
      <c r="J5105" t="n">
        <v>-80.3</v>
      </c>
      <c r="K5105" t="inlineStr"/>
      <c r="L5105" s="2" t="n">
        <v>-9900</v>
      </c>
      <c r="M5105" t="n">
        <v>78.40000000000001</v>
      </c>
      <c r="N5105" t="inlineStr">
        <is>
          <t>20240509800354</t>
        </is>
      </c>
      <c r="O5105">
        <f>HYPERLINK("https://dart.fss.or.kr/dsaf001/main.do?rcpNo=20240509800354", "공시열람")</f>
        <v/>
      </c>
    </row>
    <row r="5106">
      <c r="A5106" t="inlineStr">
        <is>
          <t>2024-05-09</t>
        </is>
      </c>
      <c r="B5106" t="inlineStr">
        <is>
          <t>롯데쇼핑</t>
        </is>
      </c>
      <c r="C5106" t="inlineStr">
        <is>
          <t>023530</t>
        </is>
      </c>
      <c r="D5106" t="inlineStr">
        <is>
          <t>연결</t>
        </is>
      </c>
      <c r="E5106" t="inlineStr">
        <is>
          <t>2024Q1</t>
        </is>
      </c>
      <c r="F5106" s="2" t="n">
        <v>3513306</v>
      </c>
      <c r="G5106" t="n">
        <v>-3.3</v>
      </c>
      <c r="H5106" t="n">
        <v>-1.4</v>
      </c>
      <c r="I5106" s="2" t="n">
        <v>114871</v>
      </c>
      <c r="J5106" t="n">
        <v>-43.2</v>
      </c>
      <c r="K5106" t="n">
        <v>2.1</v>
      </c>
      <c r="L5106" s="2" t="n">
        <v>72861</v>
      </c>
      <c r="M5106" t="n">
        <v>26.1</v>
      </c>
      <c r="N5106" t="inlineStr">
        <is>
          <t>20240509800343</t>
        </is>
      </c>
      <c r="O5106">
        <f>HYPERLINK("https://dart.fss.or.kr/dsaf001/main.do?rcpNo=20240509800343", "공시열람")</f>
        <v/>
      </c>
    </row>
    <row r="5107">
      <c r="A5107" t="inlineStr">
        <is>
          <t>2024-05-09</t>
        </is>
      </c>
      <c r="B5107" t="inlineStr">
        <is>
          <t>애경산업</t>
        </is>
      </c>
      <c r="C5107" t="inlineStr">
        <is>
          <t>018250</t>
        </is>
      </c>
      <c r="D5107" t="inlineStr">
        <is>
          <t>연결</t>
        </is>
      </c>
      <c r="E5107" t="inlineStr">
        <is>
          <t>2024Q1</t>
        </is>
      </c>
      <c r="F5107" s="2" t="n">
        <v>169111</v>
      </c>
      <c r="G5107" t="inlineStr"/>
      <c r="H5107" t="inlineStr"/>
      <c r="I5107" s="2" t="n">
        <v>16473</v>
      </c>
      <c r="J5107" t="inlineStr"/>
      <c r="K5107" t="inlineStr"/>
      <c r="L5107" s="2" t="n">
        <v>13586</v>
      </c>
      <c r="M5107" t="inlineStr"/>
      <c r="N5107" t="inlineStr">
        <is>
          <t>20240509800224</t>
        </is>
      </c>
      <c r="O5107">
        <f>HYPERLINK("https://dart.fss.or.kr/dsaf001/main.do?rcpNo=20240509800224", "공시열람")</f>
        <v/>
      </c>
    </row>
    <row r="5108">
      <c r="A5108" t="inlineStr">
        <is>
          <t>2024-05-09</t>
        </is>
      </c>
      <c r="B5108" t="inlineStr">
        <is>
          <t>아이쓰리시스템</t>
        </is>
      </c>
      <c r="C5108" t="inlineStr">
        <is>
          <t>214430</t>
        </is>
      </c>
      <c r="D5108" t="inlineStr">
        <is>
          <t>별도</t>
        </is>
      </c>
      <c r="E5108" t="inlineStr">
        <is>
          <t>2024Q1</t>
        </is>
      </c>
      <c r="F5108" s="2" t="n">
        <v>31702</v>
      </c>
      <c r="G5108" t="inlineStr"/>
      <c r="H5108" t="inlineStr"/>
      <c r="I5108" s="2" t="n">
        <v>4072</v>
      </c>
      <c r="J5108" t="inlineStr"/>
      <c r="K5108" t="inlineStr"/>
      <c r="L5108" s="2" t="n">
        <v>4009</v>
      </c>
      <c r="M5108" t="inlineStr"/>
      <c r="N5108" t="inlineStr">
        <is>
          <t>20240509900233</t>
        </is>
      </c>
      <c r="O5108">
        <f>HYPERLINK("https://dart.fss.or.kr/dsaf001/main.do?rcpNo=20240509900233", "공시열람")</f>
        <v/>
      </c>
    </row>
    <row r="5109">
      <c r="A5109" t="inlineStr">
        <is>
          <t>2024-05-09</t>
        </is>
      </c>
      <c r="B5109" t="inlineStr">
        <is>
          <t>바텍</t>
        </is>
      </c>
      <c r="C5109" t="inlineStr">
        <is>
          <t>043150</t>
        </is>
      </c>
      <c r="D5109" t="inlineStr">
        <is>
          <t>연결</t>
        </is>
      </c>
      <c r="E5109" t="inlineStr">
        <is>
          <t>2024Q1</t>
        </is>
      </c>
      <c r="F5109" s="2" t="n">
        <v>94227</v>
      </c>
      <c r="G5109" t="inlineStr"/>
      <c r="H5109" t="inlineStr"/>
      <c r="I5109" s="2" t="n">
        <v>14378</v>
      </c>
      <c r="J5109" t="inlineStr"/>
      <c r="K5109" t="inlineStr"/>
      <c r="L5109" s="2" t="n">
        <v>17236</v>
      </c>
      <c r="M5109" t="inlineStr"/>
      <c r="N5109" t="inlineStr">
        <is>
          <t>20240509900234</t>
        </is>
      </c>
      <c r="O5109">
        <f>HYPERLINK("https://dart.fss.or.kr/dsaf001/main.do?rcpNo=20240509900234", "공시열람")</f>
        <v/>
      </c>
    </row>
    <row r="5110">
      <c r="A5110" t="inlineStr">
        <is>
          <t>2024-05-09</t>
        </is>
      </c>
      <c r="B5110" t="inlineStr">
        <is>
          <t>레이언스</t>
        </is>
      </c>
      <c r="C5110" t="inlineStr">
        <is>
          <t>228850</t>
        </is>
      </c>
      <c r="D5110" t="inlineStr">
        <is>
          <t>연결</t>
        </is>
      </c>
      <c r="E5110" t="inlineStr">
        <is>
          <t>2024Q1</t>
        </is>
      </c>
      <c r="F5110" s="2" t="n">
        <v>35724</v>
      </c>
      <c r="G5110" t="inlineStr"/>
      <c r="H5110" t="inlineStr"/>
      <c r="I5110" s="2" t="n">
        <v>4104</v>
      </c>
      <c r="J5110" t="inlineStr"/>
      <c r="K5110" t="inlineStr"/>
      <c r="L5110" s="2" t="n">
        <v>4288</v>
      </c>
      <c r="M5110" t="inlineStr"/>
      <c r="N5110" t="inlineStr">
        <is>
          <t>20240509900235</t>
        </is>
      </c>
      <c r="O5110">
        <f>HYPERLINK("https://dart.fss.or.kr/dsaf001/main.do?rcpNo=20240509900235", "공시열람")</f>
        <v/>
      </c>
    </row>
    <row r="5111">
      <c r="A5111" t="inlineStr">
        <is>
          <t>2024-05-09</t>
        </is>
      </c>
      <c r="B5111" t="inlineStr">
        <is>
          <t>JW생명과학</t>
        </is>
      </c>
      <c r="C5111" t="inlineStr">
        <is>
          <t>234080</t>
        </is>
      </c>
      <c r="D5111" t="inlineStr">
        <is>
          <t>별도</t>
        </is>
      </c>
      <c r="E5111" t="inlineStr">
        <is>
          <t>2024Q1</t>
        </is>
      </c>
      <c r="F5111" s="2" t="n">
        <v>54736</v>
      </c>
      <c r="G5111" t="n">
        <v>4.04</v>
      </c>
      <c r="H5111" t="n">
        <v>11.66</v>
      </c>
      <c r="I5111" s="2" t="n">
        <v>8338</v>
      </c>
      <c r="J5111" t="n">
        <v>10.44</v>
      </c>
      <c r="K5111" t="n">
        <v>0.79</v>
      </c>
      <c r="L5111" s="2" t="n">
        <v>5588</v>
      </c>
      <c r="M5111" t="n">
        <v>-7.63</v>
      </c>
      <c r="N5111" t="inlineStr">
        <is>
          <t>20240509800241</t>
        </is>
      </c>
      <c r="O5111">
        <f>HYPERLINK("https://dart.fss.or.kr/dsaf001/main.do?rcpNo=20240509800241", "공시열람")</f>
        <v/>
      </c>
    </row>
    <row r="5112">
      <c r="A5112" t="inlineStr">
        <is>
          <t>2024-05-09</t>
        </is>
      </c>
      <c r="B5112" t="inlineStr">
        <is>
          <t>현대그린푸드</t>
        </is>
      </c>
      <c r="C5112" t="inlineStr">
        <is>
          <t>453340</t>
        </is>
      </c>
      <c r="D5112" t="inlineStr">
        <is>
          <t>연결</t>
        </is>
      </c>
      <c r="E5112" t="inlineStr">
        <is>
          <t>2024Q1</t>
        </is>
      </c>
      <c r="F5112" s="2" t="n">
        <v>559500</v>
      </c>
      <c r="G5112" t="n">
        <v>0.36</v>
      </c>
      <c r="H5112" t="n">
        <v>220.64</v>
      </c>
      <c r="I5112" s="2" t="n">
        <v>31200</v>
      </c>
      <c r="J5112" t="inlineStr"/>
      <c r="K5112" t="n">
        <v>196.79</v>
      </c>
      <c r="L5112" s="2" t="n">
        <v>24400</v>
      </c>
      <c r="M5112" t="n">
        <v>158.58</v>
      </c>
      <c r="N5112" t="inlineStr">
        <is>
          <t>20240509800250</t>
        </is>
      </c>
      <c r="O5112">
        <f>HYPERLINK("https://dart.fss.or.kr/dsaf001/main.do?rcpNo=20240509800250", "공시열람")</f>
        <v/>
      </c>
    </row>
    <row r="5113">
      <c r="A5113" t="inlineStr">
        <is>
          <t>2024-05-09</t>
        </is>
      </c>
      <c r="B5113" t="inlineStr">
        <is>
          <t>JW신약</t>
        </is>
      </c>
      <c r="C5113" t="inlineStr">
        <is>
          <t>067290</t>
        </is>
      </c>
      <c r="D5113" t="inlineStr">
        <is>
          <t>별도</t>
        </is>
      </c>
      <c r="E5113" t="inlineStr">
        <is>
          <t>2024Q1</t>
        </is>
      </c>
      <c r="F5113" s="2" t="n">
        <v>23792</v>
      </c>
      <c r="G5113" t="inlineStr"/>
      <c r="H5113" t="inlineStr"/>
      <c r="I5113" s="2" t="n">
        <v>2876</v>
      </c>
      <c r="J5113" t="inlineStr"/>
      <c r="K5113" t="inlineStr"/>
      <c r="L5113" s="2" t="n">
        <v>1922</v>
      </c>
      <c r="M5113" t="inlineStr"/>
      <c r="N5113" t="inlineStr">
        <is>
          <t>20240509900240</t>
        </is>
      </c>
      <c r="O5113">
        <f>HYPERLINK("https://dart.fss.or.kr/dsaf001/main.do?rcpNo=20240509900240", "공시열람")</f>
        <v/>
      </c>
    </row>
    <row r="5114">
      <c r="A5114" t="inlineStr">
        <is>
          <t>2024-05-09</t>
        </is>
      </c>
      <c r="B5114" t="inlineStr">
        <is>
          <t>휴젤</t>
        </is>
      </c>
      <c r="C5114" t="inlineStr">
        <is>
          <t>145020</t>
        </is>
      </c>
      <c r="D5114" t="inlineStr">
        <is>
          <t>연결</t>
        </is>
      </c>
      <c r="E5114" t="inlineStr">
        <is>
          <t>2024Q1</t>
        </is>
      </c>
      <c r="F5114" s="2" t="n">
        <v>74306</v>
      </c>
      <c r="G5114" t="inlineStr"/>
      <c r="H5114" t="inlineStr"/>
      <c r="I5114" s="2" t="n">
        <v>23956</v>
      </c>
      <c r="J5114" t="inlineStr"/>
      <c r="K5114" t="inlineStr"/>
      <c r="L5114" s="2" t="n">
        <v>22726</v>
      </c>
      <c r="M5114" t="inlineStr"/>
      <c r="N5114" t="inlineStr">
        <is>
          <t>20240509900252</t>
        </is>
      </c>
      <c r="O5114">
        <f>HYPERLINK("https://dart.fss.or.kr/dsaf001/main.do?rcpNo=20240509900252", "공시열람")</f>
        <v/>
      </c>
    </row>
    <row r="5115">
      <c r="A5115" t="inlineStr">
        <is>
          <t>2024-05-09</t>
        </is>
      </c>
      <c r="B5115" t="inlineStr">
        <is>
          <t>인바디</t>
        </is>
      </c>
      <c r="C5115" t="inlineStr">
        <is>
          <t>041830</t>
        </is>
      </c>
      <c r="D5115" t="inlineStr">
        <is>
          <t>연결</t>
        </is>
      </c>
      <c r="E5115" t="inlineStr">
        <is>
          <t>2024Q1</t>
        </is>
      </c>
      <c r="F5115" s="2" t="n">
        <v>48429</v>
      </c>
      <c r="G5115" t="inlineStr"/>
      <c r="H5115" t="inlineStr"/>
      <c r="I5115" s="2" t="n">
        <v>10000</v>
      </c>
      <c r="J5115" t="inlineStr"/>
      <c r="K5115" t="inlineStr"/>
      <c r="L5115" s="2" t="n">
        <v>8745</v>
      </c>
      <c r="M5115" t="inlineStr"/>
      <c r="N5115" t="inlineStr">
        <is>
          <t>20240509900282</t>
        </is>
      </c>
      <c r="O5115">
        <f>HYPERLINK("https://dart.fss.or.kr/dsaf001/main.do?rcpNo=20240509900282", "공시열람")</f>
        <v/>
      </c>
    </row>
    <row r="5116">
      <c r="A5116" t="inlineStr">
        <is>
          <t>2024-05-09</t>
        </is>
      </c>
      <c r="B5116" t="inlineStr">
        <is>
          <t>빅텍</t>
        </is>
      </c>
      <c r="C5116" t="inlineStr">
        <is>
          <t>065450</t>
        </is>
      </c>
      <c r="D5116" t="inlineStr">
        <is>
          <t>별도</t>
        </is>
      </c>
      <c r="E5116" t="inlineStr">
        <is>
          <t>2024Q1</t>
        </is>
      </c>
      <c r="F5116" s="2" t="n">
        <v>16469</v>
      </c>
      <c r="G5116" t="inlineStr"/>
      <c r="H5116" t="inlineStr"/>
      <c r="I5116" s="2" t="n">
        <v>-251</v>
      </c>
      <c r="J5116" t="inlineStr"/>
      <c r="K5116" t="inlineStr"/>
      <c r="L5116" s="2" t="n">
        <v>1588</v>
      </c>
      <c r="M5116" t="inlineStr"/>
      <c r="N5116" t="inlineStr">
        <is>
          <t>20240509900288</t>
        </is>
      </c>
      <c r="O5116">
        <f>HYPERLINK("https://dart.fss.or.kr/dsaf001/main.do?rcpNo=20240509900288", "공시열람")</f>
        <v/>
      </c>
    </row>
    <row r="5117">
      <c r="A5117" t="inlineStr">
        <is>
          <t>2024-05-09</t>
        </is>
      </c>
      <c r="B5117" t="inlineStr">
        <is>
          <t>지누스</t>
        </is>
      </c>
      <c r="C5117" t="inlineStr">
        <is>
          <t>013890</t>
        </is>
      </c>
      <c r="D5117" t="inlineStr">
        <is>
          <t>연결</t>
        </is>
      </c>
      <c r="E5117" t="inlineStr">
        <is>
          <t>2024Q1</t>
        </is>
      </c>
      <c r="F5117" s="2" t="n">
        <v>152246</v>
      </c>
      <c r="G5117" t="inlineStr"/>
      <c r="H5117" t="inlineStr"/>
      <c r="I5117" s="2" t="n">
        <v>-19098</v>
      </c>
      <c r="J5117" t="inlineStr"/>
      <c r="K5117" t="inlineStr"/>
      <c r="L5117" s="2" t="n">
        <v>-13463</v>
      </c>
      <c r="M5117" t="inlineStr"/>
      <c r="N5117" t="inlineStr">
        <is>
          <t>20240509800328</t>
        </is>
      </c>
      <c r="O5117">
        <f>HYPERLINK("https://dart.fss.or.kr/dsaf001/main.do?rcpNo=20240509800328", "공시열람")</f>
        <v/>
      </c>
    </row>
    <row r="5118">
      <c r="A5118" t="inlineStr">
        <is>
          <t>2024-05-09</t>
        </is>
      </c>
      <c r="B5118" t="inlineStr">
        <is>
          <t>롯데케미칼</t>
        </is>
      </c>
      <c r="C5118" t="inlineStr">
        <is>
          <t>011170</t>
        </is>
      </c>
      <c r="D5118" t="inlineStr">
        <is>
          <t>연결</t>
        </is>
      </c>
      <c r="E5118" t="inlineStr">
        <is>
          <t>2024Q1</t>
        </is>
      </c>
      <c r="F5118" s="2" t="n">
        <v>5086124</v>
      </c>
      <c r="G5118" t="n">
        <v>3.7</v>
      </c>
      <c r="H5118" t="n">
        <v>0.9</v>
      </c>
      <c r="I5118" s="2" t="n">
        <v>-135280</v>
      </c>
      <c r="J5118" t="n">
        <v>57.2</v>
      </c>
      <c r="K5118" t="n">
        <v>-2455.3</v>
      </c>
      <c r="L5118" s="2" t="n">
        <v>-60446</v>
      </c>
      <c r="M5118" t="inlineStr"/>
      <c r="N5118" t="inlineStr">
        <is>
          <t>20240509800323</t>
        </is>
      </c>
      <c r="O5118">
        <f>HYPERLINK("https://dart.fss.or.kr/dsaf001/main.do?rcpNo=20240509800323", "공시열람")</f>
        <v/>
      </c>
    </row>
    <row r="5119">
      <c r="A5119" t="inlineStr">
        <is>
          <t>2024-05-09</t>
        </is>
      </c>
      <c r="B5119" t="inlineStr">
        <is>
          <t>코오롱글로벌</t>
        </is>
      </c>
      <c r="C5119" t="inlineStr">
        <is>
          <t>003070</t>
        </is>
      </c>
      <c r="D5119" t="inlineStr">
        <is>
          <t>연결</t>
        </is>
      </c>
      <c r="E5119" t="inlineStr">
        <is>
          <t>2024Q1</t>
        </is>
      </c>
      <c r="F5119" s="2" t="n">
        <v>702454</v>
      </c>
      <c r="G5119" t="n">
        <v>-4.74</v>
      </c>
      <c r="H5119" t="n">
        <v>19.75</v>
      </c>
      <c r="I5119" s="2" t="n">
        <v>878</v>
      </c>
      <c r="J5119" t="inlineStr"/>
      <c r="K5119" t="n">
        <v>-93.47</v>
      </c>
      <c r="L5119" s="2" t="n">
        <v>-16590</v>
      </c>
      <c r="M5119" t="inlineStr"/>
      <c r="N5119" t="inlineStr">
        <is>
          <t>20240509800324</t>
        </is>
      </c>
      <c r="O5119">
        <f>HYPERLINK("https://dart.fss.or.kr/dsaf001/main.do?rcpNo=20240509800324", "공시열람")</f>
        <v/>
      </c>
    </row>
    <row r="5120">
      <c r="A5120" t="inlineStr">
        <is>
          <t>2024-05-09</t>
        </is>
      </c>
      <c r="B5120" t="inlineStr">
        <is>
          <t>씨에스윈드</t>
        </is>
      </c>
      <c r="C5120" t="inlineStr">
        <is>
          <t>112610</t>
        </is>
      </c>
      <c r="D5120" t="inlineStr">
        <is>
          <t>연결</t>
        </is>
      </c>
      <c r="E5120" t="inlineStr">
        <is>
          <t>2024Q1</t>
        </is>
      </c>
      <c r="F5120" s="2" t="n">
        <v>736699</v>
      </c>
      <c r="G5120" t="n">
        <v>97.2</v>
      </c>
      <c r="H5120" t="n">
        <v>110.2</v>
      </c>
      <c r="I5120" s="2" t="n">
        <v>-9451</v>
      </c>
      <c r="J5120" t="n">
        <v>-197.3</v>
      </c>
      <c r="K5120" t="inlineStr"/>
      <c r="L5120" s="2" t="n">
        <v>-40351</v>
      </c>
      <c r="M5120" t="inlineStr"/>
      <c r="N5120" t="inlineStr">
        <is>
          <t>20240509800331</t>
        </is>
      </c>
      <c r="O5120">
        <f>HYPERLINK("https://dart.fss.or.kr/dsaf001/main.do?rcpNo=20240509800331", "공시열람")</f>
        <v/>
      </c>
    </row>
    <row r="5121">
      <c r="A5121" t="inlineStr">
        <is>
          <t>2024-05-09</t>
        </is>
      </c>
      <c r="B5121" t="inlineStr">
        <is>
          <t>케이티앤지</t>
        </is>
      </c>
      <c r="C5121" t="inlineStr">
        <is>
          <t>033780</t>
        </is>
      </c>
      <c r="D5121" t="inlineStr">
        <is>
          <t>연결</t>
        </is>
      </c>
      <c r="E5121" t="inlineStr">
        <is>
          <t>2021Q4</t>
        </is>
      </c>
      <c r="F5121" s="2" t="n">
        <v>1292261</v>
      </c>
      <c r="G5121" t="inlineStr"/>
      <c r="H5121" t="inlineStr"/>
      <c r="I5121" s="2" t="n">
        <v>236570</v>
      </c>
      <c r="J5121" t="inlineStr"/>
      <c r="K5121" t="inlineStr"/>
      <c r="L5121" s="2" t="n">
        <v>285613</v>
      </c>
      <c r="M5121" t="inlineStr"/>
      <c r="N5121" t="inlineStr">
        <is>
          <t>20240509800326</t>
        </is>
      </c>
      <c r="O5121">
        <f>HYPERLINK("https://dart.fss.or.kr/dsaf001/main.do?rcpNo=20240509800326", "공시열람")</f>
        <v/>
      </c>
    </row>
    <row r="5122">
      <c r="A5122" t="inlineStr">
        <is>
          <t>2024-05-09</t>
        </is>
      </c>
      <c r="B5122" t="inlineStr">
        <is>
          <t>코오롱인더</t>
        </is>
      </c>
      <c r="C5122" t="inlineStr">
        <is>
          <t>120110</t>
        </is>
      </c>
      <c r="D5122" t="inlineStr">
        <is>
          <t>연결</t>
        </is>
      </c>
      <c r="E5122" t="inlineStr">
        <is>
          <t>2024Q1</t>
        </is>
      </c>
      <c r="F5122" s="2" t="n">
        <v>1161196</v>
      </c>
      <c r="G5122" t="n">
        <v>-10.77</v>
      </c>
      <c r="H5122" t="n">
        <v>0.19</v>
      </c>
      <c r="I5122" s="2" t="n">
        <v>30647</v>
      </c>
      <c r="J5122" t="n">
        <v>-25.06</v>
      </c>
      <c r="K5122" t="n">
        <v>-17.55</v>
      </c>
      <c r="L5122" s="2" t="n">
        <v>20314</v>
      </c>
      <c r="M5122" t="n">
        <v>-28.39</v>
      </c>
      <c r="N5122" t="inlineStr">
        <is>
          <t>20240509800335</t>
        </is>
      </c>
      <c r="O5122">
        <f>HYPERLINK("https://dart.fss.or.kr/dsaf001/main.do?rcpNo=20240509800335", "공시열람")</f>
        <v/>
      </c>
    </row>
    <row r="5123">
      <c r="A5123" t="inlineStr">
        <is>
          <t>2024-05-09</t>
        </is>
      </c>
      <c r="B5123" t="inlineStr">
        <is>
          <t>셀트리온</t>
        </is>
      </c>
      <c r="C5123" t="inlineStr">
        <is>
          <t>068270</t>
        </is>
      </c>
      <c r="D5123" t="inlineStr">
        <is>
          <t>별도</t>
        </is>
      </c>
      <c r="E5123" t="inlineStr">
        <is>
          <t>2024Q1</t>
        </is>
      </c>
      <c r="F5123" s="2" t="n">
        <v>638245</v>
      </c>
      <c r="G5123" t="inlineStr"/>
      <c r="H5123" t="inlineStr"/>
      <c r="I5123" s="2" t="n">
        <v>28785</v>
      </c>
      <c r="J5123" t="inlineStr"/>
      <c r="K5123" t="inlineStr"/>
      <c r="L5123" s="2" t="n">
        <v>60933</v>
      </c>
      <c r="M5123" t="inlineStr"/>
      <c r="N5123" t="inlineStr">
        <is>
          <t>20240509800336</t>
        </is>
      </c>
      <c r="O5123">
        <f>HYPERLINK("https://dart.fss.or.kr/dsaf001/main.do?rcpNo=20240509800336", "공시열람")</f>
        <v/>
      </c>
    </row>
    <row r="5124">
      <c r="A5124" t="inlineStr">
        <is>
          <t>2024-05-09</t>
        </is>
      </c>
      <c r="B5124" t="inlineStr">
        <is>
          <t>셀트리온</t>
        </is>
      </c>
      <c r="C5124" t="inlineStr">
        <is>
          <t>068270</t>
        </is>
      </c>
      <c r="D5124" t="inlineStr">
        <is>
          <t>연결</t>
        </is>
      </c>
      <c r="E5124" t="inlineStr">
        <is>
          <t>2024Q1</t>
        </is>
      </c>
      <c r="F5124" s="2" t="n">
        <v>736980</v>
      </c>
      <c r="G5124" t="inlineStr"/>
      <c r="H5124" t="inlineStr"/>
      <c r="I5124" s="2" t="n">
        <v>15437</v>
      </c>
      <c r="J5124" t="inlineStr"/>
      <c r="K5124" t="inlineStr"/>
      <c r="L5124" s="2" t="n">
        <v>20768</v>
      </c>
      <c r="M5124" t="inlineStr"/>
      <c r="N5124" t="inlineStr">
        <is>
          <t>20240509800337</t>
        </is>
      </c>
      <c r="O5124">
        <f>HYPERLINK("https://dart.fss.or.kr/dsaf001/main.do?rcpNo=20240509800337", "공시열람")</f>
        <v/>
      </c>
    </row>
    <row r="5125">
      <c r="A5125" t="inlineStr">
        <is>
          <t>2024-05-09</t>
        </is>
      </c>
      <c r="B5125" t="inlineStr">
        <is>
          <t>엘앤에프</t>
        </is>
      </c>
      <c r="C5125" t="inlineStr">
        <is>
          <t>066970</t>
        </is>
      </c>
      <c r="D5125" t="inlineStr">
        <is>
          <t>연결</t>
        </is>
      </c>
      <c r="E5125" t="inlineStr">
        <is>
          <t>2024Q1</t>
        </is>
      </c>
      <c r="F5125" s="2" t="n">
        <v>635671</v>
      </c>
      <c r="G5125" t="n">
        <v>-3.3</v>
      </c>
      <c r="H5125" t="n">
        <v>-53.4</v>
      </c>
      <c r="I5125" s="2" t="n">
        <v>-203850</v>
      </c>
      <c r="J5125" t="n">
        <v>27.3</v>
      </c>
      <c r="K5125" t="inlineStr"/>
      <c r="L5125" s="2" t="n">
        <v>-111693</v>
      </c>
      <c r="M5125" t="n">
        <v>-594.7</v>
      </c>
      <c r="N5125" t="inlineStr">
        <is>
          <t>20240509800338</t>
        </is>
      </c>
      <c r="O5125">
        <f>HYPERLINK("https://dart.fss.or.kr/dsaf001/main.do?rcpNo=20240509800338", "공시열람")</f>
        <v/>
      </c>
    </row>
    <row r="5126">
      <c r="A5126" t="inlineStr">
        <is>
          <t>2024-05-09</t>
        </is>
      </c>
      <c r="B5126" t="inlineStr">
        <is>
          <t>일동제약</t>
        </is>
      </c>
      <c r="C5126" t="inlineStr">
        <is>
          <t>249420</t>
        </is>
      </c>
      <c r="D5126" t="inlineStr">
        <is>
          <t>연결</t>
        </is>
      </c>
      <c r="E5126" t="inlineStr">
        <is>
          <t>2024Q1</t>
        </is>
      </c>
      <c r="F5126" s="2" t="n">
        <v>151100</v>
      </c>
      <c r="G5126" t="inlineStr"/>
      <c r="H5126" t="inlineStr"/>
      <c r="I5126" s="2" t="n">
        <v>96</v>
      </c>
      <c r="J5126" t="inlineStr"/>
      <c r="K5126" t="inlineStr"/>
      <c r="L5126" s="2" t="n">
        <v>-1907</v>
      </c>
      <c r="M5126" t="inlineStr"/>
      <c r="N5126" t="inlineStr">
        <is>
          <t>20240509800347</t>
        </is>
      </c>
      <c r="O5126">
        <f>HYPERLINK("https://dart.fss.or.kr/dsaf001/main.do?rcpNo=20240509800347", "공시열람")</f>
        <v/>
      </c>
    </row>
    <row r="5127">
      <c r="A5127" t="inlineStr">
        <is>
          <t>2024-05-09</t>
        </is>
      </c>
      <c r="B5127" t="inlineStr">
        <is>
          <t>일동제약</t>
        </is>
      </c>
      <c r="C5127" t="inlineStr">
        <is>
          <t>249420</t>
        </is>
      </c>
      <c r="D5127" t="inlineStr">
        <is>
          <t>별도</t>
        </is>
      </c>
      <c r="E5127" t="inlineStr">
        <is>
          <t>2024Q1</t>
        </is>
      </c>
      <c r="F5127" s="2" t="n">
        <v>150669</v>
      </c>
      <c r="G5127" t="inlineStr"/>
      <c r="H5127" t="inlineStr"/>
      <c r="I5127" s="2" t="n">
        <v>15054</v>
      </c>
      <c r="J5127" t="inlineStr"/>
      <c r="K5127" t="inlineStr"/>
      <c r="L5127" s="2" t="n">
        <v>13619</v>
      </c>
      <c r="M5127" t="inlineStr"/>
      <c r="N5127" t="inlineStr">
        <is>
          <t>20240509800353</t>
        </is>
      </c>
      <c r="O5127">
        <f>HYPERLINK("https://dart.fss.or.kr/dsaf001/main.do?rcpNo=20240509800353", "공시열람")</f>
        <v/>
      </c>
    </row>
    <row r="5128">
      <c r="A5128" t="inlineStr">
        <is>
          <t>2024-05-09</t>
        </is>
      </c>
      <c r="B5128" t="inlineStr">
        <is>
          <t>트리니티항공</t>
        </is>
      </c>
      <c r="C5128" t="inlineStr">
        <is>
          <t>091810</t>
        </is>
      </c>
      <c r="D5128" t="inlineStr">
        <is>
          <t>별도</t>
        </is>
      </c>
      <c r="E5128" t="inlineStr">
        <is>
          <t>2024Q1</t>
        </is>
      </c>
      <c r="F5128" s="2" t="n">
        <v>423040</v>
      </c>
      <c r="G5128" t="n">
        <v>17.8</v>
      </c>
      <c r="H5128" t="n">
        <v>17.9</v>
      </c>
      <c r="I5128" s="2" t="n">
        <v>75270</v>
      </c>
      <c r="J5128" t="n">
        <v>3949</v>
      </c>
      <c r="K5128" t="n">
        <v>-9</v>
      </c>
      <c r="L5128" s="2" t="n">
        <v>47229</v>
      </c>
      <c r="M5128" t="n">
        <v>1.4</v>
      </c>
      <c r="N5128" t="inlineStr">
        <is>
          <t>20240509800333</t>
        </is>
      </c>
      <c r="O5128">
        <f>HYPERLINK("https://dart.fss.or.kr/dsaf001/main.do?rcpNo=20240509800333", "공시열람")</f>
        <v/>
      </c>
    </row>
    <row r="5129">
      <c r="A5129" t="inlineStr">
        <is>
          <t>2024-05-08</t>
        </is>
      </c>
      <c r="B5129" t="inlineStr">
        <is>
          <t>흥국에프엔비</t>
        </is>
      </c>
      <c r="C5129" t="inlineStr">
        <is>
          <t>189980</t>
        </is>
      </c>
      <c r="D5129" t="inlineStr">
        <is>
          <t>연결</t>
        </is>
      </c>
      <c r="E5129" t="inlineStr">
        <is>
          <t>2024Q1</t>
        </is>
      </c>
      <c r="F5129" s="2" t="n">
        <v>22507</v>
      </c>
      <c r="G5129" t="inlineStr"/>
      <c r="H5129" t="inlineStr"/>
      <c r="I5129" s="2" t="n">
        <v>1846</v>
      </c>
      <c r="J5129" t="inlineStr"/>
      <c r="K5129" t="inlineStr"/>
      <c r="L5129" s="2" t="n">
        <v>837</v>
      </c>
      <c r="M5129" t="inlineStr"/>
      <c r="N5129" t="inlineStr">
        <is>
          <t>20240508900176</t>
        </is>
      </c>
      <c r="O5129">
        <f>HYPERLINK("https://dart.fss.or.kr/dsaf001/main.do?rcpNo=20240508900176", "공시열람")</f>
        <v/>
      </c>
    </row>
    <row r="5130">
      <c r="A5130" t="inlineStr">
        <is>
          <t>2024-05-08</t>
        </is>
      </c>
      <c r="B5130" t="inlineStr">
        <is>
          <t>SK케미칼</t>
        </is>
      </c>
      <c r="C5130" t="inlineStr">
        <is>
          <t>285130</t>
        </is>
      </c>
      <c r="D5130" t="inlineStr">
        <is>
          <t>연결</t>
        </is>
      </c>
      <c r="E5130" t="inlineStr">
        <is>
          <t>2024Q1</t>
        </is>
      </c>
      <c r="F5130" s="2" t="n">
        <v>380960</v>
      </c>
      <c r="G5130" t="n">
        <v>-11.7</v>
      </c>
      <c r="H5130" t="n">
        <v>4.5</v>
      </c>
      <c r="I5130" s="2" t="n">
        <v>-12658</v>
      </c>
      <c r="J5130" t="inlineStr"/>
      <c r="K5130" t="inlineStr"/>
      <c r="L5130" s="2" t="n">
        <v>-8389</v>
      </c>
      <c r="M5130" t="inlineStr"/>
      <c r="N5130" t="inlineStr">
        <is>
          <t>20240508800342</t>
        </is>
      </c>
      <c r="O5130">
        <f>HYPERLINK("https://dart.fss.or.kr/dsaf001/main.do?rcpNo=20240508800342", "공시열람")</f>
        <v/>
      </c>
    </row>
    <row r="5131">
      <c r="A5131" t="inlineStr">
        <is>
          <t>2024-05-08</t>
        </is>
      </c>
      <c r="B5131" t="inlineStr">
        <is>
          <t>하나투어</t>
        </is>
      </c>
      <c r="C5131" t="inlineStr">
        <is>
          <t>039130</t>
        </is>
      </c>
      <c r="D5131" t="inlineStr">
        <is>
          <t>연결</t>
        </is>
      </c>
      <c r="E5131" t="inlineStr">
        <is>
          <t>2024Q1</t>
        </is>
      </c>
      <c r="F5131" s="2" t="n">
        <v>183336</v>
      </c>
      <c r="G5131" t="n">
        <v>53.37</v>
      </c>
      <c r="H5131" t="n">
        <v>120.95</v>
      </c>
      <c r="I5131" s="2" t="n">
        <v>21630</v>
      </c>
      <c r="J5131" t="n">
        <v>93.89</v>
      </c>
      <c r="K5131" t="n">
        <v>285.42</v>
      </c>
      <c r="L5131" s="2" t="n">
        <v>24238</v>
      </c>
      <c r="M5131" t="n">
        <v>156.51</v>
      </c>
      <c r="N5131" t="inlineStr">
        <is>
          <t>20240508800180</t>
        </is>
      </c>
      <c r="O5131">
        <f>HYPERLINK("https://dart.fss.or.kr/dsaf001/main.do?rcpNo=20240508800180", "공시열람")</f>
        <v/>
      </c>
    </row>
    <row r="5132">
      <c r="A5132" t="inlineStr">
        <is>
          <t>2024-05-08</t>
        </is>
      </c>
      <c r="B5132" t="inlineStr">
        <is>
          <t>카카오뱅크</t>
        </is>
      </c>
      <c r="C5132" t="inlineStr">
        <is>
          <t>323410</t>
        </is>
      </c>
      <c r="D5132" t="inlineStr">
        <is>
          <t>별도</t>
        </is>
      </c>
      <c r="E5132" t="inlineStr">
        <is>
          <t>2024Q1</t>
        </is>
      </c>
      <c r="F5132" s="2" t="n">
        <v>717859</v>
      </c>
      <c r="G5132" t="n">
        <v>8.16</v>
      </c>
      <c r="H5132" t="n">
        <v>28.08</v>
      </c>
      <c r="I5132" s="2" t="n">
        <v>148405</v>
      </c>
      <c r="J5132" t="n">
        <v>44.37</v>
      </c>
      <c r="K5132" t="n">
        <v>8.789999999999999</v>
      </c>
      <c r="L5132" s="2" t="n">
        <v>111197</v>
      </c>
      <c r="M5132" t="n">
        <v>9.17</v>
      </c>
      <c r="N5132" t="inlineStr">
        <is>
          <t>20240508800003</t>
        </is>
      </c>
      <c r="O5132">
        <f>HYPERLINK("https://dart.fss.or.kr/dsaf001/main.do?rcpNo=20240508800003", "공시열람")</f>
        <v/>
      </c>
    </row>
    <row r="5133">
      <c r="A5133" t="inlineStr">
        <is>
          <t>2024-05-08</t>
        </is>
      </c>
      <c r="B5133" t="inlineStr">
        <is>
          <t>데브시스터즈</t>
        </is>
      </c>
      <c r="C5133" t="inlineStr">
        <is>
          <t>194480</t>
        </is>
      </c>
      <c r="D5133" t="inlineStr">
        <is>
          <t>연결</t>
        </is>
      </c>
      <c r="E5133" t="inlineStr">
        <is>
          <t>2024Q1</t>
        </is>
      </c>
      <c r="F5133" s="2" t="n">
        <v>59500</v>
      </c>
      <c r="G5133" t="inlineStr"/>
      <c r="H5133" t="inlineStr"/>
      <c r="I5133" s="2" t="n">
        <v>8140</v>
      </c>
      <c r="J5133" t="inlineStr"/>
      <c r="K5133" t="inlineStr"/>
      <c r="L5133" s="2" t="n">
        <v>9537</v>
      </c>
      <c r="M5133" t="inlineStr"/>
      <c r="N5133" t="inlineStr">
        <is>
          <t>20240508900005</t>
        </is>
      </c>
      <c r="O5133">
        <f>HYPERLINK("https://dart.fss.or.kr/dsaf001/main.do?rcpNo=20240508900005", "공시열람")</f>
        <v/>
      </c>
    </row>
    <row r="5134">
      <c r="A5134" t="inlineStr">
        <is>
          <t>2024-05-08</t>
        </is>
      </c>
      <c r="B5134" t="inlineStr">
        <is>
          <t>카카오게임즈</t>
        </is>
      </c>
      <c r="C5134" t="inlineStr">
        <is>
          <t>293490</t>
        </is>
      </c>
      <c r="D5134" t="inlineStr">
        <is>
          <t>연결</t>
        </is>
      </c>
      <c r="E5134" t="inlineStr">
        <is>
          <t>2024Q1</t>
        </is>
      </c>
      <c r="F5134" s="2" t="n">
        <v>246278</v>
      </c>
      <c r="G5134" t="inlineStr"/>
      <c r="H5134" t="inlineStr"/>
      <c r="I5134" s="2" t="n">
        <v>12264</v>
      </c>
      <c r="J5134" t="inlineStr"/>
      <c r="K5134" t="inlineStr"/>
      <c r="L5134" s="2" t="n">
        <v>377</v>
      </c>
      <c r="M5134" t="inlineStr"/>
      <c r="N5134" t="inlineStr">
        <is>
          <t>20240508900035</t>
        </is>
      </c>
      <c r="O5134">
        <f>HYPERLINK("https://dart.fss.or.kr/dsaf001/main.do?rcpNo=20240508900035", "공시열람")</f>
        <v/>
      </c>
    </row>
    <row r="5135">
      <c r="A5135" t="inlineStr">
        <is>
          <t>2024-05-08</t>
        </is>
      </c>
      <c r="B5135" t="inlineStr">
        <is>
          <t>케이티스카이라이프</t>
        </is>
      </c>
      <c r="C5135" t="inlineStr">
        <is>
          <t>053210</t>
        </is>
      </c>
      <c r="D5135" t="inlineStr">
        <is>
          <t>별도</t>
        </is>
      </c>
      <c r="E5135" t="inlineStr">
        <is>
          <t>2024Q1</t>
        </is>
      </c>
      <c r="F5135" s="2" t="n">
        <v>177884</v>
      </c>
      <c r="G5135" t="n">
        <v>-0.1</v>
      </c>
      <c r="H5135" t="n">
        <v>1.7</v>
      </c>
      <c r="I5135" s="2" t="n">
        <v>12962</v>
      </c>
      <c r="J5135" t="n">
        <v>266</v>
      </c>
      <c r="K5135" t="n">
        <v>-18.1</v>
      </c>
      <c r="L5135" s="2" t="n">
        <v>25378</v>
      </c>
      <c r="M5135" t="n">
        <v>-5.5</v>
      </c>
      <c r="N5135" t="inlineStr">
        <is>
          <t>20240508800050</t>
        </is>
      </c>
      <c r="O5135">
        <f>HYPERLINK("https://dart.fss.or.kr/dsaf001/main.do?rcpNo=20240508800050", "공시열람")</f>
        <v/>
      </c>
    </row>
    <row r="5136">
      <c r="A5136" t="inlineStr">
        <is>
          <t>2024-05-08</t>
        </is>
      </c>
      <c r="B5136" t="inlineStr">
        <is>
          <t>케이티스카이라이프</t>
        </is>
      </c>
      <c r="C5136" t="inlineStr">
        <is>
          <t>053210</t>
        </is>
      </c>
      <c r="D5136" t="inlineStr">
        <is>
          <t>연결</t>
        </is>
      </c>
      <c r="E5136" t="inlineStr">
        <is>
          <t>2024Q1</t>
        </is>
      </c>
      <c r="F5136" s="2" t="n">
        <v>254401</v>
      </c>
      <c r="G5136" t="n">
        <v>-2.7</v>
      </c>
      <c r="H5136" t="n">
        <v>2</v>
      </c>
      <c r="I5136" s="2" t="n">
        <v>2869</v>
      </c>
      <c r="J5136" t="inlineStr"/>
      <c r="K5136" t="n">
        <v>-81.5</v>
      </c>
      <c r="L5136" s="2" t="n">
        <v>1266</v>
      </c>
      <c r="M5136" t="n">
        <v>-79.90000000000001</v>
      </c>
      <c r="N5136" t="inlineStr">
        <is>
          <t>20240508800052</t>
        </is>
      </c>
      <c r="O5136">
        <f>HYPERLINK("https://dart.fss.or.kr/dsaf001/main.do?rcpNo=20240508800052", "공시열람")</f>
        <v/>
      </c>
    </row>
    <row r="5137">
      <c r="A5137" t="inlineStr">
        <is>
          <t>2024-05-08</t>
        </is>
      </c>
      <c r="B5137" t="inlineStr">
        <is>
          <t>헥토파이낸셜</t>
        </is>
      </c>
      <c r="C5137" t="inlineStr">
        <is>
          <t>234340</t>
        </is>
      </c>
      <c r="D5137" t="inlineStr">
        <is>
          <t>별도</t>
        </is>
      </c>
      <c r="E5137" t="inlineStr">
        <is>
          <t>2024Q1</t>
        </is>
      </c>
      <c r="F5137" s="2" t="n">
        <v>33770</v>
      </c>
      <c r="G5137" t="inlineStr"/>
      <c r="H5137" t="inlineStr"/>
      <c r="I5137" s="2" t="n">
        <v>4563</v>
      </c>
      <c r="J5137" t="inlineStr"/>
      <c r="K5137" t="inlineStr"/>
      <c r="L5137" s="2" t="n">
        <v>4528</v>
      </c>
      <c r="M5137" t="inlineStr"/>
      <c r="N5137" t="inlineStr">
        <is>
          <t>20240508900070</t>
        </is>
      </c>
      <c r="O5137">
        <f>HYPERLINK("https://dart.fss.or.kr/dsaf001/main.do?rcpNo=20240508900070", "공시열람")</f>
        <v/>
      </c>
    </row>
    <row r="5138">
      <c r="A5138" t="inlineStr">
        <is>
          <t>2024-05-08</t>
        </is>
      </c>
      <c r="B5138" t="inlineStr">
        <is>
          <t>헥토파이낸셜</t>
        </is>
      </c>
      <c r="C5138" t="inlineStr">
        <is>
          <t>234340</t>
        </is>
      </c>
      <c r="D5138" t="inlineStr">
        <is>
          <t>연결</t>
        </is>
      </c>
      <c r="E5138" t="inlineStr">
        <is>
          <t>2024Q1</t>
        </is>
      </c>
      <c r="F5138" s="2" t="n">
        <v>37076</v>
      </c>
      <c r="G5138" t="inlineStr"/>
      <c r="H5138" t="inlineStr"/>
      <c r="I5138" s="2" t="n">
        <v>4038</v>
      </c>
      <c r="J5138" t="inlineStr"/>
      <c r="K5138" t="inlineStr"/>
      <c r="L5138" s="2" t="n">
        <v>3149</v>
      </c>
      <c r="M5138" t="inlineStr"/>
      <c r="N5138" t="inlineStr">
        <is>
          <t>20240508900071</t>
        </is>
      </c>
      <c r="O5138">
        <f>HYPERLINK("https://dart.fss.or.kr/dsaf001/main.do?rcpNo=20240508900071", "공시열람")</f>
        <v/>
      </c>
    </row>
    <row r="5139">
      <c r="A5139" t="inlineStr">
        <is>
          <t>2024-05-08</t>
        </is>
      </c>
      <c r="B5139" t="inlineStr">
        <is>
          <t>SK텔레콤</t>
        </is>
      </c>
      <c r="C5139" t="inlineStr">
        <is>
          <t>017670</t>
        </is>
      </c>
      <c r="D5139" t="inlineStr">
        <is>
          <t>별도</t>
        </is>
      </c>
      <c r="E5139" t="inlineStr">
        <is>
          <t>2024Q1</t>
        </is>
      </c>
      <c r="F5139" s="2" t="n">
        <v>3188700</v>
      </c>
      <c r="G5139" t="n">
        <v>-0.49</v>
      </c>
      <c r="H5139" t="n">
        <v>2.29</v>
      </c>
      <c r="I5139" s="2" t="n">
        <v>436400</v>
      </c>
      <c r="J5139" t="n">
        <v>71.83</v>
      </c>
      <c r="K5139" t="n">
        <v>5</v>
      </c>
      <c r="L5139" s="2" t="n">
        <v>492100</v>
      </c>
      <c r="M5139" t="n">
        <v>16.57</v>
      </c>
      <c r="N5139" t="inlineStr">
        <is>
          <t>20240508800078</t>
        </is>
      </c>
      <c r="O5139">
        <f>HYPERLINK("https://dart.fss.or.kr/dsaf001/main.do?rcpNo=20240508800078", "공시열람")</f>
        <v/>
      </c>
    </row>
    <row r="5140">
      <c r="A5140" t="inlineStr">
        <is>
          <t>2024-05-08</t>
        </is>
      </c>
      <c r="B5140" t="inlineStr">
        <is>
          <t>SK텔레콤</t>
        </is>
      </c>
      <c r="C5140" t="inlineStr">
        <is>
          <t>017670</t>
        </is>
      </c>
      <c r="D5140" t="inlineStr">
        <is>
          <t>연결</t>
        </is>
      </c>
      <c r="E5140" t="inlineStr">
        <is>
          <t>2024Q1</t>
        </is>
      </c>
      <c r="F5140" s="2" t="n">
        <v>4474600</v>
      </c>
      <c r="G5140" t="n">
        <v>-1.16</v>
      </c>
      <c r="H5140" t="n">
        <v>2.34</v>
      </c>
      <c r="I5140" s="2" t="n">
        <v>498500</v>
      </c>
      <c r="J5140" t="n">
        <v>67.81</v>
      </c>
      <c r="K5140" t="n">
        <v>0.75</v>
      </c>
      <c r="L5140" s="2" t="n">
        <v>361900</v>
      </c>
      <c r="M5140" t="n">
        <v>19.65</v>
      </c>
      <c r="N5140" t="inlineStr">
        <is>
          <t>20240508800080</t>
        </is>
      </c>
      <c r="O5140">
        <f>HYPERLINK("https://dart.fss.or.kr/dsaf001/main.do?rcpNo=20240508800080", "공시열람")</f>
        <v/>
      </c>
    </row>
    <row r="5141">
      <c r="A5141" t="inlineStr">
        <is>
          <t>2024-05-08</t>
        </is>
      </c>
      <c r="B5141" t="inlineStr">
        <is>
          <t>헥토이노베이션</t>
        </is>
      </c>
      <c r="C5141" t="inlineStr">
        <is>
          <t>214180</t>
        </is>
      </c>
      <c r="D5141" t="inlineStr">
        <is>
          <t>연결</t>
        </is>
      </c>
      <c r="E5141" t="inlineStr">
        <is>
          <t>2024Q1</t>
        </is>
      </c>
      <c r="F5141" s="2" t="n">
        <v>73823</v>
      </c>
      <c r="G5141" t="inlineStr"/>
      <c r="H5141" t="inlineStr"/>
      <c r="I5141" s="2" t="n">
        <v>9837</v>
      </c>
      <c r="J5141" t="inlineStr"/>
      <c r="K5141" t="inlineStr"/>
      <c r="L5141" s="2" t="n">
        <v>7807</v>
      </c>
      <c r="M5141" t="inlineStr"/>
      <c r="N5141" t="inlineStr">
        <is>
          <t>20240508900088</t>
        </is>
      </c>
      <c r="O5141">
        <f>HYPERLINK("https://dart.fss.or.kr/dsaf001/main.do?rcpNo=20240508900088", "공시열람")</f>
        <v/>
      </c>
    </row>
    <row r="5142">
      <c r="A5142" t="inlineStr">
        <is>
          <t>2024-05-08</t>
        </is>
      </c>
      <c r="B5142" t="inlineStr">
        <is>
          <t>헥토이노베이션</t>
        </is>
      </c>
      <c r="C5142" t="inlineStr">
        <is>
          <t>214180</t>
        </is>
      </c>
      <c r="D5142" t="inlineStr">
        <is>
          <t>별도</t>
        </is>
      </c>
      <c r="E5142" t="inlineStr">
        <is>
          <t>2024Q1</t>
        </is>
      </c>
      <c r="F5142" s="2" t="n">
        <v>26147</v>
      </c>
      <c r="G5142" t="inlineStr"/>
      <c r="H5142" t="inlineStr"/>
      <c r="I5142" s="2" t="n">
        <v>6315</v>
      </c>
      <c r="J5142" t="inlineStr"/>
      <c r="K5142" t="inlineStr"/>
      <c r="L5142" s="2" t="n">
        <v>6349</v>
      </c>
      <c r="M5142" t="inlineStr"/>
      <c r="N5142" t="inlineStr">
        <is>
          <t>20240508900090</t>
        </is>
      </c>
      <c r="O5142">
        <f>HYPERLINK("https://dart.fss.or.kr/dsaf001/main.do?rcpNo=20240508900090", "공시열람")</f>
        <v/>
      </c>
    </row>
    <row r="5143">
      <c r="A5143" t="inlineStr">
        <is>
          <t>2024-05-08</t>
        </is>
      </c>
      <c r="B5143" t="inlineStr">
        <is>
          <t>에스폴리텍</t>
        </is>
      </c>
      <c r="C5143" t="inlineStr">
        <is>
          <t>050760</t>
        </is>
      </c>
      <c r="D5143" t="inlineStr">
        <is>
          <t>연결</t>
        </is>
      </c>
      <c r="E5143" t="inlineStr">
        <is>
          <t>2024Q1</t>
        </is>
      </c>
      <c r="F5143" s="2" t="n">
        <v>17858</v>
      </c>
      <c r="G5143" t="inlineStr"/>
      <c r="H5143" t="inlineStr"/>
      <c r="I5143" s="2" t="n">
        <v>-23</v>
      </c>
      <c r="J5143" t="inlineStr"/>
      <c r="K5143" t="inlineStr"/>
      <c r="L5143" s="2" t="n">
        <v>1358</v>
      </c>
      <c r="M5143" t="inlineStr"/>
      <c r="N5143" t="inlineStr">
        <is>
          <t>20240508900104</t>
        </is>
      </c>
      <c r="O5143">
        <f>HYPERLINK("https://dart.fss.or.kr/dsaf001/main.do?rcpNo=20240508900104", "공시열람")</f>
        <v/>
      </c>
    </row>
    <row r="5144">
      <c r="A5144" t="inlineStr">
        <is>
          <t>2024-05-08</t>
        </is>
      </c>
      <c r="B5144" t="inlineStr">
        <is>
          <t>에스폴리텍</t>
        </is>
      </c>
      <c r="C5144" t="inlineStr">
        <is>
          <t>050760</t>
        </is>
      </c>
      <c r="D5144" t="inlineStr">
        <is>
          <t>별도</t>
        </is>
      </c>
      <c r="E5144" t="inlineStr">
        <is>
          <t>2024Q1</t>
        </is>
      </c>
      <c r="F5144" s="2" t="n">
        <v>17772</v>
      </c>
      <c r="G5144" t="inlineStr"/>
      <c r="H5144" t="inlineStr"/>
      <c r="I5144" s="2" t="n">
        <v>144</v>
      </c>
      <c r="J5144" t="inlineStr"/>
      <c r="K5144" t="inlineStr"/>
      <c r="L5144" s="2" t="n">
        <v>1345</v>
      </c>
      <c r="M5144" t="inlineStr"/>
      <c r="N5144" t="inlineStr">
        <is>
          <t>20240508900105</t>
        </is>
      </c>
      <c r="O5144">
        <f>HYPERLINK("https://dart.fss.or.kr/dsaf001/main.do?rcpNo=20240508900105", "공시열람")</f>
        <v/>
      </c>
    </row>
    <row r="5145">
      <c r="A5145" t="inlineStr">
        <is>
          <t>2024-05-08</t>
        </is>
      </c>
      <c r="B5145" t="inlineStr">
        <is>
          <t>코텍</t>
        </is>
      </c>
      <c r="C5145" t="inlineStr">
        <is>
          <t>052330</t>
        </is>
      </c>
      <c r="D5145" t="inlineStr">
        <is>
          <t>연결</t>
        </is>
      </c>
      <c r="E5145" t="inlineStr">
        <is>
          <t>2024Q1</t>
        </is>
      </c>
      <c r="F5145" s="2" t="n">
        <v>71873</v>
      </c>
      <c r="G5145" t="inlineStr"/>
      <c r="H5145" t="inlineStr"/>
      <c r="I5145" s="2" t="n">
        <v>3454</v>
      </c>
      <c r="J5145" t="inlineStr"/>
      <c r="K5145" t="inlineStr"/>
      <c r="L5145" s="2" t="n">
        <v>6144</v>
      </c>
      <c r="M5145" t="inlineStr"/>
      <c r="N5145" t="inlineStr">
        <is>
          <t>20240508900098</t>
        </is>
      </c>
      <c r="O5145">
        <f>HYPERLINK("https://dart.fss.or.kr/dsaf001/main.do?rcpNo=20240508900098", "공시열람")</f>
        <v/>
      </c>
    </row>
    <row r="5146">
      <c r="A5146" t="inlineStr">
        <is>
          <t>2024-05-08</t>
        </is>
      </c>
      <c r="B5146" t="inlineStr">
        <is>
          <t>KT지니뮤직</t>
        </is>
      </c>
      <c r="C5146" t="inlineStr">
        <is>
          <t>043610</t>
        </is>
      </c>
      <c r="D5146" t="inlineStr">
        <is>
          <t>연결</t>
        </is>
      </c>
      <c r="E5146" t="inlineStr">
        <is>
          <t>2024Q1</t>
        </is>
      </c>
      <c r="F5146" s="2" t="n">
        <v>73806</v>
      </c>
      <c r="G5146" t="inlineStr"/>
      <c r="H5146" t="inlineStr"/>
      <c r="I5146" s="2" t="n">
        <v>3098</v>
      </c>
      <c r="J5146" t="inlineStr"/>
      <c r="K5146" t="inlineStr"/>
      <c r="L5146" s="2" t="n">
        <v>2750</v>
      </c>
      <c r="M5146" t="inlineStr"/>
      <c r="N5146" t="inlineStr">
        <is>
          <t>20240508900127</t>
        </is>
      </c>
      <c r="O5146">
        <f>HYPERLINK("https://dart.fss.or.kr/dsaf001/main.do?rcpNo=20240508900127", "공시열람")</f>
        <v/>
      </c>
    </row>
    <row r="5147">
      <c r="A5147" t="inlineStr">
        <is>
          <t>2024-05-08</t>
        </is>
      </c>
      <c r="B5147" t="inlineStr">
        <is>
          <t>하이록코리아</t>
        </is>
      </c>
      <c r="C5147" t="inlineStr">
        <is>
          <t>013030</t>
        </is>
      </c>
      <c r="D5147" t="inlineStr">
        <is>
          <t>연결</t>
        </is>
      </c>
      <c r="E5147" t="inlineStr">
        <is>
          <t>2024Q1</t>
        </is>
      </c>
      <c r="F5147" s="2" t="n">
        <v>49774</v>
      </c>
      <c r="G5147" t="inlineStr"/>
      <c r="H5147" t="inlineStr"/>
      <c r="I5147" s="2" t="n">
        <v>15392</v>
      </c>
      <c r="J5147" t="inlineStr"/>
      <c r="K5147" t="inlineStr"/>
      <c r="L5147" s="2" t="n">
        <v>15249</v>
      </c>
      <c r="M5147" t="inlineStr"/>
      <c r="N5147" t="inlineStr">
        <is>
          <t>20240508900131</t>
        </is>
      </c>
      <c r="O5147">
        <f>HYPERLINK("https://dart.fss.or.kr/dsaf001/main.do?rcpNo=20240508900131", "공시열람")</f>
        <v/>
      </c>
    </row>
    <row r="5148">
      <c r="A5148" t="inlineStr">
        <is>
          <t>2024-05-08</t>
        </is>
      </c>
      <c r="B5148" t="inlineStr">
        <is>
          <t>씨앤씨인터내셔널</t>
        </is>
      </c>
      <c r="C5148" t="inlineStr">
        <is>
          <t>352480</t>
        </is>
      </c>
      <c r="D5148" t="inlineStr">
        <is>
          <t>연결</t>
        </is>
      </c>
      <c r="E5148" t="inlineStr">
        <is>
          <t>2024Q1</t>
        </is>
      </c>
      <c r="F5148" s="2" t="n">
        <v>72150</v>
      </c>
      <c r="G5148" t="inlineStr"/>
      <c r="H5148" t="inlineStr"/>
      <c r="I5148" s="2" t="n">
        <v>9958</v>
      </c>
      <c r="J5148" t="inlineStr"/>
      <c r="K5148" t="inlineStr"/>
      <c r="L5148" s="2" t="n">
        <v>11331</v>
      </c>
      <c r="M5148" t="inlineStr"/>
      <c r="N5148" t="inlineStr">
        <is>
          <t>20240508900128</t>
        </is>
      </c>
      <c r="O5148">
        <f>HYPERLINK("https://dart.fss.or.kr/dsaf001/main.do?rcpNo=20240508900128", "공시열람")</f>
        <v/>
      </c>
    </row>
    <row r="5149">
      <c r="A5149" t="inlineStr">
        <is>
          <t>2024-05-08</t>
        </is>
      </c>
      <c r="B5149" t="inlineStr">
        <is>
          <t>에코앤드림</t>
        </is>
      </c>
      <c r="C5149" t="inlineStr">
        <is>
          <t>101360</t>
        </is>
      </c>
      <c r="D5149" t="inlineStr">
        <is>
          <t>연결</t>
        </is>
      </c>
      <c r="E5149" t="inlineStr">
        <is>
          <t>2024Q1</t>
        </is>
      </c>
      <c r="F5149" s="2" t="n">
        <v>19096</v>
      </c>
      <c r="G5149" t="inlineStr"/>
      <c r="H5149" t="inlineStr"/>
      <c r="I5149" s="2" t="n">
        <v>-636</v>
      </c>
      <c r="J5149" t="inlineStr"/>
      <c r="K5149" t="inlineStr"/>
      <c r="L5149" s="2" t="n">
        <v>-655</v>
      </c>
      <c r="M5149" t="inlineStr"/>
      <c r="N5149" t="inlineStr">
        <is>
          <t>20240508900132</t>
        </is>
      </c>
      <c r="O5149">
        <f>HYPERLINK("https://dart.fss.or.kr/dsaf001/main.do?rcpNo=20240508900132", "공시열람")</f>
        <v/>
      </c>
    </row>
    <row r="5150">
      <c r="A5150" t="inlineStr">
        <is>
          <t>2024-05-08</t>
        </is>
      </c>
      <c r="B5150" t="inlineStr">
        <is>
          <t>헥토이노베이션</t>
        </is>
      </c>
      <c r="C5150" t="inlineStr">
        <is>
          <t>214180</t>
        </is>
      </c>
      <c r="D5150" t="inlineStr">
        <is>
          <t>별도</t>
        </is>
      </c>
      <c r="E5150" t="inlineStr">
        <is>
          <t>2024Q1</t>
        </is>
      </c>
      <c r="F5150" s="2" t="n">
        <v>26147</v>
      </c>
      <c r="G5150" t="inlineStr"/>
      <c r="H5150" t="inlineStr"/>
      <c r="I5150" s="2" t="n">
        <v>6315</v>
      </c>
      <c r="J5150" t="inlineStr"/>
      <c r="K5150" t="inlineStr"/>
      <c r="L5150" s="2" t="n">
        <v>6349</v>
      </c>
      <c r="M5150" t="inlineStr"/>
      <c r="N5150" t="inlineStr">
        <is>
          <t>20240508900140</t>
        </is>
      </c>
      <c r="O5150">
        <f>HYPERLINK("https://dart.fss.or.kr/dsaf001/main.do?rcpNo=20240508900140", "공시열람")</f>
        <v/>
      </c>
    </row>
    <row r="5151">
      <c r="A5151" t="inlineStr">
        <is>
          <t>2024-05-08</t>
        </is>
      </c>
      <c r="B5151" t="inlineStr">
        <is>
          <t>SM C&amp;C</t>
        </is>
      </c>
      <c r="C5151" t="inlineStr">
        <is>
          <t>048550</t>
        </is>
      </c>
      <c r="D5151" t="inlineStr">
        <is>
          <t>연결</t>
        </is>
      </c>
      <c r="E5151" t="inlineStr">
        <is>
          <t>2024Q1</t>
        </is>
      </c>
      <c r="F5151" s="2" t="n">
        <v>23948</v>
      </c>
      <c r="G5151" t="inlineStr"/>
      <c r="H5151" t="inlineStr"/>
      <c r="I5151" s="2" t="n">
        <v>-1860</v>
      </c>
      <c r="J5151" t="inlineStr"/>
      <c r="K5151" t="inlineStr"/>
      <c r="L5151" s="2" t="n">
        <v>-106</v>
      </c>
      <c r="M5151" t="inlineStr"/>
      <c r="N5151" t="inlineStr">
        <is>
          <t>20240508900141</t>
        </is>
      </c>
      <c r="O5151">
        <f>HYPERLINK("https://dart.fss.or.kr/dsaf001/main.do?rcpNo=20240508900141", "공시열람")</f>
        <v/>
      </c>
    </row>
    <row r="5152">
      <c r="A5152" t="inlineStr">
        <is>
          <t>2024-05-08</t>
        </is>
      </c>
      <c r="B5152" t="inlineStr">
        <is>
          <t>에스엠</t>
        </is>
      </c>
      <c r="C5152" t="inlineStr">
        <is>
          <t>041510</t>
        </is>
      </c>
      <c r="D5152" t="inlineStr">
        <is>
          <t>연결</t>
        </is>
      </c>
      <c r="E5152" t="inlineStr">
        <is>
          <t>2024Q1</t>
        </is>
      </c>
      <c r="F5152" s="2" t="n">
        <v>220063</v>
      </c>
      <c r="G5152" t="inlineStr"/>
      <c r="H5152" t="inlineStr"/>
      <c r="I5152" s="2" t="n">
        <v>15547</v>
      </c>
      <c r="J5152" t="inlineStr"/>
      <c r="K5152" t="inlineStr"/>
      <c r="L5152" s="2" t="n">
        <v>12441</v>
      </c>
      <c r="M5152" t="inlineStr"/>
      <c r="N5152" t="inlineStr">
        <is>
          <t>20240508900154</t>
        </is>
      </c>
      <c r="O5152">
        <f>HYPERLINK("https://dart.fss.or.kr/dsaf001/main.do?rcpNo=20240508900154", "공시열람")</f>
        <v/>
      </c>
    </row>
    <row r="5153">
      <c r="A5153" t="inlineStr">
        <is>
          <t>2024-05-08</t>
        </is>
      </c>
      <c r="B5153" t="inlineStr">
        <is>
          <t>신세계</t>
        </is>
      </c>
      <c r="C5153" t="inlineStr">
        <is>
          <t>004170</t>
        </is>
      </c>
      <c r="D5153" t="inlineStr">
        <is>
          <t>연결</t>
        </is>
      </c>
      <c r="E5153" t="inlineStr">
        <is>
          <t>2024Q1</t>
        </is>
      </c>
      <c r="F5153" s="2" t="n">
        <v>1604739</v>
      </c>
      <c r="G5153" t="n">
        <v>-6.7</v>
      </c>
      <c r="H5153" t="n">
        <v>2.6</v>
      </c>
      <c r="I5153" s="2" t="n">
        <v>163000</v>
      </c>
      <c r="J5153" t="n">
        <v>-20.9</v>
      </c>
      <c r="K5153" t="n">
        <v>7</v>
      </c>
      <c r="L5153" s="2" t="n">
        <v>129608</v>
      </c>
      <c r="M5153" t="n">
        <v>0.8</v>
      </c>
      <c r="N5153" t="inlineStr">
        <is>
          <t>20240508800148</t>
        </is>
      </c>
      <c r="O5153">
        <f>HYPERLINK("https://dart.fss.or.kr/dsaf001/main.do?rcpNo=20240508800148", "공시열람")</f>
        <v/>
      </c>
    </row>
    <row r="5154">
      <c r="A5154" t="inlineStr">
        <is>
          <t>2024-05-08</t>
        </is>
      </c>
      <c r="B5154" t="inlineStr">
        <is>
          <t>신세계</t>
        </is>
      </c>
      <c r="C5154" t="inlineStr">
        <is>
          <t>004170</t>
        </is>
      </c>
      <c r="D5154" t="inlineStr">
        <is>
          <t>별도</t>
        </is>
      </c>
      <c r="E5154" t="inlineStr">
        <is>
          <t>2024Q1</t>
        </is>
      </c>
      <c r="F5154" s="2" t="n">
        <v>157429</v>
      </c>
      <c r="G5154" t="n">
        <v>-11.2</v>
      </c>
      <c r="H5154" t="n">
        <v>0.2</v>
      </c>
      <c r="I5154" s="2" t="inlineStr"/>
      <c r="J5154" t="inlineStr"/>
      <c r="K5154" t="inlineStr"/>
      <c r="L5154" s="2" t="inlineStr"/>
      <c r="M5154" t="inlineStr"/>
      <c r="N5154" t="inlineStr">
        <is>
          <t>20240508800150</t>
        </is>
      </c>
      <c r="O5154">
        <f>HYPERLINK("https://dart.fss.or.kr/dsaf001/main.do?rcpNo=20240508800150", "공시열람")</f>
        <v/>
      </c>
    </row>
    <row r="5155">
      <c r="A5155" t="inlineStr">
        <is>
          <t>2024-05-08</t>
        </is>
      </c>
      <c r="B5155" t="inlineStr">
        <is>
          <t>클래시스</t>
        </is>
      </c>
      <c r="C5155" t="inlineStr">
        <is>
          <t>214150</t>
        </is>
      </c>
      <c r="D5155" t="inlineStr">
        <is>
          <t>연결</t>
        </is>
      </c>
      <c r="E5155" t="inlineStr">
        <is>
          <t>2024Q1</t>
        </is>
      </c>
      <c r="F5155" s="2" t="n">
        <v>50380</v>
      </c>
      <c r="G5155" t="inlineStr"/>
      <c r="H5155" t="inlineStr"/>
      <c r="I5155" s="2" t="n">
        <v>26509</v>
      </c>
      <c r="J5155" t="inlineStr"/>
      <c r="K5155" t="inlineStr"/>
      <c r="L5155" s="2" t="n">
        <v>26090</v>
      </c>
      <c r="M5155" t="inlineStr"/>
      <c r="N5155" t="inlineStr">
        <is>
          <t>20240508900145</t>
        </is>
      </c>
      <c r="O5155">
        <f>HYPERLINK("https://dart.fss.or.kr/dsaf001/main.do?rcpNo=20240508900145", "공시열람")</f>
        <v/>
      </c>
    </row>
    <row r="5156">
      <c r="A5156" t="inlineStr">
        <is>
          <t>2024-05-08</t>
        </is>
      </c>
      <c r="B5156" t="inlineStr">
        <is>
          <t>에스엠</t>
        </is>
      </c>
      <c r="C5156" t="inlineStr">
        <is>
          <t>041510</t>
        </is>
      </c>
      <c r="D5156" t="inlineStr">
        <is>
          <t>별도</t>
        </is>
      </c>
      <c r="E5156" t="inlineStr">
        <is>
          <t>2024Q1</t>
        </is>
      </c>
      <c r="F5156" s="2" t="n">
        <v>136146</v>
      </c>
      <c r="G5156" t="inlineStr"/>
      <c r="H5156" t="inlineStr"/>
      <c r="I5156" s="2" t="n">
        <v>20112</v>
      </c>
      <c r="J5156" t="inlineStr"/>
      <c r="K5156" t="inlineStr"/>
      <c r="L5156" s="2" t="n">
        <v>16565</v>
      </c>
      <c r="M5156" t="inlineStr"/>
      <c r="N5156" t="inlineStr">
        <is>
          <t>20240508900156</t>
        </is>
      </c>
      <c r="O5156">
        <f>HYPERLINK("https://dart.fss.or.kr/dsaf001/main.do?rcpNo=20240508900156", "공시열람")</f>
        <v/>
      </c>
    </row>
    <row r="5157">
      <c r="A5157" t="inlineStr">
        <is>
          <t>2024-05-08</t>
        </is>
      </c>
      <c r="B5157" t="inlineStr">
        <is>
          <t>신세계인터내셔날</t>
        </is>
      </c>
      <c r="C5157" t="inlineStr">
        <is>
          <t>031430</t>
        </is>
      </c>
      <c r="D5157" t="inlineStr">
        <is>
          <t>연결</t>
        </is>
      </c>
      <c r="E5157" t="inlineStr">
        <is>
          <t>2024Q1</t>
        </is>
      </c>
      <c r="F5157" s="2" t="n">
        <v>309449</v>
      </c>
      <c r="G5157" t="n">
        <v>-21.2</v>
      </c>
      <c r="H5157" t="n">
        <v>-0.9</v>
      </c>
      <c r="I5157" s="2" t="n">
        <v>11188</v>
      </c>
      <c r="J5157" t="n">
        <v>-20.3</v>
      </c>
      <c r="K5157" t="n">
        <v>8.9</v>
      </c>
      <c r="L5157" s="2" t="n">
        <v>12594</v>
      </c>
      <c r="M5157" t="n">
        <v>41</v>
      </c>
      <c r="N5157" t="inlineStr">
        <is>
          <t>20240508800166</t>
        </is>
      </c>
      <c r="O5157">
        <f>HYPERLINK("https://dart.fss.or.kr/dsaf001/main.do?rcpNo=20240508800166", "공시열람")</f>
        <v/>
      </c>
    </row>
    <row r="5158">
      <c r="A5158" t="inlineStr">
        <is>
          <t>2024-05-08</t>
        </is>
      </c>
      <c r="B5158" t="inlineStr">
        <is>
          <t>태광</t>
        </is>
      </c>
      <c r="C5158" t="inlineStr">
        <is>
          <t>023160</t>
        </is>
      </c>
      <c r="D5158" t="inlineStr">
        <is>
          <t>연결</t>
        </is>
      </c>
      <c r="E5158" t="inlineStr">
        <is>
          <t>2024Q1</t>
        </is>
      </c>
      <c r="F5158" s="2" t="n">
        <v>73365</v>
      </c>
      <c r="G5158" t="inlineStr"/>
      <c r="H5158" t="inlineStr"/>
      <c r="I5158" s="2" t="n">
        <v>12854</v>
      </c>
      <c r="J5158" t="inlineStr"/>
      <c r="K5158" t="inlineStr"/>
      <c r="L5158" s="2" t="n">
        <v>16666</v>
      </c>
      <c r="M5158" t="inlineStr"/>
      <c r="N5158" t="inlineStr">
        <is>
          <t>20240508900171</t>
        </is>
      </c>
      <c r="O5158">
        <f>HYPERLINK("https://dart.fss.or.kr/dsaf001/main.do?rcpNo=20240508900171", "공시열람")</f>
        <v/>
      </c>
    </row>
    <row r="5159">
      <c r="A5159" t="inlineStr">
        <is>
          <t>2024-05-08</t>
        </is>
      </c>
      <c r="B5159" t="inlineStr">
        <is>
          <t>GS글로벌</t>
        </is>
      </c>
      <c r="C5159" t="inlineStr">
        <is>
          <t>001250</t>
        </is>
      </c>
      <c r="D5159" t="inlineStr">
        <is>
          <t>연결</t>
        </is>
      </c>
      <c r="E5159" t="inlineStr">
        <is>
          <t>2024Q1</t>
        </is>
      </c>
      <c r="F5159" s="2" t="n">
        <v>962218</v>
      </c>
      <c r="G5159" t="n">
        <v>-2.4</v>
      </c>
      <c r="H5159" t="n">
        <v>-4.1</v>
      </c>
      <c r="I5159" s="2" t="n">
        <v>17113</v>
      </c>
      <c r="J5159" t="n">
        <v>30</v>
      </c>
      <c r="K5159" t="n">
        <v>-26.6</v>
      </c>
      <c r="L5159" s="2" t="n">
        <v>11928</v>
      </c>
      <c r="M5159" t="n">
        <v>30.9</v>
      </c>
      <c r="N5159" t="inlineStr">
        <is>
          <t>20240508800184</t>
        </is>
      </c>
      <c r="O5159">
        <f>HYPERLINK("https://dart.fss.or.kr/dsaf001/main.do?rcpNo=20240508800184", "공시열람")</f>
        <v/>
      </c>
    </row>
    <row r="5160">
      <c r="A5160" t="inlineStr">
        <is>
          <t>2024-05-08</t>
        </is>
      </c>
      <c r="B5160" t="inlineStr">
        <is>
          <t>HLB글로벌</t>
        </is>
      </c>
      <c r="C5160" t="inlineStr">
        <is>
          <t>003580</t>
        </is>
      </c>
      <c r="D5160" t="inlineStr">
        <is>
          <t>연결</t>
        </is>
      </c>
      <c r="E5160" t="inlineStr">
        <is>
          <t>2024Q1</t>
        </is>
      </c>
      <c r="F5160" s="2" t="n">
        <v>29265</v>
      </c>
      <c r="G5160" t="n">
        <v>58.1</v>
      </c>
      <c r="H5160" t="n">
        <v>61.5</v>
      </c>
      <c r="I5160" s="2" t="n">
        <v>1692</v>
      </c>
      <c r="J5160" t="inlineStr"/>
      <c r="K5160" t="inlineStr"/>
      <c r="L5160" s="2" t="n">
        <v>152</v>
      </c>
      <c r="M5160" t="inlineStr"/>
      <c r="N5160" t="inlineStr">
        <is>
          <t>20240508800191</t>
        </is>
      </c>
      <c r="O5160">
        <f>HYPERLINK("https://dart.fss.or.kr/dsaf001/main.do?rcpNo=20240508800191", "공시열람")</f>
        <v/>
      </c>
    </row>
    <row r="5161">
      <c r="A5161" t="inlineStr">
        <is>
          <t>2024-05-08</t>
        </is>
      </c>
      <c r="B5161" t="inlineStr">
        <is>
          <t>HLB글로벌</t>
        </is>
      </c>
      <c r="C5161" t="inlineStr">
        <is>
          <t>003580</t>
        </is>
      </c>
      <c r="D5161" t="inlineStr">
        <is>
          <t>별도</t>
        </is>
      </c>
      <c r="E5161" t="inlineStr">
        <is>
          <t>2024Q1</t>
        </is>
      </c>
      <c r="F5161" s="2" t="n">
        <v>22121</v>
      </c>
      <c r="G5161" t="n">
        <v>63.6</v>
      </c>
      <c r="H5161" t="n">
        <v>1418.3</v>
      </c>
      <c r="I5161" s="2" t="n">
        <v>2708</v>
      </c>
      <c r="J5161" t="inlineStr"/>
      <c r="K5161" t="inlineStr"/>
      <c r="L5161" s="2" t="n">
        <v>1683</v>
      </c>
      <c r="M5161" t="inlineStr"/>
      <c r="N5161" t="inlineStr">
        <is>
          <t>20240508800198</t>
        </is>
      </c>
      <c r="O5161">
        <f>HYPERLINK("https://dart.fss.or.kr/dsaf001/main.do?rcpNo=20240508800198", "공시열람")</f>
        <v/>
      </c>
    </row>
    <row r="5162">
      <c r="A5162" t="inlineStr">
        <is>
          <t>2024-05-08</t>
        </is>
      </c>
      <c r="B5162" t="inlineStr">
        <is>
          <t>JW중외제약</t>
        </is>
      </c>
      <c r="C5162" t="inlineStr">
        <is>
          <t>001060</t>
        </is>
      </c>
      <c r="D5162" t="inlineStr">
        <is>
          <t>별도</t>
        </is>
      </c>
      <c r="E5162" t="inlineStr">
        <is>
          <t>2024Q1</t>
        </is>
      </c>
      <c r="F5162" s="2" t="n">
        <v>178219</v>
      </c>
      <c r="G5162" t="n">
        <v>-12.3</v>
      </c>
      <c r="H5162" t="n">
        <v>4</v>
      </c>
      <c r="I5162" s="2" t="n">
        <v>26713</v>
      </c>
      <c r="J5162" t="n">
        <v>-21.5</v>
      </c>
      <c r="K5162" t="n">
        <v>24.2</v>
      </c>
      <c r="L5162" s="2" t="n">
        <v>19893</v>
      </c>
      <c r="M5162" t="n">
        <v>18.3</v>
      </c>
      <c r="N5162" t="inlineStr">
        <is>
          <t>20240508800213</t>
        </is>
      </c>
      <c r="O5162">
        <f>HYPERLINK("https://dart.fss.or.kr/dsaf001/main.do?rcpNo=20240508800213", "공시열람")</f>
        <v/>
      </c>
    </row>
    <row r="5163">
      <c r="A5163" t="inlineStr">
        <is>
          <t>2024-05-08</t>
        </is>
      </c>
      <c r="B5163" t="inlineStr">
        <is>
          <t>신세계I&amp;C</t>
        </is>
      </c>
      <c r="C5163" t="inlineStr">
        <is>
          <t>035510</t>
        </is>
      </c>
      <c r="D5163" t="inlineStr">
        <is>
          <t>연결</t>
        </is>
      </c>
      <c r="E5163" t="inlineStr">
        <is>
          <t>2024Q1</t>
        </is>
      </c>
      <c r="F5163" s="2" t="n">
        <v>157100</v>
      </c>
      <c r="G5163" t="n">
        <v>-2.15</v>
      </c>
      <c r="H5163" t="n">
        <v>3.29</v>
      </c>
      <c r="I5163" s="2" t="n">
        <v>7142</v>
      </c>
      <c r="J5163" t="n">
        <v>-39.68</v>
      </c>
      <c r="K5163" t="n">
        <v>-15.06</v>
      </c>
      <c r="L5163" s="2" t="n">
        <v>6895</v>
      </c>
      <c r="M5163" t="n">
        <v>-10.48</v>
      </c>
      <c r="N5163" t="inlineStr">
        <is>
          <t>20240508800550</t>
        </is>
      </c>
      <c r="O5163">
        <f>HYPERLINK("https://dart.fss.or.kr/dsaf001/main.do?rcpNo=20240508800550", "공시열람")</f>
        <v/>
      </c>
    </row>
    <row r="5164">
      <c r="A5164" t="inlineStr">
        <is>
          <t>2024-05-08</t>
        </is>
      </c>
      <c r="B5164" t="inlineStr">
        <is>
          <t>SK리츠</t>
        </is>
      </c>
      <c r="C5164" t="inlineStr">
        <is>
          <t>395400</t>
        </is>
      </c>
      <c r="D5164" t="inlineStr">
        <is>
          <t>별도</t>
        </is>
      </c>
      <c r="E5164" t="inlineStr">
        <is>
          <t>2024Q1</t>
        </is>
      </c>
      <c r="F5164" s="2" t="n">
        <v>30880</v>
      </c>
      <c r="G5164" t="n">
        <v>-9.6</v>
      </c>
      <c r="H5164" t="n">
        <v>30.2</v>
      </c>
      <c r="I5164" s="2" t="n">
        <v>25873</v>
      </c>
      <c r="J5164" t="n">
        <v>-11.6</v>
      </c>
      <c r="K5164" t="n">
        <v>36.4</v>
      </c>
      <c r="L5164" s="2" t="n">
        <v>12448</v>
      </c>
      <c r="M5164" t="n">
        <v>115</v>
      </c>
      <c r="N5164" t="inlineStr">
        <is>
          <t>20240508800506</t>
        </is>
      </c>
      <c r="O5164">
        <f>HYPERLINK("https://dart.fss.or.kr/dsaf001/main.do?rcpNo=20240508800506", "공시열람")</f>
        <v/>
      </c>
    </row>
    <row r="5165">
      <c r="A5165" t="inlineStr">
        <is>
          <t>2024-05-08</t>
        </is>
      </c>
      <c r="B5165" t="inlineStr">
        <is>
          <t>한국공항</t>
        </is>
      </c>
      <c r="C5165" t="inlineStr">
        <is>
          <t>005430</t>
        </is>
      </c>
      <c r="D5165" t="inlineStr">
        <is>
          <t>연결</t>
        </is>
      </c>
      <c r="E5165" t="inlineStr">
        <is>
          <t>2024Q1</t>
        </is>
      </c>
      <c r="F5165" s="2" t="n">
        <v>149940</v>
      </c>
      <c r="G5165" t="n">
        <v>-1.94</v>
      </c>
      <c r="H5165" t="n">
        <v>33.81</v>
      </c>
      <c r="I5165" s="2" t="n">
        <v>14974</v>
      </c>
      <c r="J5165" t="n">
        <v>135.4</v>
      </c>
      <c r="K5165" t="inlineStr"/>
      <c r="L5165" s="2" t="n">
        <v>13018</v>
      </c>
      <c r="M5165" t="inlineStr"/>
      <c r="N5165" t="inlineStr">
        <is>
          <t>20240508800461</t>
        </is>
      </c>
      <c r="O5165">
        <f>HYPERLINK("https://dart.fss.or.kr/dsaf001/main.do?rcpNo=20240508800461", "공시열람")</f>
        <v/>
      </c>
    </row>
    <row r="5166">
      <c r="A5166" t="inlineStr">
        <is>
          <t>2024-05-08</t>
        </is>
      </c>
      <c r="B5166" t="inlineStr">
        <is>
          <t>웅진씽크빅</t>
        </is>
      </c>
      <c r="C5166" t="inlineStr">
        <is>
          <t>095720</t>
        </is>
      </c>
      <c r="D5166" t="inlineStr">
        <is>
          <t>연결</t>
        </is>
      </c>
      <c r="E5166" t="inlineStr">
        <is>
          <t>2024Q1</t>
        </is>
      </c>
      <c r="F5166" s="2" t="n">
        <v>216198</v>
      </c>
      <c r="G5166" t="n">
        <v>-4</v>
      </c>
      <c r="H5166" t="n">
        <v>-3.5</v>
      </c>
      <c r="I5166" s="2" t="n">
        <v>-2927</v>
      </c>
      <c r="J5166" t="inlineStr"/>
      <c r="K5166" t="n">
        <v>45.6</v>
      </c>
      <c r="L5166" s="2" t="n">
        <v>-5819</v>
      </c>
      <c r="M5166" t="n">
        <v>19</v>
      </c>
      <c r="N5166" t="inlineStr">
        <is>
          <t>20240508800449</t>
        </is>
      </c>
      <c r="O5166">
        <f>HYPERLINK("https://dart.fss.or.kr/dsaf001/main.do?rcpNo=20240508800449", "공시열람")</f>
        <v/>
      </c>
    </row>
    <row r="5167">
      <c r="A5167" t="inlineStr">
        <is>
          <t>2024-05-08</t>
        </is>
      </c>
      <c r="B5167" t="inlineStr">
        <is>
          <t>진에어</t>
        </is>
      </c>
      <c r="C5167" t="inlineStr">
        <is>
          <t>272450</t>
        </is>
      </c>
      <c r="D5167" t="inlineStr">
        <is>
          <t>별도</t>
        </is>
      </c>
      <c r="E5167" t="inlineStr">
        <is>
          <t>2024Q1</t>
        </is>
      </c>
      <c r="F5167" s="2" t="n">
        <v>430306</v>
      </c>
      <c r="G5167" t="n">
        <v>25.4</v>
      </c>
      <c r="H5167" t="n">
        <v>22.1</v>
      </c>
      <c r="I5167" s="2" t="n">
        <v>98494</v>
      </c>
      <c r="J5167" t="n">
        <v>110.4</v>
      </c>
      <c r="K5167" t="n">
        <v>16</v>
      </c>
      <c r="L5167" s="2" t="n">
        <v>68278</v>
      </c>
      <c r="M5167" t="n">
        <v>13.8</v>
      </c>
      <c r="N5167" t="inlineStr">
        <is>
          <t>20240508800370</t>
        </is>
      </c>
      <c r="O5167">
        <f>HYPERLINK("https://dart.fss.or.kr/dsaf001/main.do?rcpNo=20240508800370", "공시열람")</f>
        <v/>
      </c>
    </row>
    <row r="5168">
      <c r="A5168" t="inlineStr">
        <is>
          <t>2024-05-08</t>
        </is>
      </c>
      <c r="B5168" t="inlineStr">
        <is>
          <t>카페24</t>
        </is>
      </c>
      <c r="C5168" t="inlineStr">
        <is>
          <t>042000</t>
        </is>
      </c>
      <c r="D5168" t="inlineStr">
        <is>
          <t>연결</t>
        </is>
      </c>
      <c r="E5168" t="inlineStr">
        <is>
          <t>2024Q1</t>
        </is>
      </c>
      <c r="F5168" s="2" t="n">
        <v>66852</v>
      </c>
      <c r="G5168" t="inlineStr"/>
      <c r="H5168" t="inlineStr"/>
      <c r="I5168" s="2" t="n">
        <v>2157</v>
      </c>
      <c r="J5168" t="inlineStr"/>
      <c r="K5168" t="inlineStr"/>
      <c r="L5168" s="2" t="n">
        <v>736</v>
      </c>
      <c r="M5168" t="inlineStr"/>
      <c r="N5168" t="inlineStr">
        <is>
          <t>20240508900374</t>
        </is>
      </c>
      <c r="O5168">
        <f>HYPERLINK("https://dart.fss.or.kr/dsaf001/main.do?rcpNo=20240508900374", "공시열람")</f>
        <v/>
      </c>
    </row>
    <row r="5169">
      <c r="A5169" t="inlineStr">
        <is>
          <t>2024-05-08</t>
        </is>
      </c>
      <c r="B5169" t="inlineStr">
        <is>
          <t>SK케미칼</t>
        </is>
      </c>
      <c r="C5169" t="inlineStr">
        <is>
          <t>285130</t>
        </is>
      </c>
      <c r="D5169" t="inlineStr">
        <is>
          <t>별도</t>
        </is>
      </c>
      <c r="E5169" t="inlineStr">
        <is>
          <t>2024Q1</t>
        </is>
      </c>
      <c r="F5169" s="2" t="n">
        <v>317206</v>
      </c>
      <c r="G5169" t="n">
        <v>-1.8</v>
      </c>
      <c r="H5169" t="n">
        <v>4.8</v>
      </c>
      <c r="I5169" s="2" t="n">
        <v>18610</v>
      </c>
      <c r="J5169" t="n">
        <v>13.5</v>
      </c>
      <c r="K5169" t="n">
        <v>-27</v>
      </c>
      <c r="L5169" s="2" t="n">
        <v>9398</v>
      </c>
      <c r="M5169" t="n">
        <v>-42.9</v>
      </c>
      <c r="N5169" t="inlineStr">
        <is>
          <t>20240508800345</t>
        </is>
      </c>
      <c r="O5169">
        <f>HYPERLINK("https://dart.fss.or.kr/dsaf001/main.do?rcpNo=20240508800345", "공시열람")</f>
        <v/>
      </c>
    </row>
    <row r="5170">
      <c r="A5170" t="inlineStr">
        <is>
          <t>2024-05-08</t>
        </is>
      </c>
      <c r="B5170" t="inlineStr">
        <is>
          <t>대한항공</t>
        </is>
      </c>
      <c r="C5170" t="inlineStr">
        <is>
          <t>003490</t>
        </is>
      </c>
      <c r="D5170" t="inlineStr">
        <is>
          <t>별도</t>
        </is>
      </c>
      <c r="E5170" t="inlineStr">
        <is>
          <t>2024Q1</t>
        </is>
      </c>
      <c r="F5170" s="2" t="n">
        <v>3822511</v>
      </c>
      <c r="G5170" t="n">
        <v>-4</v>
      </c>
      <c r="H5170" t="n">
        <v>19.6</v>
      </c>
      <c r="I5170" s="2" t="n">
        <v>436055</v>
      </c>
      <c r="J5170" t="n">
        <v>137.5</v>
      </c>
      <c r="K5170" t="n">
        <v>5.1</v>
      </c>
      <c r="L5170" s="2" t="n">
        <v>345224</v>
      </c>
      <c r="M5170" t="n">
        <v>-2.9</v>
      </c>
      <c r="N5170" t="inlineStr">
        <is>
          <t>20240508800340</t>
        </is>
      </c>
      <c r="O5170">
        <f>HYPERLINK("https://dart.fss.or.kr/dsaf001/main.do?rcpNo=20240508800340", "공시열람")</f>
        <v/>
      </c>
    </row>
    <row r="5171">
      <c r="A5171" t="inlineStr">
        <is>
          <t>2024-05-08</t>
        </is>
      </c>
      <c r="B5171" t="inlineStr">
        <is>
          <t>KTis</t>
        </is>
      </c>
      <c r="C5171" t="inlineStr">
        <is>
          <t>058860</t>
        </is>
      </c>
      <c r="D5171" t="inlineStr">
        <is>
          <t>별도</t>
        </is>
      </c>
      <c r="E5171" t="inlineStr">
        <is>
          <t>2024Q1</t>
        </is>
      </c>
      <c r="F5171" s="2" t="n">
        <v>145328</v>
      </c>
      <c r="G5171" t="inlineStr"/>
      <c r="H5171" t="inlineStr"/>
      <c r="I5171" s="2" t="n">
        <v>4262</v>
      </c>
      <c r="J5171" t="inlineStr"/>
      <c r="K5171" t="inlineStr"/>
      <c r="L5171" s="2" t="n">
        <v>3368</v>
      </c>
      <c r="M5171" t="inlineStr"/>
      <c r="N5171" t="inlineStr">
        <is>
          <t>20240508800359</t>
        </is>
      </c>
      <c r="O5171">
        <f>HYPERLINK("https://dart.fss.or.kr/dsaf001/main.do?rcpNo=20240508800359", "공시열람")</f>
        <v/>
      </c>
    </row>
    <row r="5172">
      <c r="A5172" t="inlineStr">
        <is>
          <t>2024-05-08</t>
        </is>
      </c>
      <c r="B5172" t="inlineStr">
        <is>
          <t>AP시스템</t>
        </is>
      </c>
      <c r="C5172" t="inlineStr">
        <is>
          <t>265520</t>
        </is>
      </c>
      <c r="D5172" t="inlineStr">
        <is>
          <t>연결</t>
        </is>
      </c>
      <c r="E5172" t="inlineStr">
        <is>
          <t>2024Q1</t>
        </is>
      </c>
      <c r="F5172" s="2" t="n">
        <v>91787</v>
      </c>
      <c r="G5172" t="inlineStr"/>
      <c r="H5172" t="inlineStr"/>
      <c r="I5172" s="2" t="n">
        <v>7238</v>
      </c>
      <c r="J5172" t="inlineStr"/>
      <c r="K5172" t="inlineStr"/>
      <c r="L5172" s="2" t="n">
        <v>11683</v>
      </c>
      <c r="M5172" t="inlineStr"/>
      <c r="N5172" t="inlineStr">
        <is>
          <t>20240508900303</t>
        </is>
      </c>
      <c r="O5172">
        <f>HYPERLINK("https://dart.fss.or.kr/dsaf001/main.do?rcpNo=20240508900303", "공시열람")</f>
        <v/>
      </c>
    </row>
    <row r="5173">
      <c r="A5173" t="inlineStr">
        <is>
          <t>2024-05-08</t>
        </is>
      </c>
      <c r="B5173" t="inlineStr">
        <is>
          <t>HDC</t>
        </is>
      </c>
      <c r="C5173" t="inlineStr">
        <is>
          <t>012630</t>
        </is>
      </c>
      <c r="D5173" t="inlineStr">
        <is>
          <t>연결</t>
        </is>
      </c>
      <c r="E5173" t="inlineStr">
        <is>
          <t>2024Q1</t>
        </is>
      </c>
      <c r="F5173" s="2" t="n">
        <v>1370738</v>
      </c>
      <c r="G5173" t="n">
        <v>-13.7</v>
      </c>
      <c r="H5173" t="n">
        <v>-8</v>
      </c>
      <c r="I5173" s="2" t="n">
        <v>75613</v>
      </c>
      <c r="J5173" t="n">
        <v>-25.9</v>
      </c>
      <c r="K5173" t="n">
        <v>0.2</v>
      </c>
      <c r="L5173" s="2" t="n">
        <v>40011</v>
      </c>
      <c r="M5173" t="n">
        <v>-8.6</v>
      </c>
      <c r="N5173" t="inlineStr">
        <is>
          <t>20240508800325</t>
        </is>
      </c>
      <c r="O5173">
        <f>HYPERLINK("https://dart.fss.or.kr/dsaf001/main.do?rcpNo=20240508800325", "공시열람")</f>
        <v/>
      </c>
    </row>
    <row r="5174">
      <c r="A5174" t="inlineStr">
        <is>
          <t>2024-05-08</t>
        </is>
      </c>
      <c r="B5174" t="inlineStr">
        <is>
          <t>하림</t>
        </is>
      </c>
      <c r="C5174" t="inlineStr">
        <is>
          <t>136480</t>
        </is>
      </c>
      <c r="D5174" t="inlineStr">
        <is>
          <t>연결</t>
        </is>
      </c>
      <c r="E5174" t="inlineStr">
        <is>
          <t>2024Q1</t>
        </is>
      </c>
      <c r="F5174" s="2" t="n">
        <v>305760</v>
      </c>
      <c r="G5174" t="inlineStr"/>
      <c r="H5174" t="inlineStr"/>
      <c r="I5174" s="2" t="n">
        <v>10358</v>
      </c>
      <c r="J5174" t="inlineStr"/>
      <c r="K5174" t="inlineStr"/>
      <c r="L5174" s="2" t="n">
        <v>-7419</v>
      </c>
      <c r="M5174" t="inlineStr"/>
      <c r="N5174" t="inlineStr">
        <is>
          <t>20240508900297</t>
        </is>
      </c>
      <c r="O5174">
        <f>HYPERLINK("https://dart.fss.or.kr/dsaf001/main.do?rcpNo=20240508900297", "공시열람")</f>
        <v/>
      </c>
    </row>
    <row r="5175">
      <c r="A5175" t="inlineStr">
        <is>
          <t>2024-05-08</t>
        </is>
      </c>
      <c r="B5175" t="inlineStr">
        <is>
          <t>하림</t>
        </is>
      </c>
      <c r="C5175" t="inlineStr">
        <is>
          <t>136480</t>
        </is>
      </c>
      <c r="D5175" t="inlineStr">
        <is>
          <t>별도</t>
        </is>
      </c>
      <c r="E5175" t="inlineStr">
        <is>
          <t>2024Q1</t>
        </is>
      </c>
      <c r="F5175" s="2" t="n">
        <v>292442</v>
      </c>
      <c r="G5175" t="inlineStr"/>
      <c r="H5175" t="inlineStr"/>
      <c r="I5175" s="2" t="n">
        <v>9142</v>
      </c>
      <c r="J5175" t="inlineStr"/>
      <c r="K5175" t="inlineStr"/>
      <c r="L5175" s="2" t="n">
        <v>-8769</v>
      </c>
      <c r="M5175" t="inlineStr"/>
      <c r="N5175" t="inlineStr">
        <is>
          <t>20240508900301</t>
        </is>
      </c>
      <c r="O5175">
        <f>HYPERLINK("https://dart.fss.or.kr/dsaf001/main.do?rcpNo=20240508900301", "공시열람")</f>
        <v/>
      </c>
    </row>
    <row r="5176">
      <c r="A5176" t="inlineStr">
        <is>
          <t>2024-05-08</t>
        </is>
      </c>
      <c r="B5176" t="inlineStr">
        <is>
          <t>콘텐트리중앙</t>
        </is>
      </c>
      <c r="C5176" t="inlineStr">
        <is>
          <t>036420</t>
        </is>
      </c>
      <c r="D5176" t="inlineStr">
        <is>
          <t>연결</t>
        </is>
      </c>
      <c r="E5176" t="inlineStr">
        <is>
          <t>2024Q1</t>
        </is>
      </c>
      <c r="F5176" s="2" t="n">
        <v>204968</v>
      </c>
      <c r="G5176" t="inlineStr"/>
      <c r="H5176" t="inlineStr"/>
      <c r="I5176" s="2" t="n">
        <v>-10035</v>
      </c>
      <c r="J5176" t="inlineStr"/>
      <c r="K5176" t="inlineStr"/>
      <c r="L5176" s="2" t="n">
        <v>-30784</v>
      </c>
      <c r="M5176" t="inlineStr"/>
      <c r="N5176" t="inlineStr">
        <is>
          <t>20240508800296</t>
        </is>
      </c>
      <c r="O5176">
        <f>HYPERLINK("https://dart.fss.or.kr/dsaf001/main.do?rcpNo=20240508800296", "공시열람")</f>
        <v/>
      </c>
    </row>
    <row r="5177">
      <c r="A5177" t="inlineStr">
        <is>
          <t>2024-05-08</t>
        </is>
      </c>
      <c r="B5177" t="inlineStr">
        <is>
          <t>쎌바이오텍</t>
        </is>
      </c>
      <c r="C5177" t="inlineStr">
        <is>
          <t>049960</t>
        </is>
      </c>
      <c r="D5177" t="inlineStr">
        <is>
          <t>연결</t>
        </is>
      </c>
      <c r="E5177" t="inlineStr">
        <is>
          <t>2024Q1</t>
        </is>
      </c>
      <c r="F5177" s="2" t="n">
        <v>13038</v>
      </c>
      <c r="G5177" t="inlineStr"/>
      <c r="H5177" t="inlineStr"/>
      <c r="I5177" s="2" t="n">
        <v>1071</v>
      </c>
      <c r="J5177" t="inlineStr"/>
      <c r="K5177" t="inlineStr"/>
      <c r="L5177" s="2" t="n">
        <v>3261</v>
      </c>
      <c r="M5177" t="inlineStr"/>
      <c r="N5177" t="inlineStr">
        <is>
          <t>20240508900293</t>
        </is>
      </c>
      <c r="O5177">
        <f>HYPERLINK("https://dart.fss.or.kr/dsaf001/main.do?rcpNo=20240508900293", "공시열람")</f>
        <v/>
      </c>
    </row>
    <row r="5178">
      <c r="A5178" t="inlineStr">
        <is>
          <t>2024-05-08</t>
        </is>
      </c>
      <c r="B5178" t="inlineStr">
        <is>
          <t>크래프톤</t>
        </is>
      </c>
      <c r="C5178" t="inlineStr">
        <is>
          <t>259960</t>
        </is>
      </c>
      <c r="D5178" t="inlineStr">
        <is>
          <t>연결</t>
        </is>
      </c>
      <c r="E5178" t="inlineStr">
        <is>
          <t>2024Q1</t>
        </is>
      </c>
      <c r="F5178" s="2" t="n">
        <v>665900</v>
      </c>
      <c r="G5178" t="n">
        <v>24.6</v>
      </c>
      <c r="H5178" t="n">
        <v>23.6</v>
      </c>
      <c r="I5178" s="2" t="n">
        <v>310500</v>
      </c>
      <c r="J5178" t="n">
        <v>89</v>
      </c>
      <c r="K5178" t="n">
        <v>9.699999999999999</v>
      </c>
      <c r="L5178" s="2" t="n">
        <v>348600</v>
      </c>
      <c r="M5178" t="n">
        <v>30.5</v>
      </c>
      <c r="N5178" t="inlineStr">
        <is>
          <t>20240508800291</t>
        </is>
      </c>
      <c r="O5178">
        <f>HYPERLINK("https://dart.fss.or.kr/dsaf001/main.do?rcpNo=20240508800291", "공시열람")</f>
        <v/>
      </c>
    </row>
    <row r="5179">
      <c r="A5179" t="inlineStr">
        <is>
          <t>2024-05-08</t>
        </is>
      </c>
      <c r="B5179" t="inlineStr">
        <is>
          <t>경동나비엔</t>
        </is>
      </c>
      <c r="C5179" t="inlineStr">
        <is>
          <t>009450</t>
        </is>
      </c>
      <c r="D5179" t="inlineStr">
        <is>
          <t>연결</t>
        </is>
      </c>
      <c r="E5179" t="inlineStr">
        <is>
          <t>2024Q1</t>
        </is>
      </c>
      <c r="F5179" s="2" t="n">
        <v>323244</v>
      </c>
      <c r="G5179" t="n">
        <v>-13.9</v>
      </c>
      <c r="H5179" t="n">
        <v>11.7</v>
      </c>
      <c r="I5179" s="2" t="n">
        <v>32541</v>
      </c>
      <c r="J5179" t="n">
        <v>-6.6</v>
      </c>
      <c r="K5179" t="n">
        <v>-15.6</v>
      </c>
      <c r="L5179" s="2" t="n">
        <v>31396</v>
      </c>
      <c r="M5179" t="n">
        <v>1.5</v>
      </c>
      <c r="N5179" t="inlineStr">
        <is>
          <t>20240508800288</t>
        </is>
      </c>
      <c r="O5179">
        <f>HYPERLINK("https://dart.fss.or.kr/dsaf001/main.do?rcpNo=20240508800288", "공시열람")</f>
        <v/>
      </c>
    </row>
    <row r="5180">
      <c r="A5180" t="inlineStr">
        <is>
          <t>2024-05-08</t>
        </is>
      </c>
      <c r="B5180" t="inlineStr">
        <is>
          <t>웹젠</t>
        </is>
      </c>
      <c r="C5180" t="inlineStr">
        <is>
          <t>069080</t>
        </is>
      </c>
      <c r="D5180" t="inlineStr">
        <is>
          <t>연결</t>
        </is>
      </c>
      <c r="E5180" t="inlineStr">
        <is>
          <t>2024Q1</t>
        </is>
      </c>
      <c r="F5180" s="2" t="n">
        <v>61470</v>
      </c>
      <c r="G5180" t="inlineStr"/>
      <c r="H5180" t="inlineStr"/>
      <c r="I5180" s="2" t="n">
        <v>17989</v>
      </c>
      <c r="J5180" t="inlineStr"/>
      <c r="K5180" t="inlineStr"/>
      <c r="L5180" s="2" t="n">
        <v>20648</v>
      </c>
      <c r="M5180" t="inlineStr"/>
      <c r="N5180" t="inlineStr">
        <is>
          <t>20240508900290</t>
        </is>
      </c>
      <c r="O5180">
        <f>HYPERLINK("https://dart.fss.or.kr/dsaf001/main.do?rcpNo=20240508900290", "공시열람")</f>
        <v/>
      </c>
    </row>
    <row r="5181">
      <c r="A5181" t="inlineStr">
        <is>
          <t>2024-05-08</t>
        </is>
      </c>
      <c r="B5181" t="inlineStr">
        <is>
          <t>강원랜드</t>
        </is>
      </c>
      <c r="C5181" t="inlineStr">
        <is>
          <t>035250</t>
        </is>
      </c>
      <c r="D5181" t="inlineStr">
        <is>
          <t>연결</t>
        </is>
      </c>
      <c r="E5181" t="inlineStr">
        <is>
          <t>2024Q1</t>
        </is>
      </c>
      <c r="F5181" s="2" t="n">
        <v>368373</v>
      </c>
      <c r="G5181" t="n">
        <v>13.2</v>
      </c>
      <c r="H5181" t="n">
        <v>2.9</v>
      </c>
      <c r="I5181" s="2" t="n">
        <v>75867</v>
      </c>
      <c r="J5181" t="n">
        <v>95.8</v>
      </c>
      <c r="K5181" t="n">
        <v>8.9</v>
      </c>
      <c r="L5181" s="2" t="n">
        <v>92913</v>
      </c>
      <c r="M5181" t="n">
        <v>-8.5</v>
      </c>
      <c r="N5181" t="inlineStr">
        <is>
          <t>20240508800277</t>
        </is>
      </c>
      <c r="O5181">
        <f>HYPERLINK("https://dart.fss.or.kr/dsaf001/main.do?rcpNo=20240508800277", "공시열람")</f>
        <v/>
      </c>
    </row>
    <row r="5182">
      <c r="A5182" t="inlineStr">
        <is>
          <t>2024-05-08</t>
        </is>
      </c>
      <c r="B5182" t="inlineStr">
        <is>
          <t>롯데렌탈</t>
        </is>
      </c>
      <c r="C5182" t="inlineStr">
        <is>
          <t>089860</t>
        </is>
      </c>
      <c r="D5182" t="inlineStr">
        <is>
          <t>연결</t>
        </is>
      </c>
      <c r="E5182" t="inlineStr">
        <is>
          <t>2024Q1</t>
        </is>
      </c>
      <c r="F5182" s="2" t="n">
        <v>656867</v>
      </c>
      <c r="G5182" t="inlineStr"/>
      <c r="H5182" t="inlineStr"/>
      <c r="I5182" s="2" t="n">
        <v>56887</v>
      </c>
      <c r="J5182" t="inlineStr"/>
      <c r="K5182" t="inlineStr"/>
      <c r="L5182" s="2" t="n">
        <v>16235</v>
      </c>
      <c r="M5182" t="inlineStr"/>
      <c r="N5182" t="inlineStr">
        <is>
          <t>20240508800281</t>
        </is>
      </c>
      <c r="O5182">
        <f>HYPERLINK("https://dart.fss.or.kr/dsaf001/main.do?rcpNo=20240508800281", "공시열람")</f>
        <v/>
      </c>
    </row>
    <row r="5183">
      <c r="A5183" t="inlineStr">
        <is>
          <t>2024-05-08</t>
        </is>
      </c>
      <c r="B5183" t="inlineStr">
        <is>
          <t>레이크머티리얼즈</t>
        </is>
      </c>
      <c r="C5183" t="inlineStr">
        <is>
          <t>281740</t>
        </is>
      </c>
      <c r="D5183" t="inlineStr">
        <is>
          <t>연결</t>
        </is>
      </c>
      <c r="E5183" t="inlineStr">
        <is>
          <t>2024Q1</t>
        </is>
      </c>
      <c r="F5183" s="2" t="n">
        <v>30832</v>
      </c>
      <c r="G5183" t="inlineStr"/>
      <c r="H5183" t="inlineStr"/>
      <c r="I5183" s="2" t="n">
        <v>4925</v>
      </c>
      <c r="J5183" t="inlineStr"/>
      <c r="K5183" t="inlineStr"/>
      <c r="L5183" s="2" t="n">
        <v>4171</v>
      </c>
      <c r="M5183" t="inlineStr"/>
      <c r="N5183" t="inlineStr">
        <is>
          <t>20240508900271</t>
        </is>
      </c>
      <c r="O5183">
        <f>HYPERLINK("https://dart.fss.or.kr/dsaf001/main.do?rcpNo=20240508900271", "공시열람")</f>
        <v/>
      </c>
    </row>
    <row r="5184">
      <c r="A5184" t="inlineStr">
        <is>
          <t>2024-05-08</t>
        </is>
      </c>
      <c r="B5184" t="inlineStr">
        <is>
          <t>JW홀딩스</t>
        </is>
      </c>
      <c r="C5184" t="inlineStr">
        <is>
          <t>096760</t>
        </is>
      </c>
      <c r="D5184" t="inlineStr">
        <is>
          <t>별도</t>
        </is>
      </c>
      <c r="E5184" t="inlineStr">
        <is>
          <t>2024Q1</t>
        </is>
      </c>
      <c r="F5184" s="2" t="n">
        <v>25062</v>
      </c>
      <c r="G5184" t="n">
        <v>3.87</v>
      </c>
      <c r="H5184" t="n">
        <v>1.63</v>
      </c>
      <c r="I5184" s="2" t="n">
        <v>10248</v>
      </c>
      <c r="J5184" t="n">
        <v>345.48</v>
      </c>
      <c r="K5184" t="n">
        <v>2.94</v>
      </c>
      <c r="L5184" s="2" t="n">
        <v>3360</v>
      </c>
      <c r="M5184" t="n">
        <v>-59.89</v>
      </c>
      <c r="N5184" t="inlineStr">
        <is>
          <t>20240508800233</t>
        </is>
      </c>
      <c r="O5184">
        <f>HYPERLINK("https://dart.fss.or.kr/dsaf001/main.do?rcpNo=20240508800233", "공시열람")</f>
        <v/>
      </c>
    </row>
    <row r="5185">
      <c r="A5185" t="inlineStr">
        <is>
          <t>2024-05-08</t>
        </is>
      </c>
      <c r="B5185" t="inlineStr">
        <is>
          <t>광주신세계</t>
        </is>
      </c>
      <c r="C5185" t="inlineStr">
        <is>
          <t>037710</t>
        </is>
      </c>
      <c r="D5185" t="inlineStr">
        <is>
          <t>별도</t>
        </is>
      </c>
      <c r="E5185" t="inlineStr">
        <is>
          <t>2024Q1</t>
        </is>
      </c>
      <c r="F5185" s="2" t="n">
        <v>14615</v>
      </c>
      <c r="G5185" t="n">
        <v>-9.1</v>
      </c>
      <c r="H5185" t="n">
        <v>-4.9</v>
      </c>
      <c r="I5185" s="2" t="inlineStr"/>
      <c r="J5185" t="inlineStr"/>
      <c r="K5185" t="inlineStr"/>
      <c r="L5185" s="2" t="inlineStr"/>
      <c r="M5185" t="inlineStr"/>
      <c r="N5185" t="inlineStr">
        <is>
          <t>20240508800220</t>
        </is>
      </c>
      <c r="O5185">
        <f>HYPERLINK("https://dart.fss.or.kr/dsaf001/main.do?rcpNo=20240508800220", "공시열람")</f>
        <v/>
      </c>
    </row>
    <row r="5186">
      <c r="A5186" t="inlineStr">
        <is>
          <t>2024-05-08</t>
        </is>
      </c>
      <c r="B5186" t="inlineStr">
        <is>
          <t>광주신세계</t>
        </is>
      </c>
      <c r="C5186" t="inlineStr">
        <is>
          <t>037710</t>
        </is>
      </c>
      <c r="D5186" t="inlineStr">
        <is>
          <t>별도</t>
        </is>
      </c>
      <c r="E5186" t="inlineStr">
        <is>
          <t>2024Q1</t>
        </is>
      </c>
      <c r="F5186" s="2" t="n">
        <v>44126</v>
      </c>
      <c r="G5186" t="n">
        <v>-10.9</v>
      </c>
      <c r="H5186" t="n">
        <v>-1.1</v>
      </c>
      <c r="I5186" s="2" t="n">
        <v>13105</v>
      </c>
      <c r="J5186" t="n">
        <v>-20.8</v>
      </c>
      <c r="K5186" t="n">
        <v>-4</v>
      </c>
      <c r="L5186" s="2" t="n">
        <v>12976</v>
      </c>
      <c r="M5186" t="n">
        <v>-10.3</v>
      </c>
      <c r="N5186" t="inlineStr">
        <is>
          <t>20240508800218</t>
        </is>
      </c>
      <c r="O5186">
        <f>HYPERLINK("https://dart.fss.or.kr/dsaf001/main.do?rcpNo=20240508800218", "공시열람")</f>
        <v/>
      </c>
    </row>
    <row r="5187">
      <c r="A5187" t="inlineStr">
        <is>
          <t>2024-05-08</t>
        </is>
      </c>
      <c r="B5187" t="inlineStr">
        <is>
          <t>HS애드</t>
        </is>
      </c>
      <c r="C5187" t="inlineStr">
        <is>
          <t>035000</t>
        </is>
      </c>
      <c r="D5187" t="inlineStr">
        <is>
          <t>연결</t>
        </is>
      </c>
      <c r="E5187" t="inlineStr">
        <is>
          <t>2024Q1</t>
        </is>
      </c>
      <c r="F5187" s="2" t="n">
        <v>86301</v>
      </c>
      <c r="G5187" t="n">
        <v>-54.59</v>
      </c>
      <c r="H5187" t="n">
        <v>-3.68</v>
      </c>
      <c r="I5187" s="2" t="n">
        <v>-7527</v>
      </c>
      <c r="J5187" t="inlineStr"/>
      <c r="K5187" t="n">
        <v>-22.63</v>
      </c>
      <c r="L5187" s="2" t="n">
        <v>-7511</v>
      </c>
      <c r="M5187" t="n">
        <v>-57.99</v>
      </c>
      <c r="N5187" t="inlineStr">
        <is>
          <t>20240508800205</t>
        </is>
      </c>
      <c r="O5187">
        <f>HYPERLINK("https://dart.fss.or.kr/dsaf001/main.do?rcpNo=20240508800205", "공시열람")</f>
        <v/>
      </c>
    </row>
    <row r="5188">
      <c r="A5188" t="inlineStr">
        <is>
          <t>2024-05-08</t>
        </is>
      </c>
      <c r="B5188" t="inlineStr">
        <is>
          <t>동진쎄미켐</t>
        </is>
      </c>
      <c r="C5188" t="inlineStr">
        <is>
          <t>005290</t>
        </is>
      </c>
      <c r="D5188" t="inlineStr">
        <is>
          <t>연결</t>
        </is>
      </c>
      <c r="E5188" t="inlineStr">
        <is>
          <t>2024Q1</t>
        </is>
      </c>
      <c r="F5188" s="2" t="n">
        <v>332994</v>
      </c>
      <c r="G5188" t="inlineStr"/>
      <c r="H5188" t="inlineStr"/>
      <c r="I5188" s="2" t="n">
        <v>47060</v>
      </c>
      <c r="J5188" t="inlineStr"/>
      <c r="K5188" t="inlineStr"/>
      <c r="L5188" s="2" t="n">
        <v>36569</v>
      </c>
      <c r="M5188" t="inlineStr"/>
      <c r="N5188" t="inlineStr">
        <is>
          <t>20240508900175</t>
        </is>
      </c>
      <c r="O5188">
        <f>HYPERLINK("https://dart.fss.or.kr/dsaf001/main.do?rcpNo=20240508900175", "공시열람")</f>
        <v/>
      </c>
    </row>
    <row r="5189">
      <c r="A5189" t="inlineStr">
        <is>
          <t>2024-05-07</t>
        </is>
      </c>
      <c r="B5189" t="inlineStr">
        <is>
          <t>한국금융지주</t>
        </is>
      </c>
      <c r="C5189" t="inlineStr">
        <is>
          <t>071050</t>
        </is>
      </c>
      <c r="D5189" t="inlineStr">
        <is>
          <t>연결</t>
        </is>
      </c>
      <c r="E5189" t="inlineStr">
        <is>
          <t>2024Q1</t>
        </is>
      </c>
      <c r="F5189" s="2" t="n">
        <v>6245948</v>
      </c>
      <c r="G5189" t="n">
        <v>-10.94</v>
      </c>
      <c r="H5189" t="n">
        <v>-24.1</v>
      </c>
      <c r="I5189" s="2" t="n">
        <v>391848</v>
      </c>
      <c r="J5189" t="n">
        <v>2251.72</v>
      </c>
      <c r="K5189" t="n">
        <v>36.46</v>
      </c>
      <c r="L5189" s="2" t="n">
        <v>368691</v>
      </c>
      <c r="M5189" t="n">
        <v>40.68</v>
      </c>
      <c r="N5189" t="inlineStr">
        <is>
          <t>20240507800408</t>
        </is>
      </c>
      <c r="O5189">
        <f>HYPERLINK("https://dart.fss.or.kr/dsaf001/main.do?rcpNo=20240507800408", "공시열람")</f>
        <v/>
      </c>
    </row>
    <row r="5190">
      <c r="A5190" t="inlineStr">
        <is>
          <t>2024-05-07</t>
        </is>
      </c>
      <c r="B5190" t="inlineStr">
        <is>
          <t>한국금융지주</t>
        </is>
      </c>
      <c r="C5190" t="inlineStr">
        <is>
          <t>071050</t>
        </is>
      </c>
      <c r="D5190" t="inlineStr">
        <is>
          <t>연결</t>
        </is>
      </c>
      <c r="E5190" t="inlineStr">
        <is>
          <t>2024Q1</t>
        </is>
      </c>
      <c r="F5190" s="2" t="n">
        <v>6681789</v>
      </c>
      <c r="G5190" t="n">
        <v>42.29</v>
      </c>
      <c r="H5190" t="n">
        <v>-22.14</v>
      </c>
      <c r="I5190" s="2" t="n">
        <v>381625</v>
      </c>
      <c r="J5190" t="n">
        <v>1231.79</v>
      </c>
      <c r="K5190" t="n">
        <v>17.97</v>
      </c>
      <c r="L5190" s="2" t="n">
        <v>342379</v>
      </c>
      <c r="M5190" t="n">
        <v>13.73</v>
      </c>
      <c r="N5190" t="inlineStr">
        <is>
          <t>20240507800412</t>
        </is>
      </c>
      <c r="O5190">
        <f>HYPERLINK("https://dart.fss.or.kr/dsaf001/main.do?rcpNo=20240507800412", "공시열람")</f>
        <v/>
      </c>
    </row>
    <row r="5191">
      <c r="A5191" t="inlineStr">
        <is>
          <t>2024-05-07</t>
        </is>
      </c>
      <c r="B5191" t="inlineStr">
        <is>
          <t>토비스</t>
        </is>
      </c>
      <c r="C5191" t="inlineStr">
        <is>
          <t>051360</t>
        </is>
      </c>
      <c r="D5191" t="inlineStr">
        <is>
          <t>연결</t>
        </is>
      </c>
      <c r="E5191" t="inlineStr">
        <is>
          <t>2024Q1</t>
        </is>
      </c>
      <c r="F5191" s="2" t="n">
        <v>139196</v>
      </c>
      <c r="G5191" t="inlineStr"/>
      <c r="H5191" t="inlineStr"/>
      <c r="I5191" s="2" t="n">
        <v>10118</v>
      </c>
      <c r="J5191" t="inlineStr"/>
      <c r="K5191" t="inlineStr"/>
      <c r="L5191" s="2" t="n">
        <v>12221</v>
      </c>
      <c r="M5191" t="inlineStr"/>
      <c r="N5191" t="inlineStr">
        <is>
          <t>20240507900090</t>
        </is>
      </c>
      <c r="O5191">
        <f>HYPERLINK("https://dart.fss.or.kr/dsaf001/main.do?rcpNo=20240507900090", "공시열람")</f>
        <v/>
      </c>
    </row>
    <row r="5192">
      <c r="A5192" t="inlineStr">
        <is>
          <t>2024-05-07</t>
        </is>
      </c>
      <c r="B5192" t="inlineStr">
        <is>
          <t>영화금속</t>
        </is>
      </c>
      <c r="C5192" t="inlineStr">
        <is>
          <t>012280</t>
        </is>
      </c>
      <c r="D5192" t="inlineStr">
        <is>
          <t>별도</t>
        </is>
      </c>
      <c r="E5192" t="inlineStr">
        <is>
          <t>2024Q1</t>
        </is>
      </c>
      <c r="F5192" s="2" t="n">
        <v>70316</v>
      </c>
      <c r="G5192" t="n">
        <v>-8.300000000000001</v>
      </c>
      <c r="H5192" t="n">
        <v>-4.9</v>
      </c>
      <c r="I5192" s="2" t="n">
        <v>1992</v>
      </c>
      <c r="J5192" t="n">
        <v>-48</v>
      </c>
      <c r="K5192" t="n">
        <v>524.9</v>
      </c>
      <c r="L5192" s="2" t="n">
        <v>1736</v>
      </c>
      <c r="M5192" t="n">
        <v>73.2</v>
      </c>
      <c r="N5192" t="inlineStr">
        <is>
          <t>20240507800304</t>
        </is>
      </c>
      <c r="O5192">
        <f>HYPERLINK("https://dart.fss.or.kr/dsaf001/main.do?rcpNo=20240507800304", "공시열람")</f>
        <v/>
      </c>
    </row>
    <row r="5193">
      <c r="A5193" t="inlineStr">
        <is>
          <t>2024-05-07</t>
        </is>
      </c>
      <c r="B5193" t="inlineStr">
        <is>
          <t>엠씨넥스</t>
        </is>
      </c>
      <c r="C5193" t="inlineStr">
        <is>
          <t>097520</t>
        </is>
      </c>
      <c r="D5193" t="inlineStr">
        <is>
          <t>연결</t>
        </is>
      </c>
      <c r="E5193" t="inlineStr">
        <is>
          <t>2024Q1</t>
        </is>
      </c>
      <c r="F5193" s="2" t="n">
        <v>287835</v>
      </c>
      <c r="G5193" t="inlineStr"/>
      <c r="H5193" t="inlineStr"/>
      <c r="I5193" s="2" t="n">
        <v>15205</v>
      </c>
      <c r="J5193" t="inlineStr"/>
      <c r="K5193" t="inlineStr"/>
      <c r="L5193" s="2" t="n">
        <v>15930</v>
      </c>
      <c r="M5193" t="inlineStr"/>
      <c r="N5193" t="inlineStr">
        <is>
          <t>20240507800098</t>
        </is>
      </c>
      <c r="O5193">
        <f>HYPERLINK("https://dart.fss.or.kr/dsaf001/main.do?rcpNo=20240507800098", "공시열람")</f>
        <v/>
      </c>
    </row>
    <row r="5194">
      <c r="A5194" t="inlineStr">
        <is>
          <t>2024-05-07</t>
        </is>
      </c>
      <c r="B5194" t="inlineStr">
        <is>
          <t>뷰웍스</t>
        </is>
      </c>
      <c r="C5194" t="inlineStr">
        <is>
          <t>100120</t>
        </is>
      </c>
      <c r="D5194" t="inlineStr">
        <is>
          <t>연결</t>
        </is>
      </c>
      <c r="E5194" t="inlineStr">
        <is>
          <t>2024Q1</t>
        </is>
      </c>
      <c r="F5194" s="2" t="n">
        <v>60551</v>
      </c>
      <c r="G5194" t="inlineStr"/>
      <c r="H5194" t="inlineStr"/>
      <c r="I5194" s="2" t="n">
        <v>7121</v>
      </c>
      <c r="J5194" t="inlineStr"/>
      <c r="K5194" t="inlineStr"/>
      <c r="L5194" s="2" t="inlineStr"/>
      <c r="M5194" t="inlineStr"/>
      <c r="N5194" t="inlineStr">
        <is>
          <t>20240507900448</t>
        </is>
      </c>
      <c r="O5194">
        <f>HYPERLINK("https://dart.fss.or.kr/dsaf001/main.do?rcpNo=20240507900448", "공시열람")</f>
        <v/>
      </c>
    </row>
    <row r="5195">
      <c r="A5195" t="inlineStr">
        <is>
          <t>2024-05-07</t>
        </is>
      </c>
      <c r="B5195" t="inlineStr">
        <is>
          <t>현대이지웰</t>
        </is>
      </c>
      <c r="C5195" t="inlineStr">
        <is>
          <t>090850</t>
        </is>
      </c>
      <c r="D5195" t="inlineStr">
        <is>
          <t>연결</t>
        </is>
      </c>
      <c r="E5195" t="inlineStr">
        <is>
          <t>2024Q1</t>
        </is>
      </c>
      <c r="F5195" s="2" t="n">
        <v>37472</v>
      </c>
      <c r="G5195" t="inlineStr"/>
      <c r="H5195" t="inlineStr"/>
      <c r="I5195" s="2" t="n">
        <v>7569</v>
      </c>
      <c r="J5195" t="inlineStr"/>
      <c r="K5195" t="inlineStr"/>
      <c r="L5195" s="2" t="n">
        <v>6678</v>
      </c>
      <c r="M5195" t="inlineStr"/>
      <c r="N5195" t="inlineStr">
        <is>
          <t>20240507900459</t>
        </is>
      </c>
      <c r="O5195">
        <f>HYPERLINK("https://dart.fss.or.kr/dsaf001/main.do?rcpNo=20240507900459", "공시열람")</f>
        <v/>
      </c>
    </row>
    <row r="5196">
      <c r="A5196" t="inlineStr">
        <is>
          <t>2024-05-07</t>
        </is>
      </c>
      <c r="B5196" t="inlineStr">
        <is>
          <t>위메이드플레이</t>
        </is>
      </c>
      <c r="C5196" t="inlineStr">
        <is>
          <t>123420</t>
        </is>
      </c>
      <c r="D5196" t="inlineStr">
        <is>
          <t>연결</t>
        </is>
      </c>
      <c r="E5196" t="inlineStr">
        <is>
          <t>2024Q1</t>
        </is>
      </c>
      <c r="F5196" s="2" t="n">
        <v>30356</v>
      </c>
      <c r="G5196" t="inlineStr"/>
      <c r="H5196" t="inlineStr"/>
      <c r="I5196" s="2" t="n">
        <v>-303</v>
      </c>
      <c r="J5196" t="inlineStr"/>
      <c r="K5196" t="inlineStr"/>
      <c r="L5196" s="2" t="n">
        <v>-111</v>
      </c>
      <c r="M5196" t="inlineStr"/>
      <c r="N5196" t="inlineStr">
        <is>
          <t>20240507900461</t>
        </is>
      </c>
      <c r="O5196">
        <f>HYPERLINK("https://dart.fss.or.kr/dsaf001/main.do?rcpNo=20240507900461", "공시열람")</f>
        <v/>
      </c>
    </row>
    <row r="5197">
      <c r="A5197" t="inlineStr">
        <is>
          <t>2024-05-07</t>
        </is>
      </c>
      <c r="B5197" t="inlineStr">
        <is>
          <t>케이아이엔엑스</t>
        </is>
      </c>
      <c r="C5197" t="inlineStr">
        <is>
          <t>093320</t>
        </is>
      </c>
      <c r="D5197" t="inlineStr">
        <is>
          <t>연결</t>
        </is>
      </c>
      <c r="E5197" t="inlineStr">
        <is>
          <t>2024Q1</t>
        </is>
      </c>
      <c r="F5197" s="2" t="n">
        <v>30679</v>
      </c>
      <c r="G5197" t="inlineStr"/>
      <c r="H5197" t="inlineStr"/>
      <c r="I5197" s="2" t="n">
        <v>5894</v>
      </c>
      <c r="J5197" t="inlineStr"/>
      <c r="K5197" t="inlineStr"/>
      <c r="L5197" s="2" t="n">
        <v>2246</v>
      </c>
      <c r="M5197" t="inlineStr"/>
      <c r="N5197" t="inlineStr">
        <is>
          <t>20240507900438</t>
        </is>
      </c>
      <c r="O5197">
        <f>HYPERLINK("https://dart.fss.or.kr/dsaf001/main.do?rcpNo=20240507900438", "공시열람")</f>
        <v/>
      </c>
    </row>
    <row r="5198">
      <c r="A5198" t="inlineStr">
        <is>
          <t>2024-05-07</t>
        </is>
      </c>
      <c r="B5198" t="inlineStr">
        <is>
          <t>위메이드</t>
        </is>
      </c>
      <c r="C5198" t="inlineStr">
        <is>
          <t>112040</t>
        </is>
      </c>
      <c r="D5198" t="inlineStr">
        <is>
          <t>연결</t>
        </is>
      </c>
      <c r="E5198" t="inlineStr">
        <is>
          <t>2024Q1</t>
        </is>
      </c>
      <c r="F5198" s="2" t="n">
        <v>161299</v>
      </c>
      <c r="G5198" t="inlineStr"/>
      <c r="H5198" t="inlineStr"/>
      <c r="I5198" s="2" t="n">
        <v>-37625</v>
      </c>
      <c r="J5198" t="inlineStr"/>
      <c r="K5198" t="inlineStr"/>
      <c r="L5198" s="2" t="n">
        <v>-58977</v>
      </c>
      <c r="M5198" t="inlineStr"/>
      <c r="N5198" t="inlineStr">
        <is>
          <t>20240507900453</t>
        </is>
      </c>
      <c r="O5198">
        <f>HYPERLINK("https://dart.fss.or.kr/dsaf001/main.do?rcpNo=20240507900453", "공시열람")</f>
        <v/>
      </c>
    </row>
    <row r="5199">
      <c r="A5199" t="inlineStr">
        <is>
          <t>2024-05-07</t>
        </is>
      </c>
      <c r="B5199" t="inlineStr">
        <is>
          <t>한섬</t>
        </is>
      </c>
      <c r="C5199" t="inlineStr">
        <is>
          <t>020000</t>
        </is>
      </c>
      <c r="D5199" t="inlineStr">
        <is>
          <t>연결</t>
        </is>
      </c>
      <c r="E5199" t="inlineStr">
        <is>
          <t>2024Q1</t>
        </is>
      </c>
      <c r="F5199" s="2" t="n">
        <v>393599</v>
      </c>
      <c r="G5199" t="n">
        <v>-13.1</v>
      </c>
      <c r="H5199" t="n">
        <v>-3</v>
      </c>
      <c r="I5199" s="2" t="n">
        <v>32452</v>
      </c>
      <c r="J5199" t="n">
        <v>2.7</v>
      </c>
      <c r="K5199" t="n">
        <v>-40.2</v>
      </c>
      <c r="L5199" s="2" t="n">
        <v>23667</v>
      </c>
      <c r="M5199" t="n">
        <v>-46.5</v>
      </c>
      <c r="N5199" t="inlineStr">
        <is>
          <t>20240507800415</t>
        </is>
      </c>
      <c r="O5199">
        <f>HYPERLINK("https://dart.fss.or.kr/dsaf001/main.do?rcpNo=20240507800415", "공시열람")</f>
        <v/>
      </c>
    </row>
    <row r="5200">
      <c r="A5200" t="inlineStr">
        <is>
          <t>2024-05-07</t>
        </is>
      </c>
      <c r="B5200" t="inlineStr">
        <is>
          <t>KTcs</t>
        </is>
      </c>
      <c r="C5200" t="inlineStr">
        <is>
          <t>058850</t>
        </is>
      </c>
      <c r="D5200" t="inlineStr">
        <is>
          <t>연결</t>
        </is>
      </c>
      <c r="E5200" t="inlineStr">
        <is>
          <t>2024Q1</t>
        </is>
      </c>
      <c r="F5200" s="2" t="n">
        <v>265455</v>
      </c>
      <c r="G5200" t="inlineStr"/>
      <c r="H5200" t="inlineStr"/>
      <c r="I5200" s="2" t="n">
        <v>7835</v>
      </c>
      <c r="J5200" t="inlineStr"/>
      <c r="K5200" t="inlineStr"/>
      <c r="L5200" s="2" t="n">
        <v>6263</v>
      </c>
      <c r="M5200" t="inlineStr"/>
      <c r="N5200" t="inlineStr">
        <is>
          <t>20240507800437</t>
        </is>
      </c>
      <c r="O5200">
        <f>HYPERLINK("https://dart.fss.or.kr/dsaf001/main.do?rcpNo=20240507800437", "공시열람")</f>
        <v/>
      </c>
    </row>
    <row r="5201">
      <c r="A5201" t="inlineStr">
        <is>
          <t>2024-05-07</t>
        </is>
      </c>
      <c r="B5201" t="inlineStr">
        <is>
          <t>KTcs</t>
        </is>
      </c>
      <c r="C5201" t="inlineStr">
        <is>
          <t>058850</t>
        </is>
      </c>
      <c r="D5201" t="inlineStr">
        <is>
          <t>별도</t>
        </is>
      </c>
      <c r="E5201" t="inlineStr">
        <is>
          <t>2024Q1</t>
        </is>
      </c>
      <c r="F5201" s="2" t="n">
        <v>173927</v>
      </c>
      <c r="G5201" t="inlineStr"/>
      <c r="H5201" t="inlineStr"/>
      <c r="I5201" s="2" t="n">
        <v>5548</v>
      </c>
      <c r="J5201" t="inlineStr"/>
      <c r="K5201" t="inlineStr"/>
      <c r="L5201" s="2" t="n">
        <v>4337</v>
      </c>
      <c r="M5201" t="inlineStr"/>
      <c r="N5201" t="inlineStr">
        <is>
          <t>20240507800436</t>
        </is>
      </c>
      <c r="O5201">
        <f>HYPERLINK("https://dart.fss.or.kr/dsaf001/main.do?rcpNo=20240507800436", "공시열람")</f>
        <v/>
      </c>
    </row>
    <row r="5202">
      <c r="A5202" t="inlineStr">
        <is>
          <t>2024-05-07</t>
        </is>
      </c>
      <c r="B5202" t="inlineStr">
        <is>
          <t>펌텍코리아</t>
        </is>
      </c>
      <c r="C5202" t="inlineStr">
        <is>
          <t>251970</t>
        </is>
      </c>
      <c r="D5202" t="inlineStr">
        <is>
          <t>연결</t>
        </is>
      </c>
      <c r="E5202" t="inlineStr">
        <is>
          <t>2024Q1</t>
        </is>
      </c>
      <c r="F5202" s="2" t="n">
        <v>76885</v>
      </c>
      <c r="G5202" t="inlineStr"/>
      <c r="H5202" t="inlineStr"/>
      <c r="I5202" s="2" t="n">
        <v>10227</v>
      </c>
      <c r="J5202" t="inlineStr"/>
      <c r="K5202" t="inlineStr"/>
      <c r="L5202" s="2" t="n">
        <v>8385</v>
      </c>
      <c r="M5202" t="inlineStr"/>
      <c r="N5202" t="inlineStr">
        <is>
          <t>20240507900411</t>
        </is>
      </c>
      <c r="O5202">
        <f>HYPERLINK("https://dart.fss.or.kr/dsaf001/main.do?rcpNo=20240507900411", "공시열람")</f>
        <v/>
      </c>
    </row>
    <row r="5203">
      <c r="A5203" t="inlineStr">
        <is>
          <t>2024-05-07</t>
        </is>
      </c>
      <c r="B5203" t="inlineStr">
        <is>
          <t>심텍홀딩스</t>
        </is>
      </c>
      <c r="C5203" t="inlineStr">
        <is>
          <t>036710</t>
        </is>
      </c>
      <c r="D5203" t="inlineStr">
        <is>
          <t>연결</t>
        </is>
      </c>
      <c r="E5203" t="inlineStr">
        <is>
          <t>2024Q1</t>
        </is>
      </c>
      <c r="F5203" s="2" t="n">
        <v>301302</v>
      </c>
      <c r="G5203" t="inlineStr"/>
      <c r="H5203" t="inlineStr"/>
      <c r="I5203" s="2" t="n">
        <v>-46393</v>
      </c>
      <c r="J5203" t="inlineStr"/>
      <c r="K5203" t="inlineStr"/>
      <c r="L5203" s="2" t="n">
        <v>-54914</v>
      </c>
      <c r="M5203" t="inlineStr"/>
      <c r="N5203" t="inlineStr">
        <is>
          <t>20240507900377</t>
        </is>
      </c>
      <c r="O5203">
        <f>HYPERLINK("https://dart.fss.or.kr/dsaf001/main.do?rcpNo=20240507900377", "공시열람")</f>
        <v/>
      </c>
    </row>
    <row r="5204">
      <c r="A5204" t="inlineStr">
        <is>
          <t>2024-05-07</t>
        </is>
      </c>
      <c r="B5204" t="inlineStr">
        <is>
          <t>바디텍메드</t>
        </is>
      </c>
      <c r="C5204" t="inlineStr">
        <is>
          <t>206640</t>
        </is>
      </c>
      <c r="D5204" t="inlineStr">
        <is>
          <t>연결</t>
        </is>
      </c>
      <c r="E5204" t="inlineStr">
        <is>
          <t>2024Q1</t>
        </is>
      </c>
      <c r="F5204" s="2" t="n">
        <v>33096</v>
      </c>
      <c r="G5204" t="inlineStr"/>
      <c r="H5204" t="inlineStr"/>
      <c r="I5204" s="2" t="n">
        <v>5900</v>
      </c>
      <c r="J5204" t="inlineStr"/>
      <c r="K5204" t="inlineStr"/>
      <c r="L5204" s="2" t="n">
        <v>6541</v>
      </c>
      <c r="M5204" t="inlineStr"/>
      <c r="N5204" t="inlineStr">
        <is>
          <t>20240507900339</t>
        </is>
      </c>
      <c r="O5204">
        <f>HYPERLINK("https://dart.fss.or.kr/dsaf001/main.do?rcpNo=20240507900339", "공시열람")</f>
        <v/>
      </c>
    </row>
    <row r="5205">
      <c r="A5205" t="inlineStr">
        <is>
          <t>2024-05-07</t>
        </is>
      </c>
      <c r="B5205" t="inlineStr">
        <is>
          <t>더블유씨피</t>
        </is>
      </c>
      <c r="C5205" t="inlineStr">
        <is>
          <t>393890</t>
        </is>
      </c>
      <c r="D5205" t="inlineStr">
        <is>
          <t>연결</t>
        </is>
      </c>
      <c r="E5205" t="inlineStr">
        <is>
          <t>2024Q1</t>
        </is>
      </c>
      <c r="F5205" s="2" t="n">
        <v>122406</v>
      </c>
      <c r="G5205" t="inlineStr"/>
      <c r="H5205" t="inlineStr"/>
      <c r="I5205" s="2" t="n">
        <v>606</v>
      </c>
      <c r="J5205" t="inlineStr"/>
      <c r="K5205" t="inlineStr"/>
      <c r="L5205" s="2" t="n">
        <v>3372</v>
      </c>
      <c r="M5205" t="inlineStr"/>
      <c r="N5205" t="inlineStr">
        <is>
          <t>20240507900362</t>
        </is>
      </c>
      <c r="O5205">
        <f>HYPERLINK("https://dart.fss.or.kr/dsaf001/main.do?rcpNo=20240507900362", "공시열람")</f>
        <v/>
      </c>
    </row>
    <row r="5206">
      <c r="A5206" t="inlineStr">
        <is>
          <t>2024-05-07</t>
        </is>
      </c>
      <c r="B5206" t="inlineStr">
        <is>
          <t>금호석유화학</t>
        </is>
      </c>
      <c r="C5206" t="inlineStr">
        <is>
          <t>011780</t>
        </is>
      </c>
      <c r="D5206" t="inlineStr">
        <is>
          <t>연결</t>
        </is>
      </c>
      <c r="E5206" t="inlineStr">
        <is>
          <t>2024Q1</t>
        </is>
      </c>
      <c r="F5206" s="2" t="n">
        <v>1667489</v>
      </c>
      <c r="G5206" t="n">
        <v>10</v>
      </c>
      <c r="H5206" t="n">
        <v>-3.1</v>
      </c>
      <c r="I5206" s="2" t="n">
        <v>78607</v>
      </c>
      <c r="J5206" t="n">
        <v>123.7</v>
      </c>
      <c r="K5206" t="n">
        <v>-40.4</v>
      </c>
      <c r="L5206" s="2" t="n">
        <v>102574</v>
      </c>
      <c r="M5206" t="n">
        <v>-24.9</v>
      </c>
      <c r="N5206" t="inlineStr">
        <is>
          <t>20240507800336</t>
        </is>
      </c>
      <c r="O5206">
        <f>HYPERLINK("https://dart.fss.or.kr/dsaf001/main.do?rcpNo=20240507800336", "공시열람")</f>
        <v/>
      </c>
    </row>
    <row r="5207">
      <c r="A5207" t="inlineStr">
        <is>
          <t>2024-05-07</t>
        </is>
      </c>
      <c r="B5207" t="inlineStr">
        <is>
          <t>위메이드맥스</t>
        </is>
      </c>
      <c r="C5207" t="inlineStr">
        <is>
          <t>101730</t>
        </is>
      </c>
      <c r="D5207" t="inlineStr">
        <is>
          <t>연결</t>
        </is>
      </c>
      <c r="E5207" t="inlineStr">
        <is>
          <t>2024Q1</t>
        </is>
      </c>
      <c r="F5207" s="2" t="n">
        <v>17289</v>
      </c>
      <c r="G5207" t="inlineStr"/>
      <c r="H5207" t="inlineStr"/>
      <c r="I5207" s="2" t="n">
        <v>-1392</v>
      </c>
      <c r="J5207" t="inlineStr"/>
      <c r="K5207" t="inlineStr"/>
      <c r="L5207" s="2" t="n">
        <v>-106</v>
      </c>
      <c r="M5207" t="inlineStr"/>
      <c r="N5207" t="inlineStr">
        <is>
          <t>20240507900427</t>
        </is>
      </c>
      <c r="O5207">
        <f>HYPERLINK("https://dart.fss.or.kr/dsaf001/main.do?rcpNo=20240507900427", "공시열람")</f>
        <v/>
      </c>
    </row>
    <row r="5208">
      <c r="A5208" t="inlineStr">
        <is>
          <t>2024-05-07</t>
        </is>
      </c>
      <c r="B5208" t="inlineStr">
        <is>
          <t>현대홈쇼핑</t>
        </is>
      </c>
      <c r="C5208" t="inlineStr">
        <is>
          <t>057050</t>
        </is>
      </c>
      <c r="D5208" t="inlineStr">
        <is>
          <t>연결</t>
        </is>
      </c>
      <c r="E5208" t="inlineStr">
        <is>
          <t>2024Q1</t>
        </is>
      </c>
      <c r="F5208" s="2" t="n">
        <v>997001</v>
      </c>
      <c r="G5208" t="inlineStr"/>
      <c r="H5208" t="inlineStr"/>
      <c r="I5208" s="2" t="n">
        <v>58300</v>
      </c>
      <c r="J5208" t="inlineStr"/>
      <c r="K5208" t="inlineStr"/>
      <c r="L5208" s="2" t="n">
        <v>119858</v>
      </c>
      <c r="M5208" t="inlineStr"/>
      <c r="N5208" t="inlineStr">
        <is>
          <t>20240507800472</t>
        </is>
      </c>
      <c r="O5208">
        <f>HYPERLINK("https://dart.fss.or.kr/dsaf001/main.do?rcpNo=20240507800472", "공시열람")</f>
        <v/>
      </c>
    </row>
    <row r="5209">
      <c r="A5209" t="inlineStr">
        <is>
          <t>2024-05-07</t>
        </is>
      </c>
      <c r="B5209" t="inlineStr">
        <is>
          <t>보락</t>
        </is>
      </c>
      <c r="C5209" t="inlineStr">
        <is>
          <t>002760</t>
        </is>
      </c>
      <c r="D5209" t="inlineStr">
        <is>
          <t>별도</t>
        </is>
      </c>
      <c r="E5209" t="inlineStr">
        <is>
          <t>2024Q1</t>
        </is>
      </c>
      <c r="F5209" s="2" t="n">
        <v>11370</v>
      </c>
      <c r="G5209" t="n">
        <v>-1.64</v>
      </c>
      <c r="H5209" t="n">
        <v>-7.18</v>
      </c>
      <c r="I5209" s="2" t="n">
        <v>373</v>
      </c>
      <c r="J5209" t="n">
        <v>44.57</v>
      </c>
      <c r="K5209" t="n">
        <v>77.62</v>
      </c>
      <c r="L5209" s="2" t="n">
        <v>345</v>
      </c>
      <c r="M5209" t="n">
        <v>106.59</v>
      </c>
      <c r="N5209" t="inlineStr">
        <is>
          <t>20240507800227</t>
        </is>
      </c>
      <c r="O5209">
        <f>HYPERLINK("https://dart.fss.or.kr/dsaf001/main.do?rcpNo=20240507800227", "공시열람")</f>
        <v/>
      </c>
    </row>
    <row r="5210">
      <c r="A5210" t="inlineStr">
        <is>
          <t>2024-05-07</t>
        </is>
      </c>
      <c r="B5210" t="inlineStr">
        <is>
          <t>가비아</t>
        </is>
      </c>
      <c r="C5210" t="inlineStr">
        <is>
          <t>079940</t>
        </is>
      </c>
      <c r="D5210" t="inlineStr">
        <is>
          <t>연결</t>
        </is>
      </c>
      <c r="E5210" t="inlineStr">
        <is>
          <t>2024Q1</t>
        </is>
      </c>
      <c r="F5210" s="2" t="n">
        <v>62035</v>
      </c>
      <c r="G5210" t="inlineStr"/>
      <c r="H5210" t="inlineStr"/>
      <c r="I5210" s="2" t="n">
        <v>7203</v>
      </c>
      <c r="J5210" t="inlineStr"/>
      <c r="K5210" t="inlineStr"/>
      <c r="L5210" s="2" t="n">
        <v>3897</v>
      </c>
      <c r="M5210" t="inlineStr"/>
      <c r="N5210" t="inlineStr">
        <is>
          <t>20240507900449</t>
        </is>
      </c>
      <c r="O5210">
        <f>HYPERLINK("https://dart.fss.or.kr/dsaf001/main.do?rcpNo=20240507900449", "공시열람")</f>
        <v/>
      </c>
    </row>
    <row r="5211">
      <c r="A5211" t="inlineStr">
        <is>
          <t>2024-05-07</t>
        </is>
      </c>
      <c r="B5211" t="inlineStr">
        <is>
          <t>이수앱지스</t>
        </is>
      </c>
      <c r="C5211" t="inlineStr">
        <is>
          <t>086890</t>
        </is>
      </c>
      <c r="D5211" t="inlineStr">
        <is>
          <t>별도</t>
        </is>
      </c>
      <c r="E5211" t="inlineStr">
        <is>
          <t>2024Q1</t>
        </is>
      </c>
      <c r="F5211" s="2" t="n">
        <v>16511</v>
      </c>
      <c r="G5211" t="inlineStr"/>
      <c r="H5211" t="inlineStr"/>
      <c r="I5211" s="2" t="n">
        <v>3237</v>
      </c>
      <c r="J5211" t="inlineStr"/>
      <c r="K5211" t="inlineStr"/>
      <c r="L5211" s="2" t="n">
        <v>-16379</v>
      </c>
      <c r="M5211" t="inlineStr"/>
      <c r="N5211" t="inlineStr">
        <is>
          <t>20240507900095</t>
        </is>
      </c>
      <c r="O5211">
        <f>HYPERLINK("https://dart.fss.or.kr/dsaf001/main.do?rcpNo=20240507900095", "공시열람")</f>
        <v/>
      </c>
    </row>
    <row r="5212">
      <c r="A5212" t="inlineStr">
        <is>
          <t>2024-05-07</t>
        </is>
      </c>
      <c r="B5212" t="inlineStr">
        <is>
          <t>영진약품</t>
        </is>
      </c>
      <c r="C5212" t="inlineStr">
        <is>
          <t>003520</t>
        </is>
      </c>
      <c r="D5212" t="inlineStr">
        <is>
          <t>별도</t>
        </is>
      </c>
      <c r="E5212" t="inlineStr">
        <is>
          <t>2024Q1</t>
        </is>
      </c>
      <c r="F5212" s="2" t="n">
        <v>64946</v>
      </c>
      <c r="G5212" t="n">
        <v>1</v>
      </c>
      <c r="H5212" t="n">
        <v>19.9</v>
      </c>
      <c r="I5212" s="2" t="n">
        <v>4602</v>
      </c>
      <c r="J5212" t="n">
        <v>76.5</v>
      </c>
      <c r="K5212" t="n">
        <v>755.5</v>
      </c>
      <c r="L5212" s="2" t="n">
        <v>4093</v>
      </c>
      <c r="M5212" t="inlineStr"/>
      <c r="N5212" t="inlineStr">
        <is>
          <t>20240507800178</t>
        </is>
      </c>
      <c r="O5212">
        <f>HYPERLINK("https://dart.fss.or.kr/dsaf001/main.do?rcpNo=20240507800178", "공시열람")</f>
        <v/>
      </c>
    </row>
    <row r="5213">
      <c r="A5213" t="inlineStr">
        <is>
          <t>2024-05-07</t>
        </is>
      </c>
      <c r="B5213" t="inlineStr">
        <is>
          <t>카카오페이</t>
        </is>
      </c>
      <c r="C5213" t="inlineStr">
        <is>
          <t>377300</t>
        </is>
      </c>
      <c r="D5213" t="inlineStr">
        <is>
          <t>연결</t>
        </is>
      </c>
      <c r="E5213" t="inlineStr">
        <is>
          <t>2024Q1</t>
        </is>
      </c>
      <c r="F5213" s="2" t="n">
        <v>176347</v>
      </c>
      <c r="G5213" t="n">
        <v>6.1</v>
      </c>
      <c r="H5213" t="n">
        <v>24.7</v>
      </c>
      <c r="I5213" s="2" t="n">
        <v>-9704</v>
      </c>
      <c r="J5213" t="n">
        <v>54.8</v>
      </c>
      <c r="K5213" t="n">
        <v>25.4</v>
      </c>
      <c r="L5213" s="2" t="n">
        <v>167</v>
      </c>
      <c r="M5213" t="inlineStr"/>
      <c r="N5213" t="inlineStr">
        <is>
          <t>20240507800191</t>
        </is>
      </c>
      <c r="O5213">
        <f>HYPERLINK("https://dart.fss.or.kr/dsaf001/main.do?rcpNo=20240507800191", "공시열람")</f>
        <v/>
      </c>
    </row>
    <row r="5214">
      <c r="A5214" t="inlineStr">
        <is>
          <t>2024-05-07</t>
        </is>
      </c>
      <c r="B5214" t="inlineStr">
        <is>
          <t>금호석유화학</t>
        </is>
      </c>
      <c r="C5214" t="inlineStr">
        <is>
          <t>011780</t>
        </is>
      </c>
      <c r="D5214" t="inlineStr">
        <is>
          <t>연결</t>
        </is>
      </c>
      <c r="E5214" t="inlineStr">
        <is>
          <t>2024Q1</t>
        </is>
      </c>
      <c r="F5214" s="2" t="n">
        <v>1667489</v>
      </c>
      <c r="G5214" t="n">
        <v>10</v>
      </c>
      <c r="H5214" t="n">
        <v>-3.1</v>
      </c>
      <c r="I5214" s="2" t="n">
        <v>78607</v>
      </c>
      <c r="J5214" t="n">
        <v>114.3</v>
      </c>
      <c r="K5214" t="n">
        <v>-40.4</v>
      </c>
      <c r="L5214" s="2" t="n">
        <v>102574</v>
      </c>
      <c r="M5214" t="n">
        <v>-24.9</v>
      </c>
      <c r="N5214" t="inlineStr">
        <is>
          <t>20240507800226</t>
        </is>
      </c>
      <c r="O5214">
        <f>HYPERLINK("https://dart.fss.or.kr/dsaf001/main.do?rcpNo=20240507800226", "공시열람")</f>
        <v/>
      </c>
    </row>
    <row r="5215">
      <c r="A5215" t="inlineStr">
        <is>
          <t>2024-05-07</t>
        </is>
      </c>
      <c r="B5215" t="inlineStr">
        <is>
          <t>카카오페이</t>
        </is>
      </c>
      <c r="C5215" t="inlineStr">
        <is>
          <t>377300</t>
        </is>
      </c>
      <c r="D5215" t="inlineStr">
        <is>
          <t>별도</t>
        </is>
      </c>
      <c r="E5215" t="inlineStr">
        <is>
          <t>2024Q1</t>
        </is>
      </c>
      <c r="F5215" s="2" t="n">
        <v>147806</v>
      </c>
      <c r="G5215" t="n">
        <v>-0.8</v>
      </c>
      <c r="H5215" t="n">
        <v>14.8</v>
      </c>
      <c r="I5215" s="2" t="n">
        <v>11849</v>
      </c>
      <c r="J5215" t="n">
        <v>415.6</v>
      </c>
      <c r="K5215" t="n">
        <v>41.4</v>
      </c>
      <c r="L5215" s="2" t="n">
        <v>21236</v>
      </c>
      <c r="M5215" t="n">
        <v>5.1</v>
      </c>
      <c r="N5215" t="inlineStr">
        <is>
          <t>20240507800188</t>
        </is>
      </c>
      <c r="O5215">
        <f>HYPERLINK("https://dart.fss.or.kr/dsaf001/main.do?rcpNo=20240507800188", "공시열람")</f>
        <v/>
      </c>
    </row>
    <row r="5216">
      <c r="A5216" t="inlineStr">
        <is>
          <t>2024-05-07</t>
        </is>
      </c>
      <c r="B5216" t="inlineStr">
        <is>
          <t>조이시티</t>
        </is>
      </c>
      <c r="C5216" t="inlineStr">
        <is>
          <t>067000</t>
        </is>
      </c>
      <c r="D5216" t="inlineStr">
        <is>
          <t>연결</t>
        </is>
      </c>
      <c r="E5216" t="inlineStr">
        <is>
          <t>2024Q1</t>
        </is>
      </c>
      <c r="F5216" s="2" t="n">
        <v>38573</v>
      </c>
      <c r="G5216" t="inlineStr"/>
      <c r="H5216" t="inlineStr"/>
      <c r="I5216" s="2" t="n">
        <v>4567</v>
      </c>
      <c r="J5216" t="inlineStr"/>
      <c r="K5216" t="inlineStr"/>
      <c r="L5216" s="2" t="n">
        <v>3618</v>
      </c>
      <c r="M5216" t="inlineStr"/>
      <c r="N5216" t="inlineStr">
        <is>
          <t>20240507900286</t>
        </is>
      </c>
      <c r="O5216">
        <f>HYPERLINK("https://dart.fss.or.kr/dsaf001/main.do?rcpNo=20240507900286", "공시열람")</f>
        <v/>
      </c>
    </row>
    <row r="5217">
      <c r="A5217" t="inlineStr">
        <is>
          <t>2024-05-07</t>
        </is>
      </c>
      <c r="B5217" t="inlineStr">
        <is>
          <t>쇼박스</t>
        </is>
      </c>
      <c r="C5217" t="inlineStr">
        <is>
          <t>086980</t>
        </is>
      </c>
      <c r="D5217" t="inlineStr">
        <is>
          <t>연결</t>
        </is>
      </c>
      <c r="E5217" t="inlineStr">
        <is>
          <t>2024Q1</t>
        </is>
      </c>
      <c r="F5217" s="2" t="n">
        <v>63214</v>
      </c>
      <c r="G5217" t="inlineStr"/>
      <c r="H5217" t="inlineStr"/>
      <c r="I5217" s="2" t="n">
        <v>19954</v>
      </c>
      <c r="J5217" t="inlineStr"/>
      <c r="K5217" t="inlineStr"/>
      <c r="L5217" s="2" t="inlineStr"/>
      <c r="M5217" t="inlineStr"/>
      <c r="N5217" t="inlineStr">
        <is>
          <t>20240507900270</t>
        </is>
      </c>
      <c r="O5217">
        <f>HYPERLINK("https://dart.fss.or.kr/dsaf001/main.do?rcpNo=20240507900270", "공시열람")</f>
        <v/>
      </c>
    </row>
    <row r="5218">
      <c r="A5218" t="inlineStr">
        <is>
          <t>2024-05-07</t>
        </is>
      </c>
      <c r="B5218" t="inlineStr">
        <is>
          <t>제주항공</t>
        </is>
      </c>
      <c r="C5218" t="inlineStr">
        <is>
          <t>089590</t>
        </is>
      </c>
      <c r="D5218" t="inlineStr">
        <is>
          <t>별도</t>
        </is>
      </c>
      <c r="E5218" t="inlineStr">
        <is>
          <t>2024Q1</t>
        </is>
      </c>
      <c r="F5218" s="2" t="n">
        <v>539238</v>
      </c>
      <c r="G5218" t="n">
        <v>14.6</v>
      </c>
      <c r="H5218" t="n">
        <v>27.7</v>
      </c>
      <c r="I5218" s="2" t="n">
        <v>75094</v>
      </c>
      <c r="J5218" t="n">
        <v>219.4</v>
      </c>
      <c r="K5218" t="n">
        <v>6.2</v>
      </c>
      <c r="L5218" s="2" t="n">
        <v>43149</v>
      </c>
      <c r="M5218" t="n">
        <v>-10.5</v>
      </c>
      <c r="N5218" t="inlineStr">
        <is>
          <t>20240507800564</t>
        </is>
      </c>
      <c r="O5218">
        <f>HYPERLINK("https://dart.fss.or.kr/dsaf001/main.do?rcpNo=20240507800564", "공시열람")</f>
        <v/>
      </c>
    </row>
    <row r="5219">
      <c r="A5219" t="inlineStr">
        <is>
          <t>2024-05-07</t>
        </is>
      </c>
      <c r="B5219" t="inlineStr">
        <is>
          <t>배럴</t>
        </is>
      </c>
      <c r="C5219" t="inlineStr">
        <is>
          <t>267790</t>
        </is>
      </c>
      <c r="D5219" t="inlineStr">
        <is>
          <t>연결</t>
        </is>
      </c>
      <c r="E5219" t="inlineStr">
        <is>
          <t>2024Q1</t>
        </is>
      </c>
      <c r="F5219" s="2" t="n">
        <v>11628</v>
      </c>
      <c r="G5219" t="inlineStr"/>
      <c r="H5219" t="inlineStr"/>
      <c r="I5219" s="2" t="n">
        <v>1181</v>
      </c>
      <c r="J5219" t="inlineStr"/>
      <c r="K5219" t="inlineStr"/>
      <c r="L5219" s="2" t="n">
        <v>557</v>
      </c>
      <c r="M5219" t="inlineStr"/>
      <c r="N5219" t="inlineStr">
        <is>
          <t>20240507900521</t>
        </is>
      </c>
      <c r="O5219">
        <f>HYPERLINK("https://dart.fss.or.kr/dsaf001/main.do?rcpNo=20240507900521", "공시열람")</f>
        <v/>
      </c>
    </row>
    <row r="5220">
      <c r="A5220" t="inlineStr">
        <is>
          <t>2024-05-07</t>
        </is>
      </c>
      <c r="B5220" t="inlineStr">
        <is>
          <t>대신증권</t>
        </is>
      </c>
      <c r="C5220" t="inlineStr">
        <is>
          <t>003540</t>
        </is>
      </c>
      <c r="D5220" t="inlineStr">
        <is>
          <t>연결</t>
        </is>
      </c>
      <c r="E5220" t="inlineStr">
        <is>
          <t>2024Q1</t>
        </is>
      </c>
      <c r="F5220" s="2" t="n">
        <v>1076034</v>
      </c>
      <c r="G5220" t="n">
        <v>10.5</v>
      </c>
      <c r="H5220" t="n">
        <v>-5.8</v>
      </c>
      <c r="I5220" s="2" t="n">
        <v>73027</v>
      </c>
      <c r="J5220" t="inlineStr"/>
      <c r="K5220" t="n">
        <v>33.9</v>
      </c>
      <c r="L5220" s="2" t="n">
        <v>53078</v>
      </c>
      <c r="M5220" t="n">
        <v>1.5</v>
      </c>
      <c r="N5220" t="inlineStr">
        <is>
          <t>20240507800523</t>
        </is>
      </c>
      <c r="O5220">
        <f>HYPERLINK("https://dart.fss.or.kr/dsaf001/main.do?rcpNo=20240507800523", "공시열람")</f>
        <v/>
      </c>
    </row>
    <row r="5221">
      <c r="A5221" t="inlineStr">
        <is>
          <t>2024-05-03</t>
        </is>
      </c>
      <c r="B5221" t="inlineStr">
        <is>
          <t>한독</t>
        </is>
      </c>
      <c r="C5221" t="inlineStr">
        <is>
          <t>002390</t>
        </is>
      </c>
      <c r="D5221" t="inlineStr">
        <is>
          <t>별도</t>
        </is>
      </c>
      <c r="E5221" t="inlineStr">
        <is>
          <t>2024Q1</t>
        </is>
      </c>
      <c r="F5221" s="2" t="n">
        <v>126675</v>
      </c>
      <c r="G5221" t="n">
        <v>1.42</v>
      </c>
      <c r="H5221" t="n">
        <v>-0.98</v>
      </c>
      <c r="I5221" s="2" t="n">
        <v>5411</v>
      </c>
      <c r="J5221" t="inlineStr"/>
      <c r="K5221" t="n">
        <v>-9.220000000000001</v>
      </c>
      <c r="L5221" s="2" t="n">
        <v>2721</v>
      </c>
      <c r="M5221" t="n">
        <v>-21.77</v>
      </c>
      <c r="N5221" t="inlineStr">
        <is>
          <t>20240503800181</t>
        </is>
      </c>
      <c r="O5221">
        <f>HYPERLINK("https://dart.fss.or.kr/dsaf001/main.do?rcpNo=20240503800181", "공시열람")</f>
        <v/>
      </c>
    </row>
    <row r="5222">
      <c r="A5222" t="inlineStr">
        <is>
          <t>2024-05-03</t>
        </is>
      </c>
      <c r="B5222" t="inlineStr">
        <is>
          <t>중앙백신</t>
        </is>
      </c>
      <c r="C5222" t="inlineStr">
        <is>
          <t>072020</t>
        </is>
      </c>
      <c r="D5222" t="inlineStr">
        <is>
          <t>별도</t>
        </is>
      </c>
      <c r="E5222" t="inlineStr">
        <is>
          <t>2024Q1</t>
        </is>
      </c>
      <c r="F5222" s="2" t="n">
        <v>11340</v>
      </c>
      <c r="G5222" t="inlineStr"/>
      <c r="H5222" t="inlineStr"/>
      <c r="I5222" s="2" t="n">
        <v>1448</v>
      </c>
      <c r="J5222" t="inlineStr"/>
      <c r="K5222" t="inlineStr"/>
      <c r="L5222" s="2" t="n">
        <v>1669</v>
      </c>
      <c r="M5222" t="inlineStr"/>
      <c r="N5222" t="inlineStr">
        <is>
          <t>20240503900414</t>
        </is>
      </c>
      <c r="O5222">
        <f>HYPERLINK("https://dart.fss.or.kr/dsaf001/main.do?rcpNo=20240503900414", "공시열람")</f>
        <v/>
      </c>
    </row>
    <row r="5223">
      <c r="A5223" t="inlineStr">
        <is>
          <t>2024-05-03</t>
        </is>
      </c>
      <c r="B5223" t="inlineStr">
        <is>
          <t>케이씨씨</t>
        </is>
      </c>
      <c r="C5223" t="inlineStr">
        <is>
          <t>002380</t>
        </is>
      </c>
      <c r="D5223" t="inlineStr">
        <is>
          <t>연결</t>
        </is>
      </c>
      <c r="E5223" t="inlineStr">
        <is>
          <t>2024Q1</t>
        </is>
      </c>
      <c r="F5223" s="2" t="n">
        <v>1588372</v>
      </c>
      <c r="G5223" t="n">
        <v>0.4</v>
      </c>
      <c r="H5223" t="n">
        <v>1.5</v>
      </c>
      <c r="I5223" s="2" t="n">
        <v>106907</v>
      </c>
      <c r="J5223" t="n">
        <v>84.7</v>
      </c>
      <c r="K5223" t="n">
        <v>41</v>
      </c>
      <c r="L5223" s="2" t="n">
        <v>454911</v>
      </c>
      <c r="M5223" t="inlineStr"/>
      <c r="N5223" t="inlineStr">
        <is>
          <t>20240503800228</t>
        </is>
      </c>
      <c r="O5223">
        <f>HYPERLINK("https://dart.fss.or.kr/dsaf001/main.do?rcpNo=20240503800228", "공시열람")</f>
        <v/>
      </c>
    </row>
    <row r="5224">
      <c r="A5224" t="inlineStr">
        <is>
          <t>2024-05-03</t>
        </is>
      </c>
      <c r="B5224" t="inlineStr">
        <is>
          <t>티케이지휴켐스</t>
        </is>
      </c>
      <c r="C5224" t="inlineStr">
        <is>
          <t>069260</t>
        </is>
      </c>
      <c r="D5224" t="inlineStr">
        <is>
          <t>연결</t>
        </is>
      </c>
      <c r="E5224" t="inlineStr">
        <is>
          <t>2024Q1</t>
        </is>
      </c>
      <c r="F5224" s="2" t="n">
        <v>300814</v>
      </c>
      <c r="G5224" t="n">
        <v>36</v>
      </c>
      <c r="H5224" t="n">
        <v>-4.4</v>
      </c>
      <c r="I5224" s="2" t="n">
        <v>31537</v>
      </c>
      <c r="J5224" t="inlineStr"/>
      <c r="K5224" t="n">
        <v>-35.1</v>
      </c>
      <c r="L5224" s="2" t="n">
        <v>30384</v>
      </c>
      <c r="M5224" t="n">
        <v>-32.7</v>
      </c>
      <c r="N5224" t="inlineStr">
        <is>
          <t>20240503800268</t>
        </is>
      </c>
      <c r="O5224">
        <f>HYPERLINK("https://dart.fss.or.kr/dsaf001/main.do?rcpNo=20240503800268", "공시열람")</f>
        <v/>
      </c>
    </row>
    <row r="5225">
      <c r="A5225" t="inlineStr">
        <is>
          <t>2024-05-03</t>
        </is>
      </c>
      <c r="B5225" t="inlineStr">
        <is>
          <t>파크시스템스</t>
        </is>
      </c>
      <c r="C5225" t="inlineStr">
        <is>
          <t>140860</t>
        </is>
      </c>
      <c r="D5225" t="inlineStr">
        <is>
          <t>연결</t>
        </is>
      </c>
      <c r="E5225" t="inlineStr">
        <is>
          <t>2024Q1</t>
        </is>
      </c>
      <c r="F5225" s="2" t="n">
        <v>25664</v>
      </c>
      <c r="G5225" t="inlineStr"/>
      <c r="H5225" t="inlineStr"/>
      <c r="I5225" s="2" t="n">
        <v>510</v>
      </c>
      <c r="J5225" t="inlineStr"/>
      <c r="K5225" t="inlineStr"/>
      <c r="L5225" s="2" t="inlineStr"/>
      <c r="M5225" t="inlineStr"/>
      <c r="N5225" t="inlineStr">
        <is>
          <t>20240503900610</t>
        </is>
      </c>
      <c r="O5225">
        <f>HYPERLINK("https://dart.fss.or.kr/dsaf001/main.do?rcpNo=20240503900610", "공시열람")</f>
        <v/>
      </c>
    </row>
    <row r="5226">
      <c r="A5226" t="inlineStr">
        <is>
          <t>2024-05-03</t>
        </is>
      </c>
      <c r="B5226" t="inlineStr">
        <is>
          <t>메가스터디교육</t>
        </is>
      </c>
      <c r="C5226" t="inlineStr">
        <is>
          <t>215200</t>
        </is>
      </c>
      <c r="D5226" t="inlineStr">
        <is>
          <t>연결</t>
        </is>
      </c>
      <c r="E5226" t="inlineStr">
        <is>
          <t>2024Q1</t>
        </is>
      </c>
      <c r="F5226" s="2" t="n">
        <v>249390</v>
      </c>
      <c r="G5226" t="inlineStr"/>
      <c r="H5226" t="inlineStr"/>
      <c r="I5226" s="2" t="n">
        <v>20266</v>
      </c>
      <c r="J5226" t="inlineStr"/>
      <c r="K5226" t="inlineStr"/>
      <c r="L5226" s="2" t="n">
        <v>16395</v>
      </c>
      <c r="M5226" t="inlineStr"/>
      <c r="N5226" t="inlineStr">
        <is>
          <t>20240503900311</t>
        </is>
      </c>
      <c r="O5226">
        <f>HYPERLINK("https://dart.fss.or.kr/dsaf001/main.do?rcpNo=20240503900311", "공시열람")</f>
        <v/>
      </c>
    </row>
    <row r="5227">
      <c r="A5227" t="inlineStr">
        <is>
          <t>2024-05-03</t>
        </is>
      </c>
      <c r="B5227" t="inlineStr">
        <is>
          <t>동원시스템즈</t>
        </is>
      </c>
      <c r="C5227" t="inlineStr">
        <is>
          <t>014820</t>
        </is>
      </c>
      <c r="D5227" t="inlineStr">
        <is>
          <t>연결</t>
        </is>
      </c>
      <c r="E5227" t="inlineStr">
        <is>
          <t>2024Q1</t>
        </is>
      </c>
      <c r="F5227" s="2" t="n">
        <v>309080</v>
      </c>
      <c r="G5227" t="n">
        <v>3.27</v>
      </c>
      <c r="H5227" t="n">
        <v>-5.59</v>
      </c>
      <c r="I5227" s="2" t="n">
        <v>16063</v>
      </c>
      <c r="J5227" t="n">
        <v>12.81</v>
      </c>
      <c r="K5227" t="n">
        <v>-8.970000000000001</v>
      </c>
      <c r="L5227" s="2" t="n">
        <v>15513</v>
      </c>
      <c r="M5227" t="n">
        <v>20</v>
      </c>
      <c r="N5227" t="inlineStr">
        <is>
          <t>20240503800329</t>
        </is>
      </c>
      <c r="O5227">
        <f>HYPERLINK("https://dart.fss.or.kr/dsaf001/main.do?rcpNo=20240503800329", "공시열람")</f>
        <v/>
      </c>
    </row>
    <row r="5228">
      <c r="A5228" t="inlineStr">
        <is>
          <t>2024-05-03</t>
        </is>
      </c>
      <c r="B5228" t="inlineStr">
        <is>
          <t>동원시스템즈</t>
        </is>
      </c>
      <c r="C5228" t="inlineStr">
        <is>
          <t>014820</t>
        </is>
      </c>
      <c r="D5228" t="inlineStr">
        <is>
          <t>별도</t>
        </is>
      </c>
      <c r="E5228" t="inlineStr">
        <is>
          <t>2024Q1</t>
        </is>
      </c>
      <c r="F5228" s="2" t="n">
        <v>287379</v>
      </c>
      <c r="G5228" t="n">
        <v>7.58</v>
      </c>
      <c r="H5228" t="n">
        <v>-4.62</v>
      </c>
      <c r="I5228" s="2" t="n">
        <v>14532</v>
      </c>
      <c r="J5228" t="n">
        <v>23.53</v>
      </c>
      <c r="K5228" t="n">
        <v>-8.039999999999999</v>
      </c>
      <c r="L5228" s="2" t="n">
        <v>13010</v>
      </c>
      <c r="M5228" t="n">
        <v>23.46</v>
      </c>
      <c r="N5228" t="inlineStr">
        <is>
          <t>20240503800342</t>
        </is>
      </c>
      <c r="O5228">
        <f>HYPERLINK("https://dart.fss.or.kr/dsaf001/main.do?rcpNo=20240503800342", "공시열람")</f>
        <v/>
      </c>
    </row>
    <row r="5229">
      <c r="A5229" t="inlineStr">
        <is>
          <t>2024-05-03</t>
        </is>
      </c>
      <c r="B5229" t="inlineStr">
        <is>
          <t>아이센스</t>
        </is>
      </c>
      <c r="C5229" t="inlineStr">
        <is>
          <t>099190</t>
        </is>
      </c>
      <c r="D5229" t="inlineStr">
        <is>
          <t>연결</t>
        </is>
      </c>
      <c r="E5229" t="inlineStr">
        <is>
          <t>2024Q1</t>
        </is>
      </c>
      <c r="F5229" s="2" t="n">
        <v>68700</v>
      </c>
      <c r="G5229" t="inlineStr"/>
      <c r="H5229" t="inlineStr"/>
      <c r="I5229" s="2" t="n">
        <v>753</v>
      </c>
      <c r="J5229" t="inlineStr"/>
      <c r="K5229" t="inlineStr"/>
      <c r="L5229" s="2" t="n">
        <v>-338</v>
      </c>
      <c r="M5229" t="inlineStr"/>
      <c r="N5229" t="inlineStr">
        <is>
          <t>20240503900354</t>
        </is>
      </c>
      <c r="O5229">
        <f>HYPERLINK("https://dart.fss.or.kr/dsaf001/main.do?rcpNo=20240503900354", "공시열람")</f>
        <v/>
      </c>
    </row>
    <row r="5230">
      <c r="A5230" t="inlineStr">
        <is>
          <t>2024-05-03</t>
        </is>
      </c>
      <c r="B5230" t="inlineStr">
        <is>
          <t>고려아연</t>
        </is>
      </c>
      <c r="C5230" t="inlineStr">
        <is>
          <t>010130</t>
        </is>
      </c>
      <c r="D5230" t="inlineStr">
        <is>
          <t>연결</t>
        </is>
      </c>
      <c r="E5230" t="inlineStr">
        <is>
          <t>2024Q1</t>
        </is>
      </c>
      <c r="F5230" s="2" t="n">
        <v>2375365</v>
      </c>
      <c r="G5230" t="n">
        <v>-1.6</v>
      </c>
      <c r="H5230" t="n">
        <v>-6</v>
      </c>
      <c r="I5230" s="2" t="n">
        <v>184518</v>
      </c>
      <c r="J5230" t="n">
        <v>-6.8</v>
      </c>
      <c r="K5230" t="n">
        <v>26.6</v>
      </c>
      <c r="L5230" s="2" t="n">
        <v>112394</v>
      </c>
      <c r="M5230" t="n">
        <v>-18.8</v>
      </c>
      <c r="N5230" t="inlineStr">
        <is>
          <t>20240503800550</t>
        </is>
      </c>
      <c r="O5230">
        <f>HYPERLINK("https://dart.fss.or.kr/dsaf001/main.do?rcpNo=20240503800550", "공시열람")</f>
        <v/>
      </c>
    </row>
    <row r="5231">
      <c r="A5231" t="inlineStr">
        <is>
          <t>2024-05-03</t>
        </is>
      </c>
      <c r="B5231" t="inlineStr">
        <is>
          <t>심텍</t>
        </is>
      </c>
      <c r="C5231" t="inlineStr">
        <is>
          <t>222800</t>
        </is>
      </c>
      <c r="D5231" t="inlineStr">
        <is>
          <t>연결</t>
        </is>
      </c>
      <c r="E5231" t="inlineStr">
        <is>
          <t>2024Q1</t>
        </is>
      </c>
      <c r="F5231" s="2" t="n">
        <v>293867</v>
      </c>
      <c r="G5231" t="inlineStr"/>
      <c r="H5231" t="inlineStr"/>
      <c r="I5231" s="2" t="n">
        <v>-14934</v>
      </c>
      <c r="J5231" t="inlineStr"/>
      <c r="K5231" t="inlineStr"/>
      <c r="L5231" s="2" t="n">
        <v>-15227</v>
      </c>
      <c r="M5231" t="inlineStr"/>
      <c r="N5231" t="inlineStr">
        <is>
          <t>20240503900418</t>
        </is>
      </c>
      <c r="O5231">
        <f>HYPERLINK("https://dart.fss.or.kr/dsaf001/main.do?rcpNo=20240503900418", "공시열람")</f>
        <v/>
      </c>
    </row>
    <row r="5232">
      <c r="A5232" t="inlineStr">
        <is>
          <t>2024-05-03</t>
        </is>
      </c>
      <c r="B5232" t="inlineStr">
        <is>
          <t>인크로스</t>
        </is>
      </c>
      <c r="C5232" t="inlineStr">
        <is>
          <t>216050</t>
        </is>
      </c>
      <c r="D5232" t="inlineStr">
        <is>
          <t>별도</t>
        </is>
      </c>
      <c r="E5232" t="inlineStr">
        <is>
          <t>2024Q1</t>
        </is>
      </c>
      <c r="F5232" s="2" t="n">
        <v>7029</v>
      </c>
      <c r="G5232" t="inlineStr"/>
      <c r="H5232" t="inlineStr"/>
      <c r="I5232" s="2" t="n">
        <v>558</v>
      </c>
      <c r="J5232" t="inlineStr"/>
      <c r="K5232" t="inlineStr"/>
      <c r="L5232" s="2" t="n">
        <v>1003</v>
      </c>
      <c r="M5232" t="inlineStr"/>
      <c r="N5232" t="inlineStr">
        <is>
          <t>20240503900380</t>
        </is>
      </c>
      <c r="O5232">
        <f>HYPERLINK("https://dart.fss.or.kr/dsaf001/main.do?rcpNo=20240503900380", "공시열람")</f>
        <v/>
      </c>
    </row>
    <row r="5233">
      <c r="A5233" t="inlineStr">
        <is>
          <t>2024-05-03</t>
        </is>
      </c>
      <c r="B5233" t="inlineStr">
        <is>
          <t>인크로스</t>
        </is>
      </c>
      <c r="C5233" t="inlineStr">
        <is>
          <t>216050</t>
        </is>
      </c>
      <c r="D5233" t="inlineStr">
        <is>
          <t>연결</t>
        </is>
      </c>
      <c r="E5233" t="inlineStr">
        <is>
          <t>2024Q1</t>
        </is>
      </c>
      <c r="F5233" s="2" t="n">
        <v>8463</v>
      </c>
      <c r="G5233" t="inlineStr"/>
      <c r="H5233" t="inlineStr"/>
      <c r="I5233" s="2" t="n">
        <v>785</v>
      </c>
      <c r="J5233" t="inlineStr"/>
      <c r="K5233" t="inlineStr"/>
      <c r="L5233" s="2" t="n">
        <v>1268</v>
      </c>
      <c r="M5233" t="inlineStr"/>
      <c r="N5233" t="inlineStr">
        <is>
          <t>20240503900385</t>
        </is>
      </c>
      <c r="O5233">
        <f>HYPERLINK("https://dart.fss.or.kr/dsaf001/main.do?rcpNo=20240503900385", "공시열람")</f>
        <v/>
      </c>
    </row>
    <row r="5234">
      <c r="A5234" t="inlineStr">
        <is>
          <t>2024-05-03</t>
        </is>
      </c>
      <c r="B5234" t="inlineStr">
        <is>
          <t>비씨엔씨</t>
        </is>
      </c>
      <c r="C5234" t="inlineStr">
        <is>
          <t>146320</t>
        </is>
      </c>
      <c r="D5234" t="inlineStr">
        <is>
          <t>별도</t>
        </is>
      </c>
      <c r="E5234" t="inlineStr">
        <is>
          <t>2024Q1</t>
        </is>
      </c>
      <c r="F5234" s="2" t="n">
        <v>17335</v>
      </c>
      <c r="G5234" t="inlineStr"/>
      <c r="H5234" t="inlineStr"/>
      <c r="I5234" s="2" t="n">
        <v>530</v>
      </c>
      <c r="J5234" t="inlineStr"/>
      <c r="K5234" t="inlineStr"/>
      <c r="L5234" s="2" t="n">
        <v>682</v>
      </c>
      <c r="M5234" t="inlineStr"/>
      <c r="N5234" t="inlineStr">
        <is>
          <t>20240503900447</t>
        </is>
      </c>
      <c r="O5234">
        <f>HYPERLINK("https://dart.fss.or.kr/dsaf001/main.do?rcpNo=20240503900447", "공시열람")</f>
        <v/>
      </c>
    </row>
    <row r="5235">
      <c r="A5235" t="inlineStr">
        <is>
          <t>2024-05-03</t>
        </is>
      </c>
      <c r="B5235" t="inlineStr">
        <is>
          <t>네오팜</t>
        </is>
      </c>
      <c r="C5235" t="inlineStr">
        <is>
          <t>092730</t>
        </is>
      </c>
      <c r="D5235" t="inlineStr">
        <is>
          <t>연결</t>
        </is>
      </c>
      <c r="E5235" t="inlineStr">
        <is>
          <t>2024Q1</t>
        </is>
      </c>
      <c r="F5235" s="2" t="n">
        <v>28215</v>
      </c>
      <c r="G5235" t="inlineStr"/>
      <c r="H5235" t="inlineStr"/>
      <c r="I5235" s="2" t="n">
        <v>6791</v>
      </c>
      <c r="J5235" t="inlineStr"/>
      <c r="K5235" t="inlineStr"/>
      <c r="L5235" s="2" t="n">
        <v>6111</v>
      </c>
      <c r="M5235" t="inlineStr"/>
      <c r="N5235" t="inlineStr">
        <is>
          <t>20240503900453</t>
        </is>
      </c>
      <c r="O5235">
        <f>HYPERLINK("https://dart.fss.or.kr/dsaf001/main.do?rcpNo=20240503900453", "공시열람")</f>
        <v/>
      </c>
    </row>
    <row r="5236">
      <c r="A5236" t="inlineStr">
        <is>
          <t>2024-05-03</t>
        </is>
      </c>
      <c r="B5236" t="inlineStr">
        <is>
          <t>신세계푸드</t>
        </is>
      </c>
      <c r="C5236" t="inlineStr">
        <is>
          <t>031440</t>
        </is>
      </c>
      <c r="D5236" t="inlineStr">
        <is>
          <t>연결</t>
        </is>
      </c>
      <c r="E5236" t="inlineStr">
        <is>
          <t>2024Q1</t>
        </is>
      </c>
      <c r="F5236" s="2" t="n">
        <v>381816</v>
      </c>
      <c r="G5236" t="n">
        <v>1.4</v>
      </c>
      <c r="H5236" t="n">
        <v>9.300000000000001</v>
      </c>
      <c r="I5236" s="2" t="n">
        <v>4644</v>
      </c>
      <c r="J5236" t="n">
        <v>-23.5</v>
      </c>
      <c r="K5236" t="n">
        <v>1.7</v>
      </c>
      <c r="L5236" s="2" t="n">
        <v>4704</v>
      </c>
      <c r="M5236" t="n">
        <v>187.6</v>
      </c>
      <c r="N5236" t="inlineStr">
        <is>
          <t>20240503800465</t>
        </is>
      </c>
      <c r="O5236">
        <f>HYPERLINK("https://dart.fss.or.kr/dsaf001/main.do?rcpNo=20240503800465", "공시열람")</f>
        <v/>
      </c>
    </row>
    <row r="5237">
      <c r="A5237" t="inlineStr">
        <is>
          <t>2024-05-03</t>
        </is>
      </c>
      <c r="B5237" t="inlineStr">
        <is>
          <t>고려아연</t>
        </is>
      </c>
      <c r="C5237" t="inlineStr">
        <is>
          <t>010130</t>
        </is>
      </c>
      <c r="D5237" t="inlineStr">
        <is>
          <t>별도</t>
        </is>
      </c>
      <c r="E5237" t="inlineStr">
        <is>
          <t>2024Q1</t>
        </is>
      </c>
      <c r="F5237" s="2" t="n">
        <v>1813649</v>
      </c>
      <c r="G5237" t="n">
        <v>-4.8</v>
      </c>
      <c r="H5237" t="n">
        <v>-0.1</v>
      </c>
      <c r="I5237" s="2" t="n">
        <v>190661</v>
      </c>
      <c r="J5237" t="n">
        <v>-13.8</v>
      </c>
      <c r="K5237" t="n">
        <v>23.1</v>
      </c>
      <c r="L5237" s="2" t="n">
        <v>140034</v>
      </c>
      <c r="M5237" t="n">
        <v>-3.6</v>
      </c>
      <c r="N5237" t="inlineStr">
        <is>
          <t>20240503800552</t>
        </is>
      </c>
      <c r="O5237">
        <f>HYPERLINK("https://dart.fss.or.kr/dsaf001/main.do?rcpNo=20240503800552", "공시열람")</f>
        <v/>
      </c>
    </row>
    <row r="5238">
      <c r="A5238" t="inlineStr">
        <is>
          <t>2024-05-03</t>
        </is>
      </c>
      <c r="B5238" t="inlineStr">
        <is>
          <t>스톰테크</t>
        </is>
      </c>
      <c r="C5238" t="inlineStr">
        <is>
          <t>352090</t>
        </is>
      </c>
      <c r="D5238" t="inlineStr">
        <is>
          <t>별도</t>
        </is>
      </c>
      <c r="E5238" t="inlineStr">
        <is>
          <t>2024Q1</t>
        </is>
      </c>
      <c r="F5238" s="2" t="n">
        <v>13669</v>
      </c>
      <c r="G5238" t="inlineStr"/>
      <c r="H5238" t="inlineStr"/>
      <c r="I5238" s="2" t="n">
        <v>2505</v>
      </c>
      <c r="J5238" t="inlineStr"/>
      <c r="K5238" t="inlineStr"/>
      <c r="L5238" s="2" t="n">
        <v>2524</v>
      </c>
      <c r="M5238" t="inlineStr"/>
      <c r="N5238" t="inlineStr">
        <is>
          <t>20240503900659</t>
        </is>
      </c>
      <c r="O5238">
        <f>HYPERLINK("https://dart.fss.or.kr/dsaf001/main.do?rcpNo=20240503900659", "공시열람")</f>
        <v/>
      </c>
    </row>
    <row r="5239">
      <c r="A5239" t="inlineStr">
        <is>
          <t>2024-05-03</t>
        </is>
      </c>
      <c r="B5239" t="inlineStr">
        <is>
          <t>제이에스코퍼레이션</t>
        </is>
      </c>
      <c r="C5239" t="inlineStr">
        <is>
          <t>194370</t>
        </is>
      </c>
      <c r="D5239" t="inlineStr">
        <is>
          <t>연결</t>
        </is>
      </c>
      <c r="E5239" t="inlineStr">
        <is>
          <t>2024Q1</t>
        </is>
      </c>
      <c r="F5239" s="2" t="n">
        <v>207443</v>
      </c>
      <c r="G5239" t="n">
        <v>-5.42</v>
      </c>
      <c r="H5239" t="n">
        <v>23.95</v>
      </c>
      <c r="I5239" s="2" t="n">
        <v>19435</v>
      </c>
      <c r="J5239" t="n">
        <v>-17.43</v>
      </c>
      <c r="K5239" t="n">
        <v>118.81</v>
      </c>
      <c r="L5239" s="2" t="n">
        <v>12822</v>
      </c>
      <c r="M5239" t="n">
        <v>128.8</v>
      </c>
      <c r="N5239" t="inlineStr">
        <is>
          <t>20240503800099</t>
        </is>
      </c>
      <c r="O5239">
        <f>HYPERLINK("https://dart.fss.or.kr/dsaf001/main.do?rcpNo=20240503800099", "공시열람")</f>
        <v/>
      </c>
    </row>
    <row r="5240">
      <c r="A5240" t="inlineStr">
        <is>
          <t>2024-05-03</t>
        </is>
      </c>
      <c r="B5240" t="inlineStr">
        <is>
          <t>롯데웰푸드</t>
        </is>
      </c>
      <c r="C5240" t="inlineStr">
        <is>
          <t>280360</t>
        </is>
      </c>
      <c r="D5240" t="inlineStr">
        <is>
          <t>연결</t>
        </is>
      </c>
      <c r="E5240" t="inlineStr">
        <is>
          <t>2024Q1</t>
        </is>
      </c>
      <c r="F5240" s="2" t="n">
        <v>951054</v>
      </c>
      <c r="G5240" t="n">
        <v>-2.9</v>
      </c>
      <c r="H5240" t="n">
        <v>-0.9</v>
      </c>
      <c r="I5240" s="2" t="n">
        <v>37335</v>
      </c>
      <c r="J5240" t="n">
        <v>27.8</v>
      </c>
      <c r="K5240" t="n">
        <v>100.6</v>
      </c>
      <c r="L5240" s="2" t="n">
        <v>20074</v>
      </c>
      <c r="M5240" t="n">
        <v>61240.1</v>
      </c>
      <c r="N5240" t="inlineStr">
        <is>
          <t>20240503800134</t>
        </is>
      </c>
      <c r="O5240">
        <f>HYPERLINK("https://dart.fss.or.kr/dsaf001/main.do?rcpNo=20240503800134", "공시열람")</f>
        <v/>
      </c>
    </row>
    <row r="5241">
      <c r="A5241" t="inlineStr">
        <is>
          <t>2024-05-03</t>
        </is>
      </c>
      <c r="B5241" t="inlineStr">
        <is>
          <t>한미사이언스</t>
        </is>
      </c>
      <c r="C5241" t="inlineStr">
        <is>
          <t>008930</t>
        </is>
      </c>
      <c r="D5241" t="inlineStr">
        <is>
          <t>연결</t>
        </is>
      </c>
      <c r="E5241" t="inlineStr">
        <is>
          <t>2024Q1</t>
        </is>
      </c>
      <c r="F5241" s="2" t="n">
        <v>320152</v>
      </c>
      <c r="G5241" t="n">
        <v>-3.5</v>
      </c>
      <c r="H5241" t="n">
        <v>9.9</v>
      </c>
      <c r="I5241" s="2" t="n">
        <v>37303</v>
      </c>
      <c r="J5241" t="n">
        <v>20.6</v>
      </c>
      <c r="K5241" t="n">
        <v>19</v>
      </c>
      <c r="L5241" s="2" t="n">
        <v>31092</v>
      </c>
      <c r="M5241" t="n">
        <v>16.4</v>
      </c>
      <c r="N5241" t="inlineStr">
        <is>
          <t>20240503800266</t>
        </is>
      </c>
      <c r="O5241">
        <f>HYPERLINK("https://dart.fss.or.kr/dsaf001/main.do?rcpNo=20240503800266", "공시열람")</f>
        <v/>
      </c>
    </row>
    <row r="5242">
      <c r="A5242" t="inlineStr">
        <is>
          <t>2024-05-03</t>
        </is>
      </c>
      <c r="B5242" t="inlineStr">
        <is>
          <t>SKC</t>
        </is>
      </c>
      <c r="C5242" t="inlineStr">
        <is>
          <t>011790</t>
        </is>
      </c>
      <c r="D5242" t="inlineStr">
        <is>
          <t>연결</t>
        </is>
      </c>
      <c r="E5242" t="inlineStr">
        <is>
          <t>2024Q1</t>
        </is>
      </c>
      <c r="F5242" s="2" t="n">
        <v>415200</v>
      </c>
      <c r="G5242" t="inlineStr"/>
      <c r="H5242" t="inlineStr"/>
      <c r="I5242" s="2" t="n">
        <v>-76200</v>
      </c>
      <c r="J5242" t="inlineStr"/>
      <c r="K5242" t="inlineStr"/>
      <c r="L5242" s="2" t="n">
        <v>-28000</v>
      </c>
      <c r="M5242" t="inlineStr"/>
      <c r="N5242" t="inlineStr">
        <is>
          <t>20240503800085</t>
        </is>
      </c>
      <c r="O5242">
        <f>HYPERLINK("https://dart.fss.or.kr/dsaf001/main.do?rcpNo=20240503800085", "공시열람")</f>
        <v/>
      </c>
    </row>
    <row r="5243">
      <c r="A5243" t="inlineStr">
        <is>
          <t>2024-05-03</t>
        </is>
      </c>
      <c r="B5243" t="inlineStr">
        <is>
          <t>NAVER</t>
        </is>
      </c>
      <c r="C5243" t="inlineStr">
        <is>
          <t>035420</t>
        </is>
      </c>
      <c r="D5243" t="inlineStr">
        <is>
          <t>별도</t>
        </is>
      </c>
      <c r="E5243" t="inlineStr">
        <is>
          <t>2024Q1</t>
        </is>
      </c>
      <c r="F5243" s="2" t="n">
        <v>1421600</v>
      </c>
      <c r="G5243" t="n">
        <v>-2</v>
      </c>
      <c r="H5243" t="n">
        <v>6.5</v>
      </c>
      <c r="I5243" s="2" t="n">
        <v>406500</v>
      </c>
      <c r="J5243" t="n">
        <v>-8</v>
      </c>
      <c r="K5243" t="n">
        <v>4</v>
      </c>
      <c r="L5243" s="2" t="n">
        <v>224400</v>
      </c>
      <c r="M5243" t="n">
        <v>-14.3</v>
      </c>
      <c r="N5243" t="inlineStr">
        <is>
          <t>20240503800003</t>
        </is>
      </c>
      <c r="O5243">
        <f>HYPERLINK("https://dart.fss.or.kr/dsaf001/main.do?rcpNo=20240503800003", "공시열람")</f>
        <v/>
      </c>
    </row>
    <row r="5244">
      <c r="A5244" t="inlineStr">
        <is>
          <t>2024-05-03</t>
        </is>
      </c>
      <c r="B5244" t="inlineStr">
        <is>
          <t>NAVER</t>
        </is>
      </c>
      <c r="C5244" t="inlineStr">
        <is>
          <t>035420</t>
        </is>
      </c>
      <c r="D5244" t="inlineStr">
        <is>
          <t>연결</t>
        </is>
      </c>
      <c r="E5244" t="inlineStr">
        <is>
          <t>2024Q1</t>
        </is>
      </c>
      <c r="F5244" s="2" t="n">
        <v>2526100</v>
      </c>
      <c r="G5244" t="n">
        <v>-0.4</v>
      </c>
      <c r="H5244" t="n">
        <v>10.8</v>
      </c>
      <c r="I5244" s="2" t="n">
        <v>439300</v>
      </c>
      <c r="J5244" t="n">
        <v>8.300000000000001</v>
      </c>
      <c r="K5244" t="n">
        <v>32.9</v>
      </c>
      <c r="L5244" s="2" t="n">
        <v>555800</v>
      </c>
      <c r="M5244" t="n">
        <v>1173.2</v>
      </c>
      <c r="N5244" t="inlineStr">
        <is>
          <t>20240503800001</t>
        </is>
      </c>
      <c r="O5244">
        <f>HYPERLINK("https://dart.fss.or.kr/dsaf001/main.do?rcpNo=20240503800001", "공시열람")</f>
        <v/>
      </c>
    </row>
    <row r="5245">
      <c r="A5245" t="inlineStr">
        <is>
          <t>2024-05-03</t>
        </is>
      </c>
      <c r="B5245" t="inlineStr">
        <is>
          <t>ISC</t>
        </is>
      </c>
      <c r="C5245" t="inlineStr">
        <is>
          <t>095340</t>
        </is>
      </c>
      <c r="D5245" t="inlineStr">
        <is>
          <t>연결</t>
        </is>
      </c>
      <c r="E5245" t="inlineStr">
        <is>
          <t>2024Q1</t>
        </is>
      </c>
      <c r="F5245" s="2" t="n">
        <v>35073</v>
      </c>
      <c r="G5245" t="inlineStr"/>
      <c r="H5245" t="inlineStr"/>
      <c r="I5245" s="2" t="n">
        <v>8558</v>
      </c>
      <c r="J5245" t="inlineStr"/>
      <c r="K5245" t="inlineStr"/>
      <c r="L5245" s="2" t="n">
        <v>15802</v>
      </c>
      <c r="M5245" t="inlineStr"/>
      <c r="N5245" t="inlineStr">
        <is>
          <t>20240503900096</t>
        </is>
      </c>
      <c r="O5245">
        <f>HYPERLINK("https://dart.fss.or.kr/dsaf001/main.do?rcpNo=20240503900096", "공시열람")</f>
        <v/>
      </c>
    </row>
    <row r="5246">
      <c r="A5246" t="inlineStr">
        <is>
          <t>2024-05-02</t>
        </is>
      </c>
      <c r="B5246" t="inlineStr">
        <is>
          <t>주성엔지니어링</t>
        </is>
      </c>
      <c r="C5246" t="inlineStr">
        <is>
          <t>036930</t>
        </is>
      </c>
      <c r="D5246" t="inlineStr">
        <is>
          <t>연결</t>
        </is>
      </c>
      <c r="E5246" t="inlineStr">
        <is>
          <t>2024Q1</t>
        </is>
      </c>
      <c r="F5246" s="2" t="n">
        <v>56571</v>
      </c>
      <c r="G5246" t="inlineStr"/>
      <c r="H5246" t="inlineStr"/>
      <c r="I5246" s="2" t="n">
        <v>7030</v>
      </c>
      <c r="J5246" t="inlineStr"/>
      <c r="K5246" t="inlineStr"/>
      <c r="L5246" s="2" t="n">
        <v>16084</v>
      </c>
      <c r="M5246" t="inlineStr"/>
      <c r="N5246" t="inlineStr">
        <is>
          <t>20240502900661</t>
        </is>
      </c>
      <c r="O5246">
        <f>HYPERLINK("https://dart.fss.or.kr/dsaf001/main.do?rcpNo=20240502900661", "공시열람")</f>
        <v/>
      </c>
    </row>
    <row r="5247">
      <c r="A5247" t="inlineStr">
        <is>
          <t>2024-05-02</t>
        </is>
      </c>
      <c r="B5247" t="inlineStr">
        <is>
          <t>iM금융지주</t>
        </is>
      </c>
      <c r="C5247" t="inlineStr">
        <is>
          <t>139130</t>
        </is>
      </c>
      <c r="D5247" t="inlineStr">
        <is>
          <t>연결</t>
        </is>
      </c>
      <c r="E5247" t="inlineStr">
        <is>
          <t>2024Q1</t>
        </is>
      </c>
      <c r="F5247" s="2" t="n">
        <v>550632</v>
      </c>
      <c r="G5247" t="n">
        <v>-7.4</v>
      </c>
      <c r="H5247" t="n">
        <v>-35.6</v>
      </c>
      <c r="I5247" s="2" t="n">
        <v>-12063</v>
      </c>
      <c r="J5247" t="n">
        <v>73.3</v>
      </c>
      <c r="K5247" t="inlineStr"/>
      <c r="L5247" s="2" t="n">
        <v>-4913</v>
      </c>
      <c r="M5247" t="inlineStr"/>
      <c r="N5247" t="inlineStr">
        <is>
          <t>20240502800329</t>
        </is>
      </c>
      <c r="O5247">
        <f>HYPERLINK("https://dart.fss.or.kr/dsaf001/main.do?rcpNo=20240502800329", "공시열람")</f>
        <v/>
      </c>
    </row>
    <row r="5248">
      <c r="A5248" t="inlineStr">
        <is>
          <t>2024-05-02</t>
        </is>
      </c>
      <c r="B5248" t="inlineStr">
        <is>
          <t>iM금융지주</t>
        </is>
      </c>
      <c r="C5248" t="inlineStr">
        <is>
          <t>139130</t>
        </is>
      </c>
      <c r="D5248" t="inlineStr">
        <is>
          <t>연결</t>
        </is>
      </c>
      <c r="E5248" t="inlineStr">
        <is>
          <t>2024Q1</t>
        </is>
      </c>
      <c r="F5248" s="2" t="n">
        <v>1203846</v>
      </c>
      <c r="G5248" t="n">
        <v>5.4</v>
      </c>
      <c r="H5248" t="n">
        <v>0.9</v>
      </c>
      <c r="I5248" s="2" t="n">
        <v>153023</v>
      </c>
      <c r="J5248" t="n">
        <v>755.3</v>
      </c>
      <c r="K5248" t="n">
        <v>-6.6</v>
      </c>
      <c r="L5248" s="2" t="n">
        <v>119507</v>
      </c>
      <c r="M5248" t="n">
        <v>-6.5</v>
      </c>
      <c r="N5248" t="inlineStr">
        <is>
          <t>20240502800337</t>
        </is>
      </c>
      <c r="O5248">
        <f>HYPERLINK("https://dart.fss.or.kr/dsaf001/main.do?rcpNo=20240502800337", "공시열람")</f>
        <v/>
      </c>
    </row>
    <row r="5249">
      <c r="A5249" t="inlineStr">
        <is>
          <t>2024-05-02</t>
        </is>
      </c>
      <c r="B5249" t="inlineStr">
        <is>
          <t>롯데칠성음료</t>
        </is>
      </c>
      <c r="C5249" t="inlineStr">
        <is>
          <t>005300</t>
        </is>
      </c>
      <c r="D5249" t="inlineStr">
        <is>
          <t>연결</t>
        </is>
      </c>
      <c r="E5249" t="inlineStr">
        <is>
          <t>2024Q1</t>
        </is>
      </c>
      <c r="F5249" s="2" t="n">
        <v>936891</v>
      </c>
      <c r="G5249" t="n">
        <v>2</v>
      </c>
      <c r="H5249" t="n">
        <v>37.8</v>
      </c>
      <c r="I5249" s="2" t="n">
        <v>42413</v>
      </c>
      <c r="J5249" t="n">
        <v>432.9</v>
      </c>
      <c r="K5249" t="n">
        <v>-28.5</v>
      </c>
      <c r="L5249" s="2" t="n">
        <v>25396</v>
      </c>
      <c r="M5249" t="n">
        <v>-16.5</v>
      </c>
      <c r="N5249" t="inlineStr">
        <is>
          <t>20240502800345</t>
        </is>
      </c>
      <c r="O5249">
        <f>HYPERLINK("https://dart.fss.or.kr/dsaf001/main.do?rcpNo=20240502800345", "공시열람")</f>
        <v/>
      </c>
    </row>
    <row r="5250">
      <c r="A5250" t="inlineStr">
        <is>
          <t>2024-05-02</t>
        </is>
      </c>
      <c r="B5250" t="inlineStr">
        <is>
          <t>iM금융지주</t>
        </is>
      </c>
      <c r="C5250" t="inlineStr">
        <is>
          <t>139130</t>
        </is>
      </c>
      <c r="D5250" t="inlineStr">
        <is>
          <t>연결</t>
        </is>
      </c>
      <c r="E5250" t="inlineStr">
        <is>
          <t>2024Q1</t>
        </is>
      </c>
      <c r="F5250" s="2" t="n">
        <v>2126534</v>
      </c>
      <c r="G5250" t="n">
        <v>10.8</v>
      </c>
      <c r="H5250" t="n">
        <v>-10.7</v>
      </c>
      <c r="I5250" s="2" t="n">
        <v>158510</v>
      </c>
      <c r="J5250" t="inlineStr"/>
      <c r="K5250" t="n">
        <v>-30.9</v>
      </c>
      <c r="L5250" s="2" t="n">
        <v>112954</v>
      </c>
      <c r="M5250" t="n">
        <v>-36.4</v>
      </c>
      <c r="N5250" t="inlineStr">
        <is>
          <t>20240502800348</t>
        </is>
      </c>
      <c r="O5250">
        <f>HYPERLINK("https://dart.fss.or.kr/dsaf001/main.do?rcpNo=20240502800348", "공시열람")</f>
        <v/>
      </c>
    </row>
    <row r="5251">
      <c r="A5251" t="inlineStr">
        <is>
          <t>2024-05-02</t>
        </is>
      </c>
      <c r="B5251" t="inlineStr">
        <is>
          <t>이노션</t>
        </is>
      </c>
      <c r="C5251" t="inlineStr">
        <is>
          <t>214320</t>
        </is>
      </c>
      <c r="D5251" t="inlineStr">
        <is>
          <t>연결</t>
        </is>
      </c>
      <c r="E5251" t="inlineStr">
        <is>
          <t>2024Q1</t>
        </is>
      </c>
      <c r="F5251" s="2" t="n">
        <v>487515</v>
      </c>
      <c r="G5251" t="n">
        <v>-23.7</v>
      </c>
      <c r="H5251" t="n">
        <v>6.1</v>
      </c>
      <c r="I5251" s="2" t="n">
        <v>30476</v>
      </c>
      <c r="J5251" t="n">
        <v>-36.8</v>
      </c>
      <c r="K5251" t="n">
        <v>58.5</v>
      </c>
      <c r="L5251" s="2" t="n">
        <v>29438</v>
      </c>
      <c r="M5251" t="n">
        <v>24</v>
      </c>
      <c r="N5251" t="inlineStr">
        <is>
          <t>20240502800356</t>
        </is>
      </c>
      <c r="O5251">
        <f>HYPERLINK("https://dart.fss.or.kr/dsaf001/main.do?rcpNo=20240502800356", "공시열람")</f>
        <v/>
      </c>
    </row>
    <row r="5252">
      <c r="A5252" t="inlineStr">
        <is>
          <t>2024-05-02</t>
        </is>
      </c>
      <c r="B5252" t="inlineStr">
        <is>
          <t>BGF리테일</t>
        </is>
      </c>
      <c r="C5252" t="inlineStr">
        <is>
          <t>282330</t>
        </is>
      </c>
      <c r="D5252" t="inlineStr">
        <is>
          <t>연결</t>
        </is>
      </c>
      <c r="E5252" t="inlineStr">
        <is>
          <t>2024Q1</t>
        </is>
      </c>
      <c r="F5252" s="2" t="n">
        <v>1953800</v>
      </c>
      <c r="G5252" t="n">
        <v>-4.2</v>
      </c>
      <c r="H5252" t="n">
        <v>5.6</v>
      </c>
      <c r="I5252" s="2" t="n">
        <v>32600</v>
      </c>
      <c r="J5252" t="n">
        <v>-36.2</v>
      </c>
      <c r="K5252" t="n">
        <v>-11.9</v>
      </c>
      <c r="L5252" s="2" t="n">
        <v>23400</v>
      </c>
      <c r="M5252" t="n">
        <v>-15.5</v>
      </c>
      <c r="N5252" t="inlineStr">
        <is>
          <t>20240502800360</t>
        </is>
      </c>
      <c r="O5252">
        <f>HYPERLINK("https://dart.fss.or.kr/dsaf001/main.do?rcpNo=20240502800360", "공시열람")</f>
        <v/>
      </c>
    </row>
    <row r="5253">
      <c r="A5253" t="inlineStr">
        <is>
          <t>2024-05-02</t>
        </is>
      </c>
      <c r="B5253" t="inlineStr">
        <is>
          <t>에코프로비엠</t>
        </is>
      </c>
      <c r="C5253" t="inlineStr">
        <is>
          <t>247540</t>
        </is>
      </c>
      <c r="D5253" t="inlineStr">
        <is>
          <t>연결</t>
        </is>
      </c>
      <c r="E5253" t="inlineStr">
        <is>
          <t>2024Q1</t>
        </is>
      </c>
      <c r="F5253" s="2" t="n">
        <v>970459</v>
      </c>
      <c r="G5253" t="inlineStr"/>
      <c r="H5253" t="inlineStr"/>
      <c r="I5253" s="2" t="n">
        <v>6684</v>
      </c>
      <c r="J5253" t="inlineStr"/>
      <c r="K5253" t="inlineStr"/>
      <c r="L5253" s="2" t="n">
        <v>-4946</v>
      </c>
      <c r="M5253" t="inlineStr"/>
      <c r="N5253" t="inlineStr">
        <is>
          <t>20240502900646</t>
        </is>
      </c>
      <c r="O5253">
        <f>HYPERLINK("https://dart.fss.or.kr/dsaf001/main.do?rcpNo=20240502900646", "공시열람")</f>
        <v/>
      </c>
    </row>
    <row r="5254">
      <c r="A5254" t="inlineStr">
        <is>
          <t>2024-05-02</t>
        </is>
      </c>
      <c r="B5254" t="inlineStr">
        <is>
          <t>에코프로에이치엔</t>
        </is>
      </c>
      <c r="C5254" t="inlineStr">
        <is>
          <t>383310</t>
        </is>
      </c>
      <c r="D5254" t="inlineStr">
        <is>
          <t>연결</t>
        </is>
      </c>
      <c r="E5254" t="inlineStr">
        <is>
          <t>2024Q1</t>
        </is>
      </c>
      <c r="F5254" s="2" t="n">
        <v>51505</v>
      </c>
      <c r="G5254" t="inlineStr"/>
      <c r="H5254" t="inlineStr"/>
      <c r="I5254" s="2" t="n">
        <v>7331</v>
      </c>
      <c r="J5254" t="inlineStr"/>
      <c r="K5254" t="inlineStr"/>
      <c r="L5254" s="2" t="n">
        <v>6570</v>
      </c>
      <c r="M5254" t="inlineStr"/>
      <c r="N5254" t="inlineStr">
        <is>
          <t>20240502900632</t>
        </is>
      </c>
      <c r="O5254">
        <f>HYPERLINK("https://dart.fss.or.kr/dsaf001/main.do?rcpNo=20240502900632", "공시열람")</f>
        <v/>
      </c>
    </row>
    <row r="5255">
      <c r="A5255" t="inlineStr">
        <is>
          <t>2024-05-02</t>
        </is>
      </c>
      <c r="B5255" t="inlineStr">
        <is>
          <t>에코프로</t>
        </is>
      </c>
      <c r="C5255" t="inlineStr">
        <is>
          <t>086520</t>
        </is>
      </c>
      <c r="D5255" t="inlineStr">
        <is>
          <t>연결</t>
        </is>
      </c>
      <c r="E5255" t="inlineStr">
        <is>
          <t>2024Q1</t>
        </is>
      </c>
      <c r="F5255" s="2" t="n">
        <v>1020594</v>
      </c>
      <c r="G5255" t="inlineStr"/>
      <c r="H5255" t="inlineStr"/>
      <c r="I5255" s="2" t="n">
        <v>-29841</v>
      </c>
      <c r="J5255" t="inlineStr"/>
      <c r="K5255" t="inlineStr"/>
      <c r="L5255" s="2" t="n">
        <v>-42517</v>
      </c>
      <c r="M5255" t="inlineStr"/>
      <c r="N5255" t="inlineStr">
        <is>
          <t>20240502900631</t>
        </is>
      </c>
      <c r="O5255">
        <f>HYPERLINK("https://dart.fss.or.kr/dsaf001/main.do?rcpNo=20240502900631", "공시열람")</f>
        <v/>
      </c>
    </row>
    <row r="5256">
      <c r="A5256" t="inlineStr">
        <is>
          <t>2024-05-02</t>
        </is>
      </c>
      <c r="B5256" t="inlineStr">
        <is>
          <t>KT나스미디어</t>
        </is>
      </c>
      <c r="C5256" t="inlineStr">
        <is>
          <t>089600</t>
        </is>
      </c>
      <c r="D5256" t="inlineStr">
        <is>
          <t>연결</t>
        </is>
      </c>
      <c r="E5256" t="inlineStr">
        <is>
          <t>2024Q1</t>
        </is>
      </c>
      <c r="F5256" s="2" t="n">
        <v>32075</v>
      </c>
      <c r="G5256" t="inlineStr"/>
      <c r="H5256" t="inlineStr"/>
      <c r="I5256" s="2" t="n">
        <v>2203</v>
      </c>
      <c r="J5256" t="inlineStr"/>
      <c r="K5256" t="inlineStr"/>
      <c r="L5256" s="2" t="n">
        <v>3279</v>
      </c>
      <c r="M5256" t="inlineStr"/>
      <c r="N5256" t="inlineStr">
        <is>
          <t>20240502900675</t>
        </is>
      </c>
      <c r="O5256">
        <f>HYPERLINK("https://dart.fss.or.kr/dsaf001/main.do?rcpNo=20240502900675", "공시열람")</f>
        <v/>
      </c>
    </row>
    <row r="5257">
      <c r="A5257" t="inlineStr">
        <is>
          <t>2024-05-02</t>
        </is>
      </c>
      <c r="B5257" t="inlineStr">
        <is>
          <t>KT나스미디어</t>
        </is>
      </c>
      <c r="C5257" t="inlineStr">
        <is>
          <t>089600</t>
        </is>
      </c>
      <c r="D5257" t="inlineStr">
        <is>
          <t>별도</t>
        </is>
      </c>
      <c r="E5257" t="inlineStr">
        <is>
          <t>2024Q1</t>
        </is>
      </c>
      <c r="F5257" s="2" t="n">
        <v>22733</v>
      </c>
      <c r="G5257" t="inlineStr"/>
      <c r="H5257" t="inlineStr"/>
      <c r="I5257" s="2" t="n">
        <v>1933</v>
      </c>
      <c r="J5257" t="inlineStr"/>
      <c r="K5257" t="inlineStr"/>
      <c r="L5257" s="2" t="n">
        <v>2793</v>
      </c>
      <c r="M5257" t="inlineStr"/>
      <c r="N5257" t="inlineStr">
        <is>
          <t>20240502900656</t>
        </is>
      </c>
      <c r="O5257">
        <f>HYPERLINK("https://dart.fss.or.kr/dsaf001/main.do?rcpNo=20240502900656", "공시열람")</f>
        <v/>
      </c>
    </row>
    <row r="5258">
      <c r="A5258" t="inlineStr">
        <is>
          <t>2024-05-02</t>
        </is>
      </c>
      <c r="B5258" t="inlineStr">
        <is>
          <t>현대비앤지스틸</t>
        </is>
      </c>
      <c r="C5258" t="inlineStr">
        <is>
          <t>004560</t>
        </is>
      </c>
      <c r="D5258" t="inlineStr">
        <is>
          <t>연결</t>
        </is>
      </c>
      <c r="E5258" t="inlineStr">
        <is>
          <t>2024Q1</t>
        </is>
      </c>
      <c r="F5258" s="2" t="n">
        <v>191604</v>
      </c>
      <c r="G5258" t="n">
        <v>-12.7</v>
      </c>
      <c r="H5258" t="n">
        <v>-31.6</v>
      </c>
      <c r="I5258" s="2" t="n">
        <v>-348</v>
      </c>
      <c r="J5258" t="n">
        <v>95.3</v>
      </c>
      <c r="K5258" t="n">
        <v>97.3</v>
      </c>
      <c r="L5258" s="2" t="n">
        <v>1986</v>
      </c>
      <c r="M5258" t="inlineStr"/>
      <c r="N5258" t="inlineStr">
        <is>
          <t>20240502800517</t>
        </is>
      </c>
      <c r="O5258">
        <f>HYPERLINK("https://dart.fss.or.kr/dsaf001/main.do?rcpNo=20240502800517", "공시열람")</f>
        <v/>
      </c>
    </row>
    <row r="5259">
      <c r="A5259" t="inlineStr">
        <is>
          <t>2024-05-02</t>
        </is>
      </c>
      <c r="B5259" t="inlineStr">
        <is>
          <t>에코프로머티</t>
        </is>
      </c>
      <c r="C5259" t="inlineStr">
        <is>
          <t>450080</t>
        </is>
      </c>
      <c r="D5259" t="inlineStr">
        <is>
          <t>별도</t>
        </is>
      </c>
      <c r="E5259" t="inlineStr">
        <is>
          <t>2024Q1</t>
        </is>
      </c>
      <c r="F5259" s="2" t="n">
        <v>79185</v>
      </c>
      <c r="G5259" t="n">
        <v>-58</v>
      </c>
      <c r="H5259" t="n">
        <v>-66.3</v>
      </c>
      <c r="I5259" s="2" t="n">
        <v>-12972</v>
      </c>
      <c r="J5259" t="inlineStr"/>
      <c r="K5259" t="inlineStr"/>
      <c r="L5259" s="2" t="n">
        <v>-8464</v>
      </c>
      <c r="M5259" t="inlineStr"/>
      <c r="N5259" t="inlineStr">
        <is>
          <t>20240502800618</t>
        </is>
      </c>
      <c r="O5259">
        <f>HYPERLINK("https://dart.fss.or.kr/dsaf001/main.do?rcpNo=20240502800618", "공시열람")</f>
        <v/>
      </c>
    </row>
    <row r="5260">
      <c r="A5260" t="inlineStr">
        <is>
          <t>2024-05-02</t>
        </is>
      </c>
      <c r="B5260" t="inlineStr">
        <is>
          <t>에이치시티</t>
        </is>
      </c>
      <c r="C5260" t="inlineStr">
        <is>
          <t>072990</t>
        </is>
      </c>
      <c r="D5260" t="inlineStr">
        <is>
          <t>연결</t>
        </is>
      </c>
      <c r="E5260" t="inlineStr">
        <is>
          <t>2024Q1</t>
        </is>
      </c>
      <c r="F5260" s="2" t="n">
        <v>19909</v>
      </c>
      <c r="G5260" t="inlineStr"/>
      <c r="H5260" t="inlineStr"/>
      <c r="I5260" s="2" t="n">
        <v>1771</v>
      </c>
      <c r="J5260" t="inlineStr"/>
      <c r="K5260" t="inlineStr"/>
      <c r="L5260" s="2" t="n">
        <v>1300</v>
      </c>
      <c r="M5260" t="inlineStr"/>
      <c r="N5260" t="inlineStr">
        <is>
          <t>20240502900306</t>
        </is>
      </c>
      <c r="O5260">
        <f>HYPERLINK("https://dart.fss.or.kr/dsaf001/main.do?rcpNo=20240502900306", "공시열람")</f>
        <v/>
      </c>
    </row>
    <row r="5261">
      <c r="A5261" t="inlineStr">
        <is>
          <t>2024-05-02</t>
        </is>
      </c>
      <c r="B5261" t="inlineStr">
        <is>
          <t>기아</t>
        </is>
      </c>
      <c r="C5261" t="inlineStr">
        <is>
          <t>000270</t>
        </is>
      </c>
      <c r="D5261" t="inlineStr">
        <is>
          <t>별도</t>
        </is>
      </c>
      <c r="E5261" t="inlineStr">
        <is>
          <t>2024Q1</t>
        </is>
      </c>
      <c r="F5261" s="2" t="inlineStr"/>
      <c r="G5261" t="inlineStr"/>
      <c r="H5261" t="inlineStr"/>
      <c r="I5261" s="2" t="inlineStr"/>
      <c r="J5261" t="inlineStr"/>
      <c r="K5261" t="inlineStr"/>
      <c r="L5261" s="2" t="inlineStr"/>
      <c r="M5261" t="inlineStr"/>
      <c r="N5261" t="inlineStr">
        <is>
          <t>20240502800431</t>
        </is>
      </c>
      <c r="O5261">
        <f>HYPERLINK("https://dart.fss.or.kr/dsaf001/main.do?rcpNo=20240502800431", "공시열람")</f>
        <v/>
      </c>
    </row>
    <row r="5262">
      <c r="A5262" t="inlineStr">
        <is>
          <t>2024-05-02</t>
        </is>
      </c>
      <c r="B5262" t="inlineStr">
        <is>
          <t>현대바이오랜드</t>
        </is>
      </c>
      <c r="C5262" t="inlineStr">
        <is>
          <t>052260</t>
        </is>
      </c>
      <c r="D5262" t="inlineStr">
        <is>
          <t>연결</t>
        </is>
      </c>
      <c r="E5262" t="inlineStr">
        <is>
          <t>2024Q1</t>
        </is>
      </c>
      <c r="F5262" s="2" t="n">
        <v>29993</v>
      </c>
      <c r="G5262" t="inlineStr"/>
      <c r="H5262" t="inlineStr"/>
      <c r="I5262" s="2" t="n">
        <v>4011</v>
      </c>
      <c r="J5262" t="inlineStr"/>
      <c r="K5262" t="inlineStr"/>
      <c r="L5262" s="2" t="n">
        <v>3198</v>
      </c>
      <c r="M5262" t="inlineStr"/>
      <c r="N5262" t="inlineStr">
        <is>
          <t>20240502900461</t>
        </is>
      </c>
      <c r="O5262">
        <f>HYPERLINK("https://dart.fss.or.kr/dsaf001/main.do?rcpNo=20240502900461", "공시열람")</f>
        <v/>
      </c>
    </row>
    <row r="5263">
      <c r="A5263" t="inlineStr">
        <is>
          <t>2024-05-02</t>
        </is>
      </c>
      <c r="B5263" t="inlineStr">
        <is>
          <t>두산</t>
        </is>
      </c>
      <c r="C5263" t="inlineStr">
        <is>
          <t>000150</t>
        </is>
      </c>
      <c r="D5263" t="inlineStr">
        <is>
          <t>연결</t>
        </is>
      </c>
      <c r="E5263" t="inlineStr">
        <is>
          <t>2024Q1</t>
        </is>
      </c>
      <c r="F5263" s="2" t="n">
        <v>4462300</v>
      </c>
      <c r="G5263" t="n">
        <v>-15.4</v>
      </c>
      <c r="H5263" t="n">
        <v>2.6</v>
      </c>
      <c r="I5263" s="2" t="n">
        <v>347900</v>
      </c>
      <c r="J5263" t="n">
        <v>30.6</v>
      </c>
      <c r="K5263" t="n">
        <v>2.9</v>
      </c>
      <c r="L5263" s="2" t="n">
        <v>225900</v>
      </c>
      <c r="M5263" t="n">
        <v>96.90000000000001</v>
      </c>
      <c r="N5263" t="inlineStr">
        <is>
          <t>20240502800457</t>
        </is>
      </c>
      <c r="O5263">
        <f>HYPERLINK("https://dart.fss.or.kr/dsaf001/main.do?rcpNo=20240502800457", "공시열람")</f>
        <v/>
      </c>
    </row>
    <row r="5264">
      <c r="A5264" t="inlineStr">
        <is>
          <t>2024-05-02</t>
        </is>
      </c>
      <c r="B5264" t="inlineStr">
        <is>
          <t>BGF</t>
        </is>
      </c>
      <c r="C5264" t="inlineStr">
        <is>
          <t>027410</t>
        </is>
      </c>
      <c r="D5264" t="inlineStr">
        <is>
          <t>연결</t>
        </is>
      </c>
      <c r="E5264" t="inlineStr">
        <is>
          <t>2024Q1</t>
        </is>
      </c>
      <c r="F5264" s="2" t="n">
        <v>118500</v>
      </c>
      <c r="G5264" t="n">
        <v>-4</v>
      </c>
      <c r="H5264" t="n">
        <v>19.5</v>
      </c>
      <c r="I5264" s="2" t="n">
        <v>11300</v>
      </c>
      <c r="J5264" t="n">
        <v>-29.8</v>
      </c>
      <c r="K5264" t="n">
        <v>-1.7</v>
      </c>
      <c r="L5264" s="2" t="n">
        <v>11500</v>
      </c>
      <c r="M5264" t="n">
        <v>-8</v>
      </c>
      <c r="N5264" t="inlineStr">
        <is>
          <t>20240502800406</t>
        </is>
      </c>
      <c r="O5264">
        <f>HYPERLINK("https://dart.fss.or.kr/dsaf001/main.do?rcpNo=20240502800406", "공시열람")</f>
        <v/>
      </c>
    </row>
    <row r="5265">
      <c r="A5265" t="inlineStr">
        <is>
          <t>2024-05-02</t>
        </is>
      </c>
      <c r="B5265" t="inlineStr">
        <is>
          <t>윈스테크넷</t>
        </is>
      </c>
      <c r="C5265" t="inlineStr">
        <is>
          <t>136540</t>
        </is>
      </c>
      <c r="D5265" t="inlineStr">
        <is>
          <t>별도</t>
        </is>
      </c>
      <c r="E5265" t="inlineStr">
        <is>
          <t>2024Q1</t>
        </is>
      </c>
      <c r="F5265" s="2" t="n">
        <v>23004</v>
      </c>
      <c r="G5265" t="inlineStr"/>
      <c r="H5265" t="inlineStr"/>
      <c r="I5265" s="2" t="n">
        <v>4901</v>
      </c>
      <c r="J5265" t="inlineStr"/>
      <c r="K5265" t="inlineStr"/>
      <c r="L5265" s="2" t="n">
        <v>4906</v>
      </c>
      <c r="M5265" t="inlineStr"/>
      <c r="N5265" t="inlineStr">
        <is>
          <t>20240502900328</t>
        </is>
      </c>
      <c r="O5265">
        <f>HYPERLINK("https://dart.fss.or.kr/dsaf001/main.do?rcpNo=20240502900328", "공시열람")</f>
        <v/>
      </c>
    </row>
    <row r="5266">
      <c r="A5266" t="inlineStr">
        <is>
          <t>2024-05-02</t>
        </is>
      </c>
      <c r="B5266" t="inlineStr">
        <is>
          <t>윈스테크넷</t>
        </is>
      </c>
      <c r="C5266" t="inlineStr">
        <is>
          <t>136540</t>
        </is>
      </c>
      <c r="D5266" t="inlineStr">
        <is>
          <t>연결</t>
        </is>
      </c>
      <c r="E5266" t="inlineStr">
        <is>
          <t>2024Q1</t>
        </is>
      </c>
      <c r="F5266" s="2" t="n">
        <v>23744</v>
      </c>
      <c r="G5266" t="inlineStr"/>
      <c r="H5266" t="inlineStr"/>
      <c r="I5266" s="2" t="n">
        <v>4956</v>
      </c>
      <c r="J5266" t="inlineStr"/>
      <c r="K5266" t="inlineStr"/>
      <c r="L5266" s="2" t="n">
        <v>4864</v>
      </c>
      <c r="M5266" t="inlineStr"/>
      <c r="N5266" t="inlineStr">
        <is>
          <t>20240502900325</t>
        </is>
      </c>
      <c r="O5266">
        <f>HYPERLINK("https://dart.fss.or.kr/dsaf001/main.do?rcpNo=20240502900325", "공시열람")</f>
        <v/>
      </c>
    </row>
    <row r="5267">
      <c r="A5267" t="inlineStr">
        <is>
          <t>2024-05-02</t>
        </is>
      </c>
      <c r="B5267" t="inlineStr">
        <is>
          <t>대덕전자</t>
        </is>
      </c>
      <c r="C5267" t="inlineStr">
        <is>
          <t>353200</t>
        </is>
      </c>
      <c r="D5267" t="inlineStr">
        <is>
          <t>연결</t>
        </is>
      </c>
      <c r="E5267" t="inlineStr">
        <is>
          <t>2024Q1</t>
        </is>
      </c>
      <c r="F5267" s="2" t="n">
        <v>214766</v>
      </c>
      <c r="G5267" t="n">
        <v>-8.4</v>
      </c>
      <c r="H5267" t="n">
        <v>-1.3</v>
      </c>
      <c r="I5267" s="2" t="n">
        <v>-2886</v>
      </c>
      <c r="J5267" t="inlineStr"/>
      <c r="K5267" t="inlineStr"/>
      <c r="L5267" s="2" t="n">
        <v>1971</v>
      </c>
      <c r="M5267" t="n">
        <v>-82.40000000000001</v>
      </c>
      <c r="N5267" t="inlineStr">
        <is>
          <t>20240502800421</t>
        </is>
      </c>
      <c r="O5267">
        <f>HYPERLINK("https://dart.fss.or.kr/dsaf001/main.do?rcpNo=20240502800421", "공시열람")</f>
        <v/>
      </c>
    </row>
    <row r="5268">
      <c r="A5268" t="inlineStr">
        <is>
          <t>2024-05-02</t>
        </is>
      </c>
      <c r="B5268" t="inlineStr">
        <is>
          <t>녹십자</t>
        </is>
      </c>
      <c r="C5268" t="inlineStr">
        <is>
          <t>006280</t>
        </is>
      </c>
      <c r="D5268" t="inlineStr">
        <is>
          <t>연결</t>
        </is>
      </c>
      <c r="E5268" t="inlineStr">
        <is>
          <t>2024Q1</t>
        </is>
      </c>
      <c r="F5268" s="2" t="n">
        <v>356800</v>
      </c>
      <c r="G5268" t="n">
        <v>-11.9</v>
      </c>
      <c r="H5268" t="n">
        <v>2.1</v>
      </c>
      <c r="I5268" s="2" t="n">
        <v>-15000</v>
      </c>
      <c r="J5268" t="n">
        <v>-78.59999999999999</v>
      </c>
      <c r="K5268" t="n">
        <v>-10.5</v>
      </c>
      <c r="L5268" s="2" t="n">
        <v>-30700</v>
      </c>
      <c r="M5268" t="n">
        <v>-38.7</v>
      </c>
      <c r="N5268" t="inlineStr">
        <is>
          <t>20240502800409</t>
        </is>
      </c>
      <c r="O5268">
        <f>HYPERLINK("https://dart.fss.or.kr/dsaf001/main.do?rcpNo=20240502800409", "공시열람")</f>
        <v/>
      </c>
    </row>
    <row r="5269">
      <c r="A5269" t="inlineStr">
        <is>
          <t>2024-05-02</t>
        </is>
      </c>
      <c r="B5269" t="inlineStr">
        <is>
          <t>현대자동차</t>
        </is>
      </c>
      <c r="C5269" t="inlineStr">
        <is>
          <t>005380</t>
        </is>
      </c>
      <c r="D5269" t="inlineStr">
        <is>
          <t>별도</t>
        </is>
      </c>
      <c r="E5269" t="inlineStr">
        <is>
          <t>2024Q1</t>
        </is>
      </c>
      <c r="F5269" s="2" t="inlineStr"/>
      <c r="G5269" t="inlineStr"/>
      <c r="H5269" t="inlineStr"/>
      <c r="I5269" s="2" t="inlineStr"/>
      <c r="J5269" t="inlineStr"/>
      <c r="K5269" t="inlineStr"/>
      <c r="L5269" s="2" t="inlineStr"/>
      <c r="M5269" t="inlineStr"/>
      <c r="N5269" t="inlineStr">
        <is>
          <t>20240502800382</t>
        </is>
      </c>
      <c r="O5269">
        <f>HYPERLINK("https://dart.fss.or.kr/dsaf001/main.do?rcpNo=20240502800382", "공시열람")</f>
        <v/>
      </c>
    </row>
    <row r="5270">
      <c r="A5270" t="inlineStr">
        <is>
          <t>2024-05-02</t>
        </is>
      </c>
      <c r="B5270" t="inlineStr">
        <is>
          <t>BGF에코머티리얼즈</t>
        </is>
      </c>
      <c r="C5270" t="inlineStr">
        <is>
          <t>126600</t>
        </is>
      </c>
      <c r="D5270" t="inlineStr">
        <is>
          <t>연결</t>
        </is>
      </c>
      <c r="E5270" t="inlineStr">
        <is>
          <t>2024Q1</t>
        </is>
      </c>
      <c r="F5270" s="2" t="n">
        <v>87230</v>
      </c>
      <c r="G5270" t="inlineStr"/>
      <c r="H5270" t="inlineStr"/>
      <c r="I5270" s="2" t="n">
        <v>5638</v>
      </c>
      <c r="J5270" t="inlineStr"/>
      <c r="K5270" t="inlineStr"/>
      <c r="L5270" s="2" t="n">
        <v>5462</v>
      </c>
      <c r="M5270" t="inlineStr"/>
      <c r="N5270" t="inlineStr">
        <is>
          <t>20240502900373</t>
        </is>
      </c>
      <c r="O5270">
        <f>HYPERLINK("https://dart.fss.or.kr/dsaf001/main.do?rcpNo=20240502900373", "공시열람")</f>
        <v/>
      </c>
    </row>
    <row r="5271">
      <c r="A5271" t="inlineStr">
        <is>
          <t>2024-05-02</t>
        </is>
      </c>
      <c r="B5271" t="inlineStr">
        <is>
          <t>고영</t>
        </is>
      </c>
      <c r="C5271" t="inlineStr">
        <is>
          <t>098460</t>
        </is>
      </c>
      <c r="D5271" t="inlineStr">
        <is>
          <t>연결</t>
        </is>
      </c>
      <c r="E5271" t="inlineStr">
        <is>
          <t>2024Q1</t>
        </is>
      </c>
      <c r="F5271" s="2" t="n">
        <v>53026</v>
      </c>
      <c r="G5271" t="inlineStr"/>
      <c r="H5271" t="inlineStr"/>
      <c r="I5271" s="2" t="n">
        <v>2180</v>
      </c>
      <c r="J5271" t="inlineStr"/>
      <c r="K5271" t="inlineStr"/>
      <c r="L5271" s="2" t="n">
        <v>7283</v>
      </c>
      <c r="M5271" t="inlineStr"/>
      <c r="N5271" t="inlineStr">
        <is>
          <t>20240502900365</t>
        </is>
      </c>
      <c r="O5271">
        <f>HYPERLINK("https://dart.fss.or.kr/dsaf001/main.do?rcpNo=20240502900365", "공시열람")</f>
        <v/>
      </c>
    </row>
    <row r="5272">
      <c r="A5272" t="inlineStr">
        <is>
          <t>2024-05-02</t>
        </is>
      </c>
      <c r="B5272" t="inlineStr">
        <is>
          <t>두산에너빌리티</t>
        </is>
      </c>
      <c r="C5272" t="inlineStr">
        <is>
          <t>034020</t>
        </is>
      </c>
      <c r="D5272" t="inlineStr">
        <is>
          <t>연결</t>
        </is>
      </c>
      <c r="E5272" t="inlineStr">
        <is>
          <t>2024Q1</t>
        </is>
      </c>
      <c r="F5272" s="2" t="n">
        <v>4097867</v>
      </c>
      <c r="G5272" t="n">
        <v>-15.59</v>
      </c>
      <c r="H5272" t="n">
        <v>1.41</v>
      </c>
      <c r="I5272" s="2" t="n">
        <v>358071</v>
      </c>
      <c r="J5272" t="n">
        <v>20.68</v>
      </c>
      <c r="K5272" t="n">
        <v>-1.78</v>
      </c>
      <c r="L5272" s="2" t="n">
        <v>261052</v>
      </c>
      <c r="M5272" t="n">
        <v>52.92</v>
      </c>
      <c r="N5272" t="inlineStr">
        <is>
          <t>20240502800334</t>
        </is>
      </c>
      <c r="O5272">
        <f>HYPERLINK("https://dart.fss.or.kr/dsaf001/main.do?rcpNo=20240502800334", "공시열람")</f>
        <v/>
      </c>
    </row>
    <row r="5273">
      <c r="A5273" t="inlineStr">
        <is>
          <t>2024-05-02</t>
        </is>
      </c>
      <c r="B5273" t="inlineStr">
        <is>
          <t>KG모빌리티</t>
        </is>
      </c>
      <c r="C5273" t="inlineStr">
        <is>
          <t>003620</t>
        </is>
      </c>
      <c r="D5273" t="inlineStr">
        <is>
          <t>별도</t>
        </is>
      </c>
      <c r="E5273" t="inlineStr">
        <is>
          <t>2024Q1</t>
        </is>
      </c>
      <c r="F5273" s="2" t="inlineStr"/>
      <c r="G5273" t="inlineStr"/>
      <c r="H5273" t="inlineStr"/>
      <c r="I5273" s="2" t="inlineStr"/>
      <c r="J5273" t="inlineStr"/>
      <c r="K5273" t="inlineStr"/>
      <c r="L5273" s="2" t="inlineStr"/>
      <c r="M5273" t="inlineStr"/>
      <c r="N5273" t="inlineStr">
        <is>
          <t>20240502800277</t>
        </is>
      </c>
      <c r="O5273">
        <f>HYPERLINK("https://dart.fss.or.kr/dsaf001/main.do?rcpNo=20240502800277", "공시열람")</f>
        <v/>
      </c>
    </row>
    <row r="5274">
      <c r="A5274" t="inlineStr">
        <is>
          <t>2024-05-02</t>
        </is>
      </c>
      <c r="B5274" t="inlineStr">
        <is>
          <t>녹십자엠에스</t>
        </is>
      </c>
      <c r="C5274" t="inlineStr">
        <is>
          <t>142280</t>
        </is>
      </c>
      <c r="D5274" t="inlineStr">
        <is>
          <t>연결</t>
        </is>
      </c>
      <c r="E5274" t="inlineStr">
        <is>
          <t>2024Q1</t>
        </is>
      </c>
      <c r="F5274" s="2" t="n">
        <v>23699</v>
      </c>
      <c r="G5274" t="inlineStr"/>
      <c r="H5274" t="inlineStr"/>
      <c r="I5274" s="2" t="n">
        <v>77</v>
      </c>
      <c r="J5274" t="inlineStr"/>
      <c r="K5274" t="inlineStr"/>
      <c r="L5274" s="2" t="n">
        <v>1256</v>
      </c>
      <c r="M5274" t="inlineStr"/>
      <c r="N5274" t="inlineStr">
        <is>
          <t>20240502900311</t>
        </is>
      </c>
      <c r="O5274">
        <f>HYPERLINK("https://dart.fss.or.kr/dsaf001/main.do?rcpNo=20240502900311", "공시열람")</f>
        <v/>
      </c>
    </row>
    <row r="5275">
      <c r="A5275" t="inlineStr">
        <is>
          <t>2024-05-02</t>
        </is>
      </c>
      <c r="B5275" t="inlineStr">
        <is>
          <t>비에이치</t>
        </is>
      </c>
      <c r="C5275" t="inlineStr">
        <is>
          <t>090460</t>
        </is>
      </c>
      <c r="D5275" t="inlineStr">
        <is>
          <t>연결</t>
        </is>
      </c>
      <c r="E5275" t="inlineStr">
        <is>
          <t>2024Q1</t>
        </is>
      </c>
      <c r="F5275" s="2" t="n">
        <v>298853</v>
      </c>
      <c r="G5275" t="inlineStr"/>
      <c r="H5275" t="inlineStr"/>
      <c r="I5275" s="2" t="n">
        <v>8423</v>
      </c>
      <c r="J5275" t="inlineStr"/>
      <c r="K5275" t="inlineStr"/>
      <c r="L5275" s="2" t="inlineStr"/>
      <c r="M5275" t="inlineStr"/>
      <c r="N5275" t="inlineStr">
        <is>
          <t>20240502800045</t>
        </is>
      </c>
      <c r="O5275">
        <f>HYPERLINK("https://dart.fss.or.kr/dsaf001/main.do?rcpNo=20240502800045", "공시열람")</f>
        <v/>
      </c>
    </row>
    <row r="5276">
      <c r="A5276" t="inlineStr">
        <is>
          <t>2024-05-02</t>
        </is>
      </c>
      <c r="B5276" t="inlineStr">
        <is>
          <t>한화</t>
        </is>
      </c>
      <c r="C5276" t="inlineStr">
        <is>
          <t>000880</t>
        </is>
      </c>
      <c r="D5276" t="inlineStr">
        <is>
          <t>별도</t>
        </is>
      </c>
      <c r="E5276" t="inlineStr">
        <is>
          <t>2024Q1</t>
        </is>
      </c>
      <c r="F5276" s="2" t="n">
        <v>1652430</v>
      </c>
      <c r="G5276" t="n">
        <v>-15.3</v>
      </c>
      <c r="H5276" t="n">
        <v>3.45</v>
      </c>
      <c r="I5276" s="2" t="n">
        <v>183672</v>
      </c>
      <c r="J5276" t="n">
        <v>1261.54</v>
      </c>
      <c r="K5276" t="n">
        <v>177.98</v>
      </c>
      <c r="L5276" s="2" t="n">
        <v>127958</v>
      </c>
      <c r="M5276" t="n">
        <v>193.93</v>
      </c>
      <c r="N5276" t="inlineStr">
        <is>
          <t>20240502800154</t>
        </is>
      </c>
      <c r="O5276">
        <f>HYPERLINK("https://dart.fss.or.kr/dsaf001/main.do?rcpNo=20240502800154", "공시열람")</f>
        <v/>
      </c>
    </row>
    <row r="5277">
      <c r="A5277" t="inlineStr">
        <is>
          <t>2024-05-02</t>
        </is>
      </c>
      <c r="B5277" t="inlineStr">
        <is>
          <t>동아쏘시오홀딩스</t>
        </is>
      </c>
      <c r="C5277" t="inlineStr">
        <is>
          <t>000640</t>
        </is>
      </c>
      <c r="D5277" t="inlineStr">
        <is>
          <t>연결</t>
        </is>
      </c>
      <c r="E5277" t="inlineStr">
        <is>
          <t>2024Q1</t>
        </is>
      </c>
      <c r="F5277" s="2" t="n">
        <v>304920</v>
      </c>
      <c r="G5277" t="n">
        <v>0.85</v>
      </c>
      <c r="H5277" t="n">
        <v>19.32</v>
      </c>
      <c r="I5277" s="2" t="n">
        <v>15549</v>
      </c>
      <c r="J5277" t="n">
        <v>-2.87</v>
      </c>
      <c r="K5277" t="n">
        <v>-5.67</v>
      </c>
      <c r="L5277" s="2" t="inlineStr"/>
      <c r="M5277" t="inlineStr"/>
      <c r="N5277" t="inlineStr">
        <is>
          <t>20240502800156</t>
        </is>
      </c>
      <c r="O5277">
        <f>HYPERLINK("https://dart.fss.or.kr/dsaf001/main.do?rcpNo=20240502800156", "공시열람")</f>
        <v/>
      </c>
    </row>
    <row r="5278">
      <c r="A5278" t="inlineStr">
        <is>
          <t>2024-05-02</t>
        </is>
      </c>
      <c r="B5278" t="inlineStr">
        <is>
          <t>레드캡투어</t>
        </is>
      </c>
      <c r="C5278" t="inlineStr">
        <is>
          <t>038390</t>
        </is>
      </c>
      <c r="D5278" t="inlineStr">
        <is>
          <t>연결</t>
        </is>
      </c>
      <c r="E5278" t="inlineStr">
        <is>
          <t>2024Q1</t>
        </is>
      </c>
      <c r="F5278" s="2" t="n">
        <v>94186</v>
      </c>
      <c r="G5278" t="inlineStr"/>
      <c r="H5278" t="inlineStr"/>
      <c r="I5278" s="2" t="n">
        <v>13030</v>
      </c>
      <c r="J5278" t="inlineStr"/>
      <c r="K5278" t="inlineStr"/>
      <c r="L5278" s="2" t="n">
        <v>6297</v>
      </c>
      <c r="M5278" t="inlineStr"/>
      <c r="N5278" t="inlineStr">
        <is>
          <t>20240502900147</t>
        </is>
      </c>
      <c r="O5278">
        <f>HYPERLINK("https://dart.fss.or.kr/dsaf001/main.do?rcpNo=20240502900147", "공시열람")</f>
        <v/>
      </c>
    </row>
    <row r="5279">
      <c r="A5279" t="inlineStr">
        <is>
          <t>2024-05-02</t>
        </is>
      </c>
      <c r="B5279" t="inlineStr">
        <is>
          <t>GKL</t>
        </is>
      </c>
      <c r="C5279" t="inlineStr">
        <is>
          <t>114090</t>
        </is>
      </c>
      <c r="D5279" t="inlineStr">
        <is>
          <t>별도</t>
        </is>
      </c>
      <c r="E5279" t="inlineStr">
        <is>
          <t>2024Q1</t>
        </is>
      </c>
      <c r="F5279" s="2" t="inlineStr"/>
      <c r="G5279" t="inlineStr"/>
      <c r="H5279" t="inlineStr"/>
      <c r="I5279" s="2" t="inlineStr"/>
      <c r="J5279" t="inlineStr"/>
      <c r="K5279" t="inlineStr"/>
      <c r="L5279" s="2" t="inlineStr"/>
      <c r="M5279" t="inlineStr"/>
      <c r="N5279" t="inlineStr">
        <is>
          <t>20240502800122</t>
        </is>
      </c>
      <c r="O5279">
        <f>HYPERLINK("https://dart.fss.or.kr/dsaf001/main.do?rcpNo=20240502800122", "공시열람")</f>
        <v/>
      </c>
    </row>
    <row r="5280">
      <c r="A5280" t="inlineStr">
        <is>
          <t>2024-05-02</t>
        </is>
      </c>
      <c r="B5280" t="inlineStr">
        <is>
          <t>대교</t>
        </is>
      </c>
      <c r="C5280" t="inlineStr">
        <is>
          <t>019680</t>
        </is>
      </c>
      <c r="D5280" t="inlineStr">
        <is>
          <t>연결</t>
        </is>
      </c>
      <c r="E5280" t="inlineStr">
        <is>
          <t>2024Q1</t>
        </is>
      </c>
      <c r="F5280" s="2" t="n">
        <v>165900</v>
      </c>
      <c r="G5280" t="n">
        <v>2</v>
      </c>
      <c r="H5280" t="n">
        <v>-3</v>
      </c>
      <c r="I5280" s="2" t="n">
        <v>-1100</v>
      </c>
      <c r="J5280" t="n">
        <v>26.7</v>
      </c>
      <c r="K5280" t="n">
        <v>76.59999999999999</v>
      </c>
      <c r="L5280" s="2" t="n">
        <v>14200</v>
      </c>
      <c r="M5280" t="inlineStr"/>
      <c r="N5280" t="inlineStr">
        <is>
          <t>20240502800116</t>
        </is>
      </c>
      <c r="O5280">
        <f>HYPERLINK("https://dart.fss.or.kr/dsaf001/main.do?rcpNo=20240502800116", "공시열람")</f>
        <v/>
      </c>
    </row>
    <row r="5281">
      <c r="A5281" t="inlineStr">
        <is>
          <t>2024-05-02</t>
        </is>
      </c>
      <c r="B5281" t="inlineStr">
        <is>
          <t>KG파이낸셜</t>
        </is>
      </c>
      <c r="C5281" t="inlineStr">
        <is>
          <t>046440</t>
        </is>
      </c>
      <c r="D5281" t="inlineStr">
        <is>
          <t>연결</t>
        </is>
      </c>
      <c r="E5281" t="inlineStr">
        <is>
          <t>2024Q1</t>
        </is>
      </c>
      <c r="F5281" s="2" t="n">
        <v>82086</v>
      </c>
      <c r="G5281" t="inlineStr"/>
      <c r="H5281" t="inlineStr"/>
      <c r="I5281" s="2" t="n">
        <v>9630</v>
      </c>
      <c r="J5281" t="inlineStr"/>
      <c r="K5281" t="inlineStr"/>
      <c r="L5281" s="2" t="inlineStr"/>
      <c r="M5281" t="inlineStr"/>
      <c r="N5281" t="inlineStr">
        <is>
          <t>20240502900104</t>
        </is>
      </c>
      <c r="O5281">
        <f>HYPERLINK("https://dart.fss.or.kr/dsaf001/main.do?rcpNo=20240502900104", "공시열람")</f>
        <v/>
      </c>
    </row>
    <row r="5282">
      <c r="A5282" t="inlineStr">
        <is>
          <t>2024-05-02</t>
        </is>
      </c>
      <c r="B5282" t="inlineStr">
        <is>
          <t>GC메디아이</t>
        </is>
      </c>
      <c r="C5282" t="inlineStr">
        <is>
          <t>032620</t>
        </is>
      </c>
      <c r="D5282" t="inlineStr">
        <is>
          <t>연결</t>
        </is>
      </c>
      <c r="E5282" t="inlineStr">
        <is>
          <t>2024Q1</t>
        </is>
      </c>
      <c r="F5282" s="2" t="n">
        <v>45499</v>
      </c>
      <c r="G5282" t="inlineStr"/>
      <c r="H5282" t="inlineStr"/>
      <c r="I5282" s="2" t="n">
        <v>95</v>
      </c>
      <c r="J5282" t="inlineStr"/>
      <c r="K5282" t="inlineStr"/>
      <c r="L5282" s="2" t="n">
        <v>-315</v>
      </c>
      <c r="M5282" t="inlineStr"/>
      <c r="N5282" t="inlineStr">
        <is>
          <t>20240502900100</t>
        </is>
      </c>
      <c r="O5282">
        <f>HYPERLINK("https://dart.fss.or.kr/dsaf001/main.do?rcpNo=20240502900100", "공시열람")</f>
        <v/>
      </c>
    </row>
    <row r="5283">
      <c r="A5283" t="inlineStr">
        <is>
          <t>2024-05-02</t>
        </is>
      </c>
      <c r="B5283" t="inlineStr">
        <is>
          <t>세아베스틸지주</t>
        </is>
      </c>
      <c r="C5283" t="inlineStr">
        <is>
          <t>001430</t>
        </is>
      </c>
      <c r="D5283" t="inlineStr">
        <is>
          <t>연결</t>
        </is>
      </c>
      <c r="E5283" t="inlineStr">
        <is>
          <t>2024Q1</t>
        </is>
      </c>
      <c r="F5283" s="2" t="n">
        <v>953055</v>
      </c>
      <c r="G5283" t="n">
        <v>7.3</v>
      </c>
      <c r="H5283" t="n">
        <v>-15.5</v>
      </c>
      <c r="I5283" s="2" t="n">
        <v>21275</v>
      </c>
      <c r="J5283" t="n">
        <v>1702.5</v>
      </c>
      <c r="K5283" t="n">
        <v>-70.3</v>
      </c>
      <c r="L5283" s="2" t="n">
        <v>16056</v>
      </c>
      <c r="M5283" t="n">
        <v>-71.7</v>
      </c>
      <c r="N5283" t="inlineStr">
        <is>
          <t>20240502800103</t>
        </is>
      </c>
      <c r="O5283">
        <f>HYPERLINK("https://dart.fss.or.kr/dsaf001/main.do?rcpNo=20240502800103", "공시열람")</f>
        <v/>
      </c>
    </row>
    <row r="5284">
      <c r="A5284" t="inlineStr">
        <is>
          <t>2024-05-02</t>
        </is>
      </c>
      <c r="B5284" t="inlineStr">
        <is>
          <t>DB하이텍</t>
        </is>
      </c>
      <c r="C5284" t="inlineStr">
        <is>
          <t>000990</t>
        </is>
      </c>
      <c r="D5284" t="inlineStr">
        <is>
          <t>연결</t>
        </is>
      </c>
      <c r="E5284" t="inlineStr">
        <is>
          <t>2024Q1</t>
        </is>
      </c>
      <c r="F5284" s="2" t="n">
        <v>261498</v>
      </c>
      <c r="G5284" t="n">
        <v>-6.42</v>
      </c>
      <c r="H5284" t="n">
        <v>-12.3</v>
      </c>
      <c r="I5284" s="2" t="n">
        <v>41129</v>
      </c>
      <c r="J5284" t="n">
        <v>-2.62</v>
      </c>
      <c r="K5284" t="n">
        <v>-50.44</v>
      </c>
      <c r="L5284" s="2" t="inlineStr"/>
      <c r="M5284" t="inlineStr"/>
      <c r="N5284" t="inlineStr">
        <is>
          <t>20240502800075</t>
        </is>
      </c>
      <c r="O5284">
        <f>HYPERLINK("https://dart.fss.or.kr/dsaf001/main.do?rcpNo=20240502800075", "공시열람")</f>
        <v/>
      </c>
    </row>
    <row r="5285">
      <c r="A5285" t="inlineStr">
        <is>
          <t>2024-05-02</t>
        </is>
      </c>
      <c r="B5285" t="inlineStr">
        <is>
          <t>하이브</t>
        </is>
      </c>
      <c r="C5285" t="inlineStr">
        <is>
          <t>352820</t>
        </is>
      </c>
      <c r="D5285" t="inlineStr">
        <is>
          <t>연결</t>
        </is>
      </c>
      <c r="E5285" t="inlineStr">
        <is>
          <t>2024Q1</t>
        </is>
      </c>
      <c r="F5285" s="2" t="n">
        <v>360900</v>
      </c>
      <c r="G5285" t="n">
        <v>-40.7</v>
      </c>
      <c r="H5285" t="n">
        <v>-12.1</v>
      </c>
      <c r="I5285" s="2" t="n">
        <v>14400</v>
      </c>
      <c r="J5285" t="n">
        <v>-83.8</v>
      </c>
      <c r="K5285" t="n">
        <v>-72.59999999999999</v>
      </c>
      <c r="L5285" s="2" t="n">
        <v>2900</v>
      </c>
      <c r="M5285" t="n">
        <v>-87.40000000000001</v>
      </c>
      <c r="N5285" t="inlineStr">
        <is>
          <t>20240502800066</t>
        </is>
      </c>
      <c r="O5285">
        <f>HYPERLINK("https://dart.fss.or.kr/dsaf001/main.do?rcpNo=20240502800066", "공시열람")</f>
        <v/>
      </c>
    </row>
    <row r="5286">
      <c r="A5286" t="inlineStr">
        <is>
          <t>2024-05-02</t>
        </is>
      </c>
      <c r="B5286" t="inlineStr">
        <is>
          <t>DL이앤씨</t>
        </is>
      </c>
      <c r="C5286" t="inlineStr">
        <is>
          <t>375500</t>
        </is>
      </c>
      <c r="D5286" t="inlineStr">
        <is>
          <t>연결</t>
        </is>
      </c>
      <c r="E5286" t="inlineStr">
        <is>
          <t>2024Q1</t>
        </is>
      </c>
      <c r="F5286" s="2" t="n">
        <v>1890538</v>
      </c>
      <c r="G5286" t="n">
        <v>-18.97</v>
      </c>
      <c r="H5286" t="n">
        <v>2.19</v>
      </c>
      <c r="I5286" s="2" t="n">
        <v>60892</v>
      </c>
      <c r="J5286" t="n">
        <v>-30.98</v>
      </c>
      <c r="K5286" t="n">
        <v>-32.46</v>
      </c>
      <c r="L5286" s="2" t="n">
        <v>25988</v>
      </c>
      <c r="M5286" t="n">
        <v>-72.28</v>
      </c>
      <c r="N5286" t="inlineStr">
        <is>
          <t>20240502800051</t>
        </is>
      </c>
      <c r="O5286">
        <f>HYPERLINK("https://dart.fss.or.kr/dsaf001/main.do?rcpNo=20240502800051", "공시열람")</f>
        <v/>
      </c>
    </row>
    <row r="5287">
      <c r="A5287" t="inlineStr">
        <is>
          <t>2024-05-02</t>
        </is>
      </c>
      <c r="B5287" t="inlineStr">
        <is>
          <t>디케이티</t>
        </is>
      </c>
      <c r="C5287" t="inlineStr">
        <is>
          <t>290550</t>
        </is>
      </c>
      <c r="D5287" t="inlineStr">
        <is>
          <t>연결</t>
        </is>
      </c>
      <c r="E5287" t="inlineStr">
        <is>
          <t>2024Q1</t>
        </is>
      </c>
      <c r="F5287" s="2" t="n">
        <v>115764</v>
      </c>
      <c r="G5287" t="inlineStr"/>
      <c r="H5287" t="inlineStr"/>
      <c r="I5287" s="2" t="n">
        <v>7679</v>
      </c>
      <c r="J5287" t="inlineStr"/>
      <c r="K5287" t="inlineStr"/>
      <c r="L5287" s="2" t="inlineStr"/>
      <c r="M5287" t="inlineStr"/>
      <c r="N5287" t="inlineStr">
        <is>
          <t>20240502900044</t>
        </is>
      </c>
      <c r="O5287">
        <f>HYPERLINK("https://dart.fss.or.kr/dsaf001/main.do?rcpNo=20240502900044", "공시열람")</f>
        <v/>
      </c>
    </row>
    <row r="5288">
      <c r="A5288" t="inlineStr">
        <is>
          <t>2024-05-02</t>
        </is>
      </c>
      <c r="B5288" t="inlineStr">
        <is>
          <t>DL</t>
        </is>
      </c>
      <c r="C5288" t="inlineStr">
        <is>
          <t>000210</t>
        </is>
      </c>
      <c r="D5288" t="inlineStr">
        <is>
          <t>연결</t>
        </is>
      </c>
      <c r="E5288" t="inlineStr">
        <is>
          <t>2024Q1</t>
        </is>
      </c>
      <c r="F5288" s="2" t="n">
        <v>1404109</v>
      </c>
      <c r="G5288" t="n">
        <v>12.58</v>
      </c>
      <c r="H5288" t="n">
        <v>9.07</v>
      </c>
      <c r="I5288" s="2" t="n">
        <v>172347</v>
      </c>
      <c r="J5288" t="n">
        <v>124.56</v>
      </c>
      <c r="K5288" t="n">
        <v>149.67</v>
      </c>
      <c r="L5288" s="2" t="n">
        <v>32102</v>
      </c>
      <c r="M5288" t="inlineStr"/>
      <c r="N5288" t="inlineStr">
        <is>
          <t>20240502800242</t>
        </is>
      </c>
      <c r="O5288">
        <f>HYPERLINK("https://dart.fss.or.kr/dsaf001/main.do?rcpNo=20240502800242", "공시열람")</f>
        <v/>
      </c>
    </row>
    <row r="5289">
      <c r="A5289" t="inlineStr">
        <is>
          <t>2024-05-02</t>
        </is>
      </c>
      <c r="B5289" t="inlineStr">
        <is>
          <t>키움증권</t>
        </is>
      </c>
      <c r="C5289" t="inlineStr">
        <is>
          <t>039490</t>
        </is>
      </c>
      <c r="D5289" t="inlineStr">
        <is>
          <t>연결</t>
        </is>
      </c>
      <c r="E5289" t="inlineStr">
        <is>
          <t>2024Q1</t>
        </is>
      </c>
      <c r="F5289" s="2" t="n">
        <v>2643342</v>
      </c>
      <c r="G5289" t="n">
        <v>23.2</v>
      </c>
      <c r="H5289" t="n">
        <v>-14.1</v>
      </c>
      <c r="I5289" s="2" t="n">
        <v>337678</v>
      </c>
      <c r="J5289" t="inlineStr"/>
      <c r="K5289" t="n">
        <v>-13.2</v>
      </c>
      <c r="L5289" s="2" t="n">
        <v>244830</v>
      </c>
      <c r="M5289" t="n">
        <v>-16.3</v>
      </c>
      <c r="N5289" t="inlineStr">
        <is>
          <t>20240502800038</t>
        </is>
      </c>
      <c r="O5289">
        <f>HYPERLINK("https://dart.fss.or.kr/dsaf001/main.do?rcpNo=20240502800038", "공시열람")</f>
        <v/>
      </c>
    </row>
    <row r="5290">
      <c r="A5290" t="inlineStr">
        <is>
          <t>2024-05-02</t>
        </is>
      </c>
      <c r="B5290" t="inlineStr">
        <is>
          <t>롯데관광개발</t>
        </is>
      </c>
      <c r="C5290" t="inlineStr">
        <is>
          <t>032350</t>
        </is>
      </c>
      <c r="D5290" t="inlineStr">
        <is>
          <t>연결</t>
        </is>
      </c>
      <c r="E5290" t="inlineStr">
        <is>
          <t>2024Q1</t>
        </is>
      </c>
      <c r="F5290" s="2" t="inlineStr"/>
      <c r="G5290" t="inlineStr"/>
      <c r="H5290" t="inlineStr"/>
      <c r="I5290" s="2" t="inlineStr"/>
      <c r="J5290" t="inlineStr"/>
      <c r="K5290" t="inlineStr"/>
      <c r="L5290" s="2" t="inlineStr"/>
      <c r="M5290" t="inlineStr"/>
      <c r="N5290" t="inlineStr">
        <is>
          <t>20240502800002</t>
        </is>
      </c>
      <c r="O5290">
        <f>HYPERLINK("https://dart.fss.or.kr/dsaf001/main.do?rcpNo=20240502800002", "공시열람")</f>
        <v/>
      </c>
    </row>
    <row r="5291">
      <c r="A5291" t="inlineStr">
        <is>
          <t>2024-05-02</t>
        </is>
      </c>
      <c r="B5291" t="inlineStr">
        <is>
          <t>SK바이오사이언스</t>
        </is>
      </c>
      <c r="C5291" t="inlineStr">
        <is>
          <t>302440</t>
        </is>
      </c>
      <c r="D5291" t="inlineStr">
        <is>
          <t>연결</t>
        </is>
      </c>
      <c r="E5291" t="inlineStr">
        <is>
          <t>2024Q1</t>
        </is>
      </c>
      <c r="F5291" s="2" t="n">
        <v>22271</v>
      </c>
      <c r="G5291" t="n">
        <v>-75.40000000000001</v>
      </c>
      <c r="H5291" t="n">
        <v>8.1</v>
      </c>
      <c r="I5291" s="2" t="n">
        <v>-28102</v>
      </c>
      <c r="J5291" t="n">
        <v>-233.5</v>
      </c>
      <c r="K5291" t="n">
        <v>3.7</v>
      </c>
      <c r="L5291" s="2" t="n">
        <v>-13718</v>
      </c>
      <c r="M5291" t="n">
        <v>3.9</v>
      </c>
      <c r="N5291" t="inlineStr">
        <is>
          <t>20240502800353</t>
        </is>
      </c>
      <c r="O5291">
        <f>HYPERLINK("https://dart.fss.or.kr/dsaf001/main.do?rcpNo=20240502800353", "공시열람")</f>
        <v/>
      </c>
    </row>
    <row r="5292">
      <c r="A5292" t="inlineStr">
        <is>
          <t>2024-05-02</t>
        </is>
      </c>
      <c r="B5292" t="inlineStr">
        <is>
          <t>에이피알</t>
        </is>
      </c>
      <c r="C5292" t="inlineStr">
        <is>
          <t>278470</t>
        </is>
      </c>
      <c r="D5292" t="inlineStr">
        <is>
          <t>연결</t>
        </is>
      </c>
      <c r="E5292" t="inlineStr">
        <is>
          <t>2024Q1</t>
        </is>
      </c>
      <c r="F5292" s="2" t="n">
        <v>148928</v>
      </c>
      <c r="G5292" t="n">
        <v>-2</v>
      </c>
      <c r="H5292" t="n">
        <v>21.9</v>
      </c>
      <c r="I5292" s="2" t="n">
        <v>27765</v>
      </c>
      <c r="J5292" t="n">
        <v>-19.2</v>
      </c>
      <c r="K5292" t="n">
        <v>19.7</v>
      </c>
      <c r="L5292" s="2" t="n">
        <v>24093</v>
      </c>
      <c r="M5292" t="n">
        <v>18.7</v>
      </c>
      <c r="N5292" t="inlineStr">
        <is>
          <t>20240502800155</t>
        </is>
      </c>
      <c r="O5292">
        <f>HYPERLINK("https://dart.fss.or.kr/dsaf001/main.do?rcpNo=20240502800155", "공시열람")</f>
        <v/>
      </c>
    </row>
    <row r="5293">
      <c r="A5293" t="inlineStr">
        <is>
          <t>2024-05-02</t>
        </is>
      </c>
      <c r="B5293" t="inlineStr">
        <is>
          <t>동아에스티</t>
        </is>
      </c>
      <c r="C5293" t="inlineStr">
        <is>
          <t>170900</t>
        </is>
      </c>
      <c r="D5293" t="inlineStr">
        <is>
          <t>별도</t>
        </is>
      </c>
      <c r="E5293" t="inlineStr">
        <is>
          <t>2024Q1</t>
        </is>
      </c>
      <c r="F5293" s="2" t="n">
        <v>140062</v>
      </c>
      <c r="G5293" t="n">
        <v>-15.5</v>
      </c>
      <c r="H5293" t="n">
        <v>3.7</v>
      </c>
      <c r="I5293" s="2" t="n">
        <v>735</v>
      </c>
      <c r="J5293" t="n">
        <v>-82.5</v>
      </c>
      <c r="K5293" t="n">
        <v>-89</v>
      </c>
      <c r="L5293" s="2" t="n">
        <v>1710</v>
      </c>
      <c r="M5293" t="n">
        <v>-81.3</v>
      </c>
      <c r="N5293" t="inlineStr">
        <is>
          <t>20240502800157</t>
        </is>
      </c>
      <c r="O5293">
        <f>HYPERLINK("https://dart.fss.or.kr/dsaf001/main.do?rcpNo=20240502800157", "공시열람")</f>
        <v/>
      </c>
    </row>
    <row r="5294">
      <c r="A5294" t="inlineStr">
        <is>
          <t>2024-05-02</t>
        </is>
      </c>
      <c r="B5294" t="inlineStr">
        <is>
          <t>넥센타이어</t>
        </is>
      </c>
      <c r="C5294" t="inlineStr">
        <is>
          <t>002350</t>
        </is>
      </c>
      <c r="D5294" t="inlineStr">
        <is>
          <t>연결</t>
        </is>
      </c>
      <c r="E5294" t="inlineStr">
        <is>
          <t>2024Q1</t>
        </is>
      </c>
      <c r="F5294" s="2" t="n">
        <v>678084</v>
      </c>
      <c r="G5294" t="inlineStr"/>
      <c r="H5294" t="inlineStr"/>
      <c r="I5294" s="2" t="n">
        <v>41551</v>
      </c>
      <c r="J5294" t="inlineStr"/>
      <c r="K5294" t="inlineStr"/>
      <c r="L5294" s="2" t="n">
        <v>40981</v>
      </c>
      <c r="M5294" t="inlineStr"/>
      <c r="N5294" t="inlineStr">
        <is>
          <t>20240502800162</t>
        </is>
      </c>
      <c r="O5294">
        <f>HYPERLINK("https://dart.fss.or.kr/dsaf001/main.do?rcpNo=20240502800162", "공시열람")</f>
        <v/>
      </c>
    </row>
    <row r="5295">
      <c r="A5295" t="inlineStr">
        <is>
          <t>2024-05-02</t>
        </is>
      </c>
      <c r="B5295" t="inlineStr">
        <is>
          <t>지씨셀</t>
        </is>
      </c>
      <c r="C5295" t="inlineStr">
        <is>
          <t>144510</t>
        </is>
      </c>
      <c r="D5295" t="inlineStr">
        <is>
          <t>연결</t>
        </is>
      </c>
      <c r="E5295" t="inlineStr">
        <is>
          <t>2024Q1</t>
        </is>
      </c>
      <c r="F5295" s="2" t="n">
        <v>41084</v>
      </c>
      <c r="G5295" t="inlineStr"/>
      <c r="H5295" t="inlineStr"/>
      <c r="I5295" s="2" t="n">
        <v>-5260</v>
      </c>
      <c r="J5295" t="inlineStr"/>
      <c r="K5295" t="inlineStr"/>
      <c r="L5295" s="2" t="n">
        <v>-9823</v>
      </c>
      <c r="M5295" t="inlineStr"/>
      <c r="N5295" t="inlineStr">
        <is>
          <t>20240502900164</t>
        </is>
      </c>
      <c r="O5295">
        <f>HYPERLINK("https://dart.fss.or.kr/dsaf001/main.do?rcpNo=20240502900164", "공시열람")</f>
        <v/>
      </c>
    </row>
    <row r="5296">
      <c r="A5296" t="inlineStr">
        <is>
          <t>2024-05-02</t>
        </is>
      </c>
      <c r="B5296" t="inlineStr">
        <is>
          <t>파라다이스</t>
        </is>
      </c>
      <c r="C5296" t="inlineStr">
        <is>
          <t>034230</t>
        </is>
      </c>
      <c r="D5296" t="inlineStr">
        <is>
          <t>연결</t>
        </is>
      </c>
      <c r="E5296" t="inlineStr">
        <is>
          <t>2024Q1</t>
        </is>
      </c>
      <c r="F5296" s="2" t="inlineStr"/>
      <c r="G5296" t="inlineStr"/>
      <c r="H5296" t="inlineStr"/>
      <c r="I5296" s="2" t="inlineStr"/>
      <c r="J5296" t="inlineStr"/>
      <c r="K5296" t="inlineStr"/>
      <c r="L5296" s="2" t="inlineStr"/>
      <c r="M5296" t="inlineStr"/>
      <c r="N5296" t="inlineStr">
        <is>
          <t>20240502900191</t>
        </is>
      </c>
      <c r="O5296">
        <f>HYPERLINK("https://dart.fss.or.kr/dsaf001/main.do?rcpNo=20240502900191", "공시열람")</f>
        <v/>
      </c>
    </row>
    <row r="5297">
      <c r="A5297" t="inlineStr">
        <is>
          <t>2024-05-02</t>
        </is>
      </c>
      <c r="B5297" t="inlineStr">
        <is>
          <t>KG이니시스</t>
        </is>
      </c>
      <c r="C5297" t="inlineStr">
        <is>
          <t>035600</t>
        </is>
      </c>
      <c r="D5297" t="inlineStr">
        <is>
          <t>연결</t>
        </is>
      </c>
      <c r="E5297" t="inlineStr">
        <is>
          <t>2024Q1</t>
        </is>
      </c>
      <c r="F5297" s="2" t="n">
        <v>368004</v>
      </c>
      <c r="G5297" t="inlineStr"/>
      <c r="H5297" t="inlineStr"/>
      <c r="I5297" s="2" t="n">
        <v>30174</v>
      </c>
      <c r="J5297" t="inlineStr"/>
      <c r="K5297" t="inlineStr"/>
      <c r="L5297" s="2" t="inlineStr"/>
      <c r="M5297" t="inlineStr"/>
      <c r="N5297" t="inlineStr">
        <is>
          <t>20240502900187</t>
        </is>
      </c>
      <c r="O5297">
        <f>HYPERLINK("https://dart.fss.or.kr/dsaf001/main.do?rcpNo=20240502900187", "공시열람")</f>
        <v/>
      </c>
    </row>
    <row r="5298">
      <c r="A5298" t="inlineStr">
        <is>
          <t>2024-05-02</t>
        </is>
      </c>
      <c r="B5298" t="inlineStr">
        <is>
          <t>에스티팜</t>
        </is>
      </c>
      <c r="C5298" t="inlineStr">
        <is>
          <t>237690</t>
        </is>
      </c>
      <c r="D5298" t="inlineStr">
        <is>
          <t>연결</t>
        </is>
      </c>
      <c r="E5298" t="inlineStr">
        <is>
          <t>2024Q1</t>
        </is>
      </c>
      <c r="F5298" s="2" t="n">
        <v>51721</v>
      </c>
      <c r="G5298" t="inlineStr"/>
      <c r="H5298" t="inlineStr"/>
      <c r="I5298" s="2" t="n">
        <v>1879</v>
      </c>
      <c r="J5298" t="inlineStr"/>
      <c r="K5298" t="inlineStr"/>
      <c r="L5298" s="2" t="n">
        <v>5423</v>
      </c>
      <c r="M5298" t="inlineStr"/>
      <c r="N5298" t="inlineStr">
        <is>
          <t>20240502900159</t>
        </is>
      </c>
      <c r="O5298">
        <f>HYPERLINK("https://dart.fss.or.kr/dsaf001/main.do?rcpNo=20240502900159", "공시열람")</f>
        <v/>
      </c>
    </row>
    <row r="5299">
      <c r="A5299" t="inlineStr">
        <is>
          <t>2024-05-02</t>
        </is>
      </c>
      <c r="B5299" t="inlineStr">
        <is>
          <t>녹십자웰빙</t>
        </is>
      </c>
      <c r="C5299" t="inlineStr">
        <is>
          <t>234690</t>
        </is>
      </c>
      <c r="D5299" t="inlineStr">
        <is>
          <t>별도</t>
        </is>
      </c>
      <c r="E5299" t="inlineStr">
        <is>
          <t>2024Q1</t>
        </is>
      </c>
      <c r="F5299" s="2" t="n">
        <v>33010</v>
      </c>
      <c r="G5299" t="inlineStr"/>
      <c r="H5299" t="inlineStr"/>
      <c r="I5299" s="2" t="n">
        <v>2747</v>
      </c>
      <c r="J5299" t="inlineStr"/>
      <c r="K5299" t="inlineStr"/>
      <c r="L5299" s="2" t="n">
        <v>1238</v>
      </c>
      <c r="M5299" t="inlineStr"/>
      <c r="N5299" t="inlineStr">
        <is>
          <t>20240502900239</t>
        </is>
      </c>
      <c r="O5299">
        <f>HYPERLINK("https://dart.fss.or.kr/dsaf001/main.do?rcpNo=20240502900239", "공시열람")</f>
        <v/>
      </c>
    </row>
    <row r="5300">
      <c r="A5300" t="inlineStr">
        <is>
          <t>2024-05-02</t>
        </is>
      </c>
      <c r="B5300" t="inlineStr">
        <is>
          <t>케이엔더블유</t>
        </is>
      </c>
      <c r="C5300" t="inlineStr">
        <is>
          <t>105330</t>
        </is>
      </c>
      <c r="D5300" t="inlineStr">
        <is>
          <t>연결</t>
        </is>
      </c>
      <c r="E5300" t="inlineStr">
        <is>
          <t>2024Q1</t>
        </is>
      </c>
      <c r="F5300" s="2" t="n">
        <v>17863</v>
      </c>
      <c r="G5300" t="inlineStr"/>
      <c r="H5300" t="inlineStr"/>
      <c r="I5300" s="2" t="n">
        <v>810</v>
      </c>
      <c r="J5300" t="inlineStr"/>
      <c r="K5300" t="inlineStr"/>
      <c r="L5300" s="2" t="n">
        <v>1243</v>
      </c>
      <c r="M5300" t="inlineStr"/>
      <c r="N5300" t="inlineStr">
        <is>
          <t>20240502900346</t>
        </is>
      </c>
      <c r="O5300">
        <f>HYPERLINK("https://dart.fss.or.kr/dsaf001/main.do?rcpNo=20240502900346", "공시열람")</f>
        <v/>
      </c>
    </row>
    <row r="5301">
      <c r="A5301" t="inlineStr">
        <is>
          <t>2024-04-30</t>
        </is>
      </c>
      <c r="B5301" t="inlineStr">
        <is>
          <t>두산퓨얼셀</t>
        </is>
      </c>
      <c r="C5301" t="inlineStr">
        <is>
          <t>336260</t>
        </is>
      </c>
      <c r="D5301" t="inlineStr">
        <is>
          <t>연결</t>
        </is>
      </c>
      <c r="E5301" t="inlineStr">
        <is>
          <t>2024Q1</t>
        </is>
      </c>
      <c r="F5301" s="2" t="n">
        <v>31691</v>
      </c>
      <c r="G5301" t="inlineStr"/>
      <c r="H5301" t="inlineStr"/>
      <c r="I5301" s="2" t="n">
        <v>1649</v>
      </c>
      <c r="J5301" t="inlineStr"/>
      <c r="K5301" t="inlineStr"/>
      <c r="L5301" s="2" t="n">
        <v>-240</v>
      </c>
      <c r="M5301" t="inlineStr"/>
      <c r="N5301" t="inlineStr">
        <is>
          <t>20240430800528</t>
        </is>
      </c>
      <c r="O5301">
        <f>HYPERLINK("https://dart.fss.or.kr/dsaf001/main.do?rcpNo=20240430800528", "공시열람")</f>
        <v/>
      </c>
    </row>
    <row r="5302">
      <c r="A5302" t="inlineStr">
        <is>
          <t>2024-04-30</t>
        </is>
      </c>
      <c r="B5302" t="inlineStr">
        <is>
          <t>한국앤컴퍼니</t>
        </is>
      </c>
      <c r="C5302" t="inlineStr">
        <is>
          <t>000240</t>
        </is>
      </c>
      <c r="D5302" t="inlineStr">
        <is>
          <t>연결</t>
        </is>
      </c>
      <c r="E5302" t="inlineStr">
        <is>
          <t>2024Q1</t>
        </is>
      </c>
      <c r="F5302" s="2" t="n">
        <v>347191</v>
      </c>
      <c r="G5302" t="inlineStr"/>
      <c r="H5302" t="inlineStr"/>
      <c r="I5302" s="2" t="n">
        <v>124242</v>
      </c>
      <c r="J5302" t="inlineStr"/>
      <c r="K5302" t="inlineStr"/>
      <c r="L5302" s="2" t="n">
        <v>114178</v>
      </c>
      <c r="M5302" t="inlineStr"/>
      <c r="N5302" t="inlineStr">
        <is>
          <t>20240430800812</t>
        </is>
      </c>
      <c r="O5302">
        <f>HYPERLINK("https://dart.fss.or.kr/dsaf001/main.do?rcpNo=20240430800812", "공시열람")</f>
        <v/>
      </c>
    </row>
    <row r="5303">
      <c r="A5303" t="inlineStr">
        <is>
          <t>2024-04-30</t>
        </is>
      </c>
      <c r="B5303" t="inlineStr">
        <is>
          <t>삼성전자</t>
        </is>
      </c>
      <c r="C5303" t="inlineStr">
        <is>
          <t>005930</t>
        </is>
      </c>
      <c r="D5303" t="inlineStr">
        <is>
          <t>연결</t>
        </is>
      </c>
      <c r="E5303" t="inlineStr">
        <is>
          <t>2024Q1</t>
        </is>
      </c>
      <c r="F5303" s="2" t="n">
        <v>72</v>
      </c>
      <c r="G5303" t="n">
        <v>6.1</v>
      </c>
      <c r="H5303" t="n">
        <v>12.82</v>
      </c>
      <c r="I5303" s="2" t="n">
        <v>7</v>
      </c>
      <c r="J5303" t="n">
        <v>133.87</v>
      </c>
      <c r="K5303" t="n">
        <v>931.87</v>
      </c>
      <c r="L5303" s="2" t="inlineStr"/>
      <c r="M5303" t="inlineStr"/>
      <c r="N5303" t="inlineStr">
        <is>
          <t>20240430800066</t>
        </is>
      </c>
      <c r="O5303">
        <f>HYPERLINK("https://dart.fss.or.kr/dsaf001/main.do?rcpNo=20240430800066", "공시열람")</f>
        <v/>
      </c>
    </row>
    <row r="5304">
      <c r="A5304" t="inlineStr">
        <is>
          <t>2024-04-30</t>
        </is>
      </c>
      <c r="B5304" t="inlineStr">
        <is>
          <t>풍산홀딩스</t>
        </is>
      </c>
      <c r="C5304" t="inlineStr">
        <is>
          <t>005810</t>
        </is>
      </c>
      <c r="D5304" t="inlineStr">
        <is>
          <t>별도</t>
        </is>
      </c>
      <c r="E5304" t="inlineStr">
        <is>
          <t>2024Q1</t>
        </is>
      </c>
      <c r="F5304" s="2" t="n">
        <v>38036</v>
      </c>
      <c r="G5304" t="n">
        <v>5.3</v>
      </c>
      <c r="H5304" t="n">
        <v>-4.6</v>
      </c>
      <c r="I5304" s="2" t="n">
        <v>13863</v>
      </c>
      <c r="J5304" t="n">
        <v>3017</v>
      </c>
      <c r="K5304" t="n">
        <v>7.7</v>
      </c>
      <c r="L5304" s="2" t="n">
        <v>13312</v>
      </c>
      <c r="M5304" t="n">
        <v>8</v>
      </c>
      <c r="N5304" t="inlineStr">
        <is>
          <t>20240430800361</t>
        </is>
      </c>
      <c r="O5304">
        <f>HYPERLINK("https://dart.fss.or.kr/dsaf001/main.do?rcpNo=20240430800361", "공시열람")</f>
        <v/>
      </c>
    </row>
    <row r="5305">
      <c r="A5305" t="inlineStr">
        <is>
          <t>2024-04-30</t>
        </is>
      </c>
      <c r="B5305" t="inlineStr">
        <is>
          <t>풍산</t>
        </is>
      </c>
      <c r="C5305" t="inlineStr">
        <is>
          <t>103140</t>
        </is>
      </c>
      <c r="D5305" t="inlineStr">
        <is>
          <t>연결</t>
        </is>
      </c>
      <c r="E5305" t="inlineStr">
        <is>
          <t>2024Q1</t>
        </is>
      </c>
      <c r="F5305" s="2" t="n">
        <v>963531</v>
      </c>
      <c r="G5305" t="n">
        <v>-13.5</v>
      </c>
      <c r="H5305" t="n">
        <v>-7.8</v>
      </c>
      <c r="I5305" s="2" t="n">
        <v>54231</v>
      </c>
      <c r="J5305" t="n">
        <v>-6.5</v>
      </c>
      <c r="K5305" t="n">
        <v>-36.1</v>
      </c>
      <c r="L5305" s="2" t="n">
        <v>36892</v>
      </c>
      <c r="M5305" t="n">
        <v>-32</v>
      </c>
      <c r="N5305" t="inlineStr">
        <is>
          <t>20240430800351</t>
        </is>
      </c>
      <c r="O5305">
        <f>HYPERLINK("https://dart.fss.or.kr/dsaf001/main.do?rcpNo=20240430800351", "공시열람")</f>
        <v/>
      </c>
    </row>
    <row r="5306">
      <c r="A5306" t="inlineStr">
        <is>
          <t>2024-04-30</t>
        </is>
      </c>
      <c r="B5306" t="inlineStr">
        <is>
          <t>풍산</t>
        </is>
      </c>
      <c r="C5306" t="inlineStr">
        <is>
          <t>103140</t>
        </is>
      </c>
      <c r="D5306" t="inlineStr">
        <is>
          <t>별도</t>
        </is>
      </c>
      <c r="E5306" t="inlineStr">
        <is>
          <t>2024Q1</t>
        </is>
      </c>
      <c r="F5306" s="2" t="n">
        <v>715031</v>
      </c>
      <c r="G5306" t="n">
        <v>-18.8</v>
      </c>
      <c r="H5306" t="n">
        <v>-7.3</v>
      </c>
      <c r="I5306" s="2" t="n">
        <v>35215</v>
      </c>
      <c r="J5306" t="n">
        <v>-38.3</v>
      </c>
      <c r="K5306" t="n">
        <v>-40.3</v>
      </c>
      <c r="L5306" s="2" t="n">
        <v>36892</v>
      </c>
      <c r="M5306" t="n">
        <v>-32</v>
      </c>
      <c r="N5306" t="inlineStr">
        <is>
          <t>20240430800347</t>
        </is>
      </c>
      <c r="O5306">
        <f>HYPERLINK("https://dart.fss.or.kr/dsaf001/main.do?rcpNo=20240430800347", "공시열람")</f>
        <v/>
      </c>
    </row>
    <row r="5307">
      <c r="A5307" t="inlineStr">
        <is>
          <t>2024-04-30</t>
        </is>
      </c>
      <c r="B5307" t="inlineStr">
        <is>
          <t>한국항공우주</t>
        </is>
      </c>
      <c r="C5307" t="inlineStr">
        <is>
          <t>047810</t>
        </is>
      </c>
      <c r="D5307" t="inlineStr">
        <is>
          <t>연결</t>
        </is>
      </c>
      <c r="E5307" t="inlineStr">
        <is>
          <t>2024Q1</t>
        </is>
      </c>
      <c r="F5307" s="2" t="n">
        <v>739900</v>
      </c>
      <c r="G5307" t="n">
        <v>-51</v>
      </c>
      <c r="H5307" t="n">
        <v>30.1</v>
      </c>
      <c r="I5307" s="2" t="n">
        <v>48000</v>
      </c>
      <c r="J5307" t="n">
        <v>-68.90000000000001</v>
      </c>
      <c r="K5307" t="n">
        <v>147.5</v>
      </c>
      <c r="L5307" s="2" t="n">
        <v>35200</v>
      </c>
      <c r="M5307" t="n">
        <v>18.7</v>
      </c>
      <c r="N5307" t="inlineStr">
        <is>
          <t>20240430800339</t>
        </is>
      </c>
      <c r="O5307">
        <f>HYPERLINK("https://dart.fss.or.kr/dsaf001/main.do?rcpNo=20240430800339", "공시열람")</f>
        <v/>
      </c>
    </row>
    <row r="5308">
      <c r="A5308" t="inlineStr">
        <is>
          <t>2024-04-30</t>
        </is>
      </c>
      <c r="B5308" t="inlineStr">
        <is>
          <t>한화손해보험</t>
        </is>
      </c>
      <c r="C5308" t="inlineStr">
        <is>
          <t>000370</t>
        </is>
      </c>
      <c r="D5308" t="inlineStr">
        <is>
          <t>별도</t>
        </is>
      </c>
      <c r="E5308" t="inlineStr">
        <is>
          <t>2024Q1</t>
        </is>
      </c>
      <c r="F5308" s="2" t="n">
        <v>1456358</v>
      </c>
      <c r="G5308" t="n">
        <v>10.9</v>
      </c>
      <c r="H5308" t="n">
        <v>-1</v>
      </c>
      <c r="I5308" s="2" t="n">
        <v>172508</v>
      </c>
      <c r="J5308" t="n">
        <v>197.7</v>
      </c>
      <c r="K5308" t="n">
        <v>38.9</v>
      </c>
      <c r="L5308" s="2" t="n">
        <v>124856</v>
      </c>
      <c r="M5308" t="n">
        <v>25.5</v>
      </c>
      <c r="N5308" t="inlineStr">
        <is>
          <t>20240430800340</t>
        </is>
      </c>
      <c r="O5308">
        <f>HYPERLINK("https://dart.fss.or.kr/dsaf001/main.do?rcpNo=20240430800340", "공시열람")</f>
        <v/>
      </c>
    </row>
    <row r="5309">
      <c r="A5309" t="inlineStr">
        <is>
          <t>2024-04-30</t>
        </is>
      </c>
      <c r="B5309" t="inlineStr">
        <is>
          <t>에스앤에스텍</t>
        </is>
      </c>
      <c r="C5309" t="inlineStr">
        <is>
          <t>101490</t>
        </is>
      </c>
      <c r="D5309" t="inlineStr">
        <is>
          <t>연결</t>
        </is>
      </c>
      <c r="E5309" t="inlineStr">
        <is>
          <t>2024Q1</t>
        </is>
      </c>
      <c r="F5309" s="2" t="n">
        <v>41771</v>
      </c>
      <c r="G5309" t="inlineStr"/>
      <c r="H5309" t="inlineStr"/>
      <c r="I5309" s="2" t="n">
        <v>7369</v>
      </c>
      <c r="J5309" t="inlineStr"/>
      <c r="K5309" t="inlineStr"/>
      <c r="L5309" s="2" t="n">
        <v>7658</v>
      </c>
      <c r="M5309" t="inlineStr"/>
      <c r="N5309" t="inlineStr">
        <is>
          <t>20240430900320</t>
        </is>
      </c>
      <c r="O5309">
        <f>HYPERLINK("https://dart.fss.or.kr/dsaf001/main.do?rcpNo=20240430900320", "공시열람")</f>
        <v/>
      </c>
    </row>
    <row r="5310">
      <c r="A5310" t="inlineStr">
        <is>
          <t>2024-04-30</t>
        </is>
      </c>
      <c r="B5310" t="inlineStr">
        <is>
          <t>현대오토에버</t>
        </is>
      </c>
      <c r="C5310" t="inlineStr">
        <is>
          <t>307950</t>
        </is>
      </c>
      <c r="D5310" t="inlineStr">
        <is>
          <t>연결</t>
        </is>
      </c>
      <c r="E5310" t="inlineStr">
        <is>
          <t>2024Q1</t>
        </is>
      </c>
      <c r="F5310" s="2" t="n">
        <v>731292</v>
      </c>
      <c r="G5310" t="n">
        <v>-18.7</v>
      </c>
      <c r="H5310" t="n">
        <v>9.800000000000001</v>
      </c>
      <c r="I5310" s="2" t="n">
        <v>30740</v>
      </c>
      <c r="J5310" t="n">
        <v>-41.8</v>
      </c>
      <c r="K5310" t="n">
        <v>0.5</v>
      </c>
      <c r="L5310" s="2" t="n">
        <v>26095</v>
      </c>
      <c r="M5310" t="n">
        <v>-17.9</v>
      </c>
      <c r="N5310" t="inlineStr">
        <is>
          <t>20240430800309</t>
        </is>
      </c>
      <c r="O5310">
        <f>HYPERLINK("https://dart.fss.or.kr/dsaf001/main.do?rcpNo=20240430800309", "공시열람")</f>
        <v/>
      </c>
    </row>
    <row r="5311">
      <c r="A5311" t="inlineStr">
        <is>
          <t>2024-04-30</t>
        </is>
      </c>
      <c r="B5311" t="inlineStr">
        <is>
          <t>현대제철</t>
        </is>
      </c>
      <c r="C5311" t="inlineStr">
        <is>
          <t>004020</t>
        </is>
      </c>
      <c r="D5311" t="inlineStr">
        <is>
          <t>별도</t>
        </is>
      </c>
      <c r="E5311" t="inlineStr">
        <is>
          <t>2024Q1</t>
        </is>
      </c>
      <c r="F5311" s="2" t="n">
        <v>4819400</v>
      </c>
      <c r="G5311" t="n">
        <v>-1.6</v>
      </c>
      <c r="H5311" t="n">
        <v>-14</v>
      </c>
      <c r="I5311" s="2" t="n">
        <v>89000</v>
      </c>
      <c r="J5311" t="inlineStr"/>
      <c r="K5311" t="n">
        <v>-74</v>
      </c>
      <c r="L5311" s="2" t="n">
        <v>102400</v>
      </c>
      <c r="M5311" t="n">
        <v>-60.5</v>
      </c>
      <c r="N5311" t="inlineStr">
        <is>
          <t>20240430800288</t>
        </is>
      </c>
      <c r="O5311">
        <f>HYPERLINK("https://dart.fss.or.kr/dsaf001/main.do?rcpNo=20240430800288", "공시열람")</f>
        <v/>
      </c>
    </row>
    <row r="5312">
      <c r="A5312" t="inlineStr">
        <is>
          <t>2024-04-30</t>
        </is>
      </c>
      <c r="B5312" t="inlineStr">
        <is>
          <t>현대제철</t>
        </is>
      </c>
      <c r="C5312" t="inlineStr">
        <is>
          <t>004020</t>
        </is>
      </c>
      <c r="D5312" t="inlineStr">
        <is>
          <t>연결</t>
        </is>
      </c>
      <c r="E5312" t="inlineStr">
        <is>
          <t>2024Q1</t>
        </is>
      </c>
      <c r="F5312" s="2" t="n">
        <v>5947800</v>
      </c>
      <c r="G5312" t="n">
        <v>-2.6</v>
      </c>
      <c r="H5312" t="n">
        <v>-6.9</v>
      </c>
      <c r="I5312" s="2" t="n">
        <v>55800</v>
      </c>
      <c r="J5312" t="inlineStr"/>
      <c r="K5312" t="n">
        <v>-83.3</v>
      </c>
      <c r="L5312" s="2" t="n">
        <v>32200</v>
      </c>
      <c r="M5312" t="n">
        <v>-85.2</v>
      </c>
      <c r="N5312" t="inlineStr">
        <is>
          <t>20240430800284</t>
        </is>
      </c>
      <c r="O5312">
        <f>HYPERLINK("https://dart.fss.or.kr/dsaf001/main.do?rcpNo=20240430800284", "공시열람")</f>
        <v/>
      </c>
    </row>
    <row r="5313">
      <c r="A5313" t="inlineStr">
        <is>
          <t>2024-04-30</t>
        </is>
      </c>
      <c r="B5313" t="inlineStr">
        <is>
          <t>폰드그룹</t>
        </is>
      </c>
      <c r="C5313" t="inlineStr">
        <is>
          <t>472850</t>
        </is>
      </c>
      <c r="D5313" t="inlineStr">
        <is>
          <t>연결</t>
        </is>
      </c>
      <c r="E5313" t="inlineStr">
        <is>
          <t>2024Q1</t>
        </is>
      </c>
      <c r="F5313" s="2" t="n">
        <v>75592</v>
      </c>
      <c r="G5313" t="inlineStr"/>
      <c r="H5313" t="inlineStr"/>
      <c r="I5313" s="2" t="n">
        <v>10274</v>
      </c>
      <c r="J5313" t="inlineStr"/>
      <c r="K5313" t="inlineStr"/>
      <c r="L5313" s="2" t="inlineStr"/>
      <c r="M5313" t="inlineStr"/>
      <c r="N5313" t="inlineStr">
        <is>
          <t>20240430900056</t>
        </is>
      </c>
      <c r="O5313">
        <f>HYPERLINK("https://dart.fss.or.kr/dsaf001/main.do?rcpNo=20240430900056", "공시열람")</f>
        <v/>
      </c>
    </row>
    <row r="5314">
      <c r="A5314" t="inlineStr">
        <is>
          <t>2024-04-30</t>
        </is>
      </c>
      <c r="B5314" t="inlineStr">
        <is>
          <t>삼성SDI</t>
        </is>
      </c>
      <c r="C5314" t="inlineStr">
        <is>
          <t>006400</t>
        </is>
      </c>
      <c r="D5314" t="inlineStr">
        <is>
          <t>연결</t>
        </is>
      </c>
      <c r="E5314" t="inlineStr">
        <is>
          <t>2024Q1</t>
        </is>
      </c>
      <c r="F5314" s="2" t="n">
        <v>5130893</v>
      </c>
      <c r="G5314" t="n">
        <v>-7.8</v>
      </c>
      <c r="H5314" t="n">
        <v>-4.2</v>
      </c>
      <c r="I5314" s="2" t="n">
        <v>267381</v>
      </c>
      <c r="J5314" t="n">
        <v>-14.2</v>
      </c>
      <c r="K5314" t="n">
        <v>-28.8</v>
      </c>
      <c r="L5314" s="2" t="n">
        <v>286689</v>
      </c>
      <c r="M5314" t="n">
        <v>-38.3</v>
      </c>
      <c r="N5314" t="inlineStr">
        <is>
          <t>20240430800067</t>
        </is>
      </c>
      <c r="O5314">
        <f>HYPERLINK("https://dart.fss.or.kr/dsaf001/main.do?rcpNo=20240430800067", "공시열람")</f>
        <v/>
      </c>
    </row>
    <row r="5315">
      <c r="A5315" t="inlineStr">
        <is>
          <t>2024-04-30</t>
        </is>
      </c>
      <c r="B5315" t="inlineStr">
        <is>
          <t>한올바이오파마</t>
        </is>
      </c>
      <c r="C5315" t="inlineStr">
        <is>
          <t>009420</t>
        </is>
      </c>
      <c r="D5315" t="inlineStr">
        <is>
          <t>연결</t>
        </is>
      </c>
      <c r="E5315" t="inlineStr">
        <is>
          <t>2024Q1</t>
        </is>
      </c>
      <c r="F5315" s="2" t="n">
        <v>34094</v>
      </c>
      <c r="G5315" t="n">
        <v>7.5</v>
      </c>
      <c r="H5315" t="n">
        <v>18.4</v>
      </c>
      <c r="I5315" s="2" t="n">
        <v>119</v>
      </c>
      <c r="J5315" t="inlineStr"/>
      <c r="K5315" t="inlineStr"/>
      <c r="L5315" s="2" t="n">
        <v>-323</v>
      </c>
      <c r="M5315" t="n">
        <v>74.2</v>
      </c>
      <c r="N5315" t="inlineStr">
        <is>
          <t>20240430800387</t>
        </is>
      </c>
      <c r="O5315">
        <f>HYPERLINK("https://dart.fss.or.kr/dsaf001/main.do?rcpNo=20240430800387", "공시열람")</f>
        <v/>
      </c>
    </row>
    <row r="5316">
      <c r="A5316" t="inlineStr">
        <is>
          <t>2024-04-30</t>
        </is>
      </c>
      <c r="B5316" t="inlineStr">
        <is>
          <t>HL D&amp;I</t>
        </is>
      </c>
      <c r="C5316" t="inlineStr">
        <is>
          <t>014790</t>
        </is>
      </c>
      <c r="D5316" t="inlineStr">
        <is>
          <t>연결</t>
        </is>
      </c>
      <c r="E5316" t="inlineStr">
        <is>
          <t>2024Q1</t>
        </is>
      </c>
      <c r="F5316" s="2" t="n">
        <v>398523</v>
      </c>
      <c r="G5316" t="n">
        <v>-8</v>
      </c>
      <c r="H5316" t="n">
        <v>18.4</v>
      </c>
      <c r="I5316" s="2" t="n">
        <v>18329</v>
      </c>
      <c r="J5316" t="n">
        <v>-12.5</v>
      </c>
      <c r="K5316" t="n">
        <v>105.6</v>
      </c>
      <c r="L5316" s="2" t="n">
        <v>11912</v>
      </c>
      <c r="M5316" t="n">
        <v>108.2</v>
      </c>
      <c r="N5316" t="inlineStr">
        <is>
          <t>20240430800071</t>
        </is>
      </c>
      <c r="O5316">
        <f>HYPERLINK("https://dart.fss.or.kr/dsaf001/main.do?rcpNo=20240430800071", "공시열람")</f>
        <v/>
      </c>
    </row>
    <row r="5317">
      <c r="A5317" t="inlineStr">
        <is>
          <t>2024-04-30</t>
        </is>
      </c>
      <c r="B5317" t="inlineStr">
        <is>
          <t>PI첨단소재</t>
        </is>
      </c>
      <c r="C5317" t="inlineStr">
        <is>
          <t>178920</t>
        </is>
      </c>
      <c r="D5317" t="inlineStr">
        <is>
          <t>별도</t>
        </is>
      </c>
      <c r="E5317" t="inlineStr">
        <is>
          <t>2024Q1</t>
        </is>
      </c>
      <c r="F5317" s="2" t="n">
        <v>51807</v>
      </c>
      <c r="G5317" t="inlineStr"/>
      <c r="H5317" t="inlineStr"/>
      <c r="I5317" s="2" t="n">
        <v>2470</v>
      </c>
      <c r="J5317" t="inlineStr"/>
      <c r="K5317" t="inlineStr"/>
      <c r="L5317" s="2" t="n">
        <v>1486</v>
      </c>
      <c r="M5317" t="inlineStr"/>
      <c r="N5317" t="inlineStr">
        <is>
          <t>20240430800153</t>
        </is>
      </c>
      <c r="O5317">
        <f>HYPERLINK("https://dart.fss.or.kr/dsaf001/main.do?rcpNo=20240430800153", "공시열람")</f>
        <v/>
      </c>
    </row>
    <row r="5318">
      <c r="A5318" t="inlineStr">
        <is>
          <t>2024-04-30</t>
        </is>
      </c>
      <c r="B5318" t="inlineStr">
        <is>
          <t>샘씨엔에스</t>
        </is>
      </c>
      <c r="C5318" t="inlineStr">
        <is>
          <t>252990</t>
        </is>
      </c>
      <c r="D5318" t="inlineStr">
        <is>
          <t>별도</t>
        </is>
      </c>
      <c r="E5318" t="inlineStr">
        <is>
          <t>2024Q1</t>
        </is>
      </c>
      <c r="F5318" s="2" t="n">
        <v>10903</v>
      </c>
      <c r="G5318" t="inlineStr"/>
      <c r="H5318" t="inlineStr"/>
      <c r="I5318" s="2" t="n">
        <v>601</v>
      </c>
      <c r="J5318" t="inlineStr"/>
      <c r="K5318" t="inlineStr"/>
      <c r="L5318" s="2" t="n">
        <v>722</v>
      </c>
      <c r="M5318" t="inlineStr"/>
      <c r="N5318" t="inlineStr">
        <is>
          <t>20240430900156</t>
        </is>
      </c>
      <c r="O5318">
        <f>HYPERLINK("https://dart.fss.or.kr/dsaf001/main.do?rcpNo=20240430900156", "공시열람")</f>
        <v/>
      </c>
    </row>
    <row r="5319">
      <c r="A5319" t="inlineStr">
        <is>
          <t>2024-04-30</t>
        </is>
      </c>
      <c r="B5319" t="inlineStr">
        <is>
          <t>현대위아</t>
        </is>
      </c>
      <c r="C5319" t="inlineStr">
        <is>
          <t>011210</t>
        </is>
      </c>
      <c r="D5319" t="inlineStr">
        <is>
          <t>연결</t>
        </is>
      </c>
      <c r="E5319" t="inlineStr">
        <is>
          <t>2024Q1</t>
        </is>
      </c>
      <c r="F5319" s="2" t="n">
        <v>2141584</v>
      </c>
      <c r="G5319" t="n">
        <v>1.4</v>
      </c>
      <c r="H5319" t="n">
        <v>2.2</v>
      </c>
      <c r="I5319" s="2" t="n">
        <v>59753</v>
      </c>
      <c r="J5319" t="n">
        <v>33.5</v>
      </c>
      <c r="K5319" t="n">
        <v>17.3</v>
      </c>
      <c r="L5319" s="2" t="n">
        <v>36684</v>
      </c>
      <c r="M5319" t="n">
        <v>176.1</v>
      </c>
      <c r="N5319" t="inlineStr">
        <is>
          <t>20240430800167</t>
        </is>
      </c>
      <c r="O5319">
        <f>HYPERLINK("https://dart.fss.or.kr/dsaf001/main.do?rcpNo=20240430800167", "공시열람")</f>
        <v/>
      </c>
    </row>
    <row r="5320">
      <c r="A5320" t="inlineStr">
        <is>
          <t>2024-04-30</t>
        </is>
      </c>
      <c r="B5320" t="inlineStr">
        <is>
          <t>환인제약</t>
        </is>
      </c>
      <c r="C5320" t="inlineStr">
        <is>
          <t>016580</t>
        </is>
      </c>
      <c r="D5320" t="inlineStr">
        <is>
          <t>연결</t>
        </is>
      </c>
      <c r="E5320" t="inlineStr">
        <is>
          <t>2024Q1</t>
        </is>
      </c>
      <c r="F5320" s="2" t="n">
        <v>61610</v>
      </c>
      <c r="G5320" t="n">
        <v>5.5</v>
      </c>
      <c r="H5320" t="n">
        <v>10.9</v>
      </c>
      <c r="I5320" s="2" t="n">
        <v>8318</v>
      </c>
      <c r="J5320" t="n">
        <v>28.9</v>
      </c>
      <c r="K5320" t="n">
        <v>12.6</v>
      </c>
      <c r="L5320" s="2" t="n">
        <v>9071</v>
      </c>
      <c r="M5320" t="n">
        <v>27.9</v>
      </c>
      <c r="N5320" t="inlineStr">
        <is>
          <t>20240430800169</t>
        </is>
      </c>
      <c r="O5320">
        <f>HYPERLINK("https://dart.fss.or.kr/dsaf001/main.do?rcpNo=20240430800169", "공시열람")</f>
        <v/>
      </c>
    </row>
    <row r="5321">
      <c r="A5321" t="inlineStr">
        <is>
          <t>2024-04-30</t>
        </is>
      </c>
      <c r="B5321" t="inlineStr">
        <is>
          <t>아가방컴퍼니</t>
        </is>
      </c>
      <c r="C5321" t="inlineStr">
        <is>
          <t>013990</t>
        </is>
      </c>
      <c r="D5321" t="inlineStr">
        <is>
          <t>연결</t>
        </is>
      </c>
      <c r="E5321" t="inlineStr">
        <is>
          <t>2024Q1</t>
        </is>
      </c>
      <c r="F5321" s="2" t="n">
        <v>44984</v>
      </c>
      <c r="G5321" t="inlineStr"/>
      <c r="H5321" t="inlineStr"/>
      <c r="I5321" s="2" t="n">
        <v>2034</v>
      </c>
      <c r="J5321" t="inlineStr"/>
      <c r="K5321" t="inlineStr"/>
      <c r="L5321" s="2" t="n">
        <v>1214</v>
      </c>
      <c r="M5321" t="inlineStr"/>
      <c r="N5321" t="inlineStr">
        <is>
          <t>20240430900178</t>
        </is>
      </c>
      <c r="O5321">
        <f>HYPERLINK("https://dart.fss.or.kr/dsaf001/main.do?rcpNo=20240430900178", "공시열람")</f>
        <v/>
      </c>
    </row>
    <row r="5322">
      <c r="A5322" t="inlineStr">
        <is>
          <t>2024-04-30</t>
        </is>
      </c>
      <c r="B5322" t="inlineStr">
        <is>
          <t>APS이노베이션</t>
        </is>
      </c>
      <c r="C5322" t="inlineStr">
        <is>
          <t>079810</t>
        </is>
      </c>
      <c r="D5322" t="inlineStr">
        <is>
          <t>연결</t>
        </is>
      </c>
      <c r="E5322" t="inlineStr">
        <is>
          <t>2024Q1</t>
        </is>
      </c>
      <c r="F5322" s="2" t="n">
        <v>43098</v>
      </c>
      <c r="G5322" t="inlineStr"/>
      <c r="H5322" t="inlineStr"/>
      <c r="I5322" s="2" t="n">
        <v>1435</v>
      </c>
      <c r="J5322" t="inlineStr"/>
      <c r="K5322" t="inlineStr"/>
      <c r="L5322" s="2" t="n">
        <v>5282</v>
      </c>
      <c r="M5322" t="inlineStr"/>
      <c r="N5322" t="inlineStr">
        <is>
          <t>20240430900191</t>
        </is>
      </c>
      <c r="O5322">
        <f>HYPERLINK("https://dart.fss.or.kr/dsaf001/main.do?rcpNo=20240430900191", "공시열람")</f>
        <v/>
      </c>
    </row>
    <row r="5323">
      <c r="A5323" t="inlineStr">
        <is>
          <t>2024-04-30</t>
        </is>
      </c>
      <c r="B5323" t="inlineStr">
        <is>
          <t>한화에어로스페이스</t>
        </is>
      </c>
      <c r="C5323" t="inlineStr">
        <is>
          <t>012450</t>
        </is>
      </c>
      <c r="D5323" t="inlineStr">
        <is>
          <t>연결</t>
        </is>
      </c>
      <c r="E5323" t="inlineStr">
        <is>
          <t>2024Q1</t>
        </is>
      </c>
      <c r="F5323" s="2" t="n">
        <v>1848300</v>
      </c>
      <c r="G5323" t="n">
        <v>-46.1</v>
      </c>
      <c r="H5323" t="n">
        <v>-9.300000000000001</v>
      </c>
      <c r="I5323" s="2" t="n">
        <v>37400</v>
      </c>
      <c r="J5323" t="n">
        <v>-86.40000000000001</v>
      </c>
      <c r="K5323" t="n">
        <v>-83.2</v>
      </c>
      <c r="L5323" s="2" t="n">
        <v>3100</v>
      </c>
      <c r="M5323" t="n">
        <v>-99.3</v>
      </c>
      <c r="N5323" t="inlineStr">
        <is>
          <t>20240430800280</t>
        </is>
      </c>
      <c r="O5323">
        <f>HYPERLINK("https://dart.fss.or.kr/dsaf001/main.do?rcpNo=20240430800280", "공시열람")</f>
        <v/>
      </c>
    </row>
    <row r="5324">
      <c r="A5324" t="inlineStr">
        <is>
          <t>2024-04-30</t>
        </is>
      </c>
      <c r="B5324" t="inlineStr">
        <is>
          <t>LX인터내셔널</t>
        </is>
      </c>
      <c r="C5324" t="inlineStr">
        <is>
          <t>001120</t>
        </is>
      </c>
      <c r="D5324" t="inlineStr">
        <is>
          <t>연결</t>
        </is>
      </c>
      <c r="E5324" t="inlineStr">
        <is>
          <t>2024Q1</t>
        </is>
      </c>
      <c r="F5324" s="2" t="n">
        <v>3776100</v>
      </c>
      <c r="G5324" t="n">
        <v>1.7</v>
      </c>
      <c r="H5324" t="n">
        <v>2.1</v>
      </c>
      <c r="I5324" s="2" t="n">
        <v>110700</v>
      </c>
      <c r="J5324" t="n">
        <v>41</v>
      </c>
      <c r="K5324" t="n">
        <v>-31.5</v>
      </c>
      <c r="L5324" s="2" t="n">
        <v>98000</v>
      </c>
      <c r="M5324" t="n">
        <v>-37.3</v>
      </c>
      <c r="N5324" t="inlineStr">
        <is>
          <t>20240430800235</t>
        </is>
      </c>
      <c r="O5324">
        <f>HYPERLINK("https://dart.fss.or.kr/dsaf001/main.do?rcpNo=20240430800235", "공시열람")</f>
        <v/>
      </c>
    </row>
    <row r="5325">
      <c r="A5325" t="inlineStr">
        <is>
          <t>2024-04-30</t>
        </is>
      </c>
      <c r="B5325" t="inlineStr">
        <is>
          <t>HK이노엔</t>
        </is>
      </c>
      <c r="C5325" t="inlineStr">
        <is>
          <t>195940</t>
        </is>
      </c>
      <c r="D5325" t="inlineStr">
        <is>
          <t>별도</t>
        </is>
      </c>
      <c r="E5325" t="inlineStr">
        <is>
          <t>2024Q1</t>
        </is>
      </c>
      <c r="F5325" s="2" t="n">
        <v>212615</v>
      </c>
      <c r="G5325" t="inlineStr"/>
      <c r="H5325" t="inlineStr"/>
      <c r="I5325" s="2" t="n">
        <v>17259</v>
      </c>
      <c r="J5325" t="inlineStr"/>
      <c r="K5325" t="inlineStr"/>
      <c r="L5325" s="2" t="n">
        <v>10486</v>
      </c>
      <c r="M5325" t="inlineStr"/>
      <c r="N5325" t="inlineStr">
        <is>
          <t>20240430900173</t>
        </is>
      </c>
      <c r="O5325">
        <f>HYPERLINK("https://dart.fss.or.kr/dsaf001/main.do?rcpNo=20240430900173", "공시열람")</f>
        <v/>
      </c>
    </row>
    <row r="5326">
      <c r="A5326" t="inlineStr">
        <is>
          <t>2024-04-30</t>
        </is>
      </c>
      <c r="B5326" t="inlineStr">
        <is>
          <t>풍산홀딩스</t>
        </is>
      </c>
      <c r="C5326" t="inlineStr">
        <is>
          <t>005810</t>
        </is>
      </c>
      <c r="D5326" t="inlineStr">
        <is>
          <t>연결</t>
        </is>
      </c>
      <c r="E5326" t="inlineStr">
        <is>
          <t>2024Q1</t>
        </is>
      </c>
      <c r="F5326" s="2" t="n">
        <v>92233</v>
      </c>
      <c r="G5326" t="n">
        <v>-13.3</v>
      </c>
      <c r="H5326" t="n">
        <v>-12</v>
      </c>
      <c r="I5326" s="2" t="n">
        <v>15427</v>
      </c>
      <c r="J5326" t="n">
        <v>16.2</v>
      </c>
      <c r="K5326" t="n">
        <v>-34.4</v>
      </c>
      <c r="L5326" s="2" t="n">
        <v>14279</v>
      </c>
      <c r="M5326" t="n">
        <v>-41.4</v>
      </c>
      <c r="N5326" t="inlineStr">
        <is>
          <t>20240430800382</t>
        </is>
      </c>
      <c r="O5326">
        <f>HYPERLINK("https://dart.fss.or.kr/dsaf001/main.do?rcpNo=20240430800382", "공시열람")</f>
        <v/>
      </c>
    </row>
    <row r="5327">
      <c r="A5327" t="inlineStr">
        <is>
          <t>2024-04-30</t>
        </is>
      </c>
      <c r="B5327" t="inlineStr">
        <is>
          <t>유한양행</t>
        </is>
      </c>
      <c r="C5327" t="inlineStr">
        <is>
          <t>000100</t>
        </is>
      </c>
      <c r="D5327" t="inlineStr">
        <is>
          <t>별도</t>
        </is>
      </c>
      <c r="E5327" t="inlineStr">
        <is>
          <t>2024Q1</t>
        </is>
      </c>
      <c r="F5327" s="2" t="n">
        <v>433147</v>
      </c>
      <c r="G5327" t="n">
        <v>1.5</v>
      </c>
      <c r="H5327" t="n">
        <v>0.4</v>
      </c>
      <c r="I5327" s="2" t="n">
        <v>6142</v>
      </c>
      <c r="J5327" t="n">
        <v>-4.8</v>
      </c>
      <c r="K5327" t="n">
        <v>-68.40000000000001</v>
      </c>
      <c r="L5327" s="2" t="n">
        <v>36369</v>
      </c>
      <c r="M5327" t="n">
        <v>4.8</v>
      </c>
      <c r="N5327" t="inlineStr">
        <is>
          <t>20240430800357</t>
        </is>
      </c>
      <c r="O5327">
        <f>HYPERLINK("https://dart.fss.or.kr/dsaf001/main.do?rcpNo=20240430800357", "공시열람")</f>
        <v/>
      </c>
    </row>
    <row r="5328">
      <c r="A5328" t="inlineStr">
        <is>
          <t>2024-04-30</t>
        </is>
      </c>
      <c r="B5328" t="inlineStr">
        <is>
          <t>KG스틸</t>
        </is>
      </c>
      <c r="C5328" t="inlineStr">
        <is>
          <t>016380</t>
        </is>
      </c>
      <c r="D5328" t="inlineStr">
        <is>
          <t>별도</t>
        </is>
      </c>
      <c r="E5328" t="inlineStr">
        <is>
          <t>2024Q1</t>
        </is>
      </c>
      <c r="F5328" s="2" t="n">
        <v>849100</v>
      </c>
      <c r="G5328" t="n">
        <v>6.32</v>
      </c>
      <c r="H5328" t="n">
        <v>9.25</v>
      </c>
      <c r="I5328" s="2" t="n">
        <v>70800</v>
      </c>
      <c r="J5328" t="n">
        <v>51.03</v>
      </c>
      <c r="K5328" t="n">
        <v>-8.43</v>
      </c>
      <c r="L5328" s="2" t="n">
        <v>54800</v>
      </c>
      <c r="M5328" t="n">
        <v>-14.64</v>
      </c>
      <c r="N5328" t="inlineStr">
        <is>
          <t>20240430800403</t>
        </is>
      </c>
      <c r="O5328">
        <f>HYPERLINK("https://dart.fss.or.kr/dsaf001/main.do?rcpNo=20240430800403", "공시열람")</f>
        <v/>
      </c>
    </row>
    <row r="5329">
      <c r="A5329" t="inlineStr">
        <is>
          <t>2024-04-30</t>
        </is>
      </c>
      <c r="B5329" t="inlineStr">
        <is>
          <t>BNK금융지주</t>
        </is>
      </c>
      <c r="C5329" t="inlineStr">
        <is>
          <t>138930</t>
        </is>
      </c>
      <c r="D5329" t="inlineStr">
        <is>
          <t>연결</t>
        </is>
      </c>
      <c r="E5329" t="inlineStr">
        <is>
          <t>2024Q1</t>
        </is>
      </c>
      <c r="F5329" s="2" t="n">
        <v>717893</v>
      </c>
      <c r="G5329" t="n">
        <v>9.380000000000001</v>
      </c>
      <c r="H5329" t="n">
        <v>12.11</v>
      </c>
      <c r="I5329" s="2" t="n">
        <v>127052</v>
      </c>
      <c r="J5329" t="n">
        <v>4308.47</v>
      </c>
      <c r="K5329" t="n">
        <v>26.64</v>
      </c>
      <c r="L5329" s="2" t="n">
        <v>101204</v>
      </c>
      <c r="M5329" t="n">
        <v>19.1</v>
      </c>
      <c r="N5329" t="inlineStr">
        <is>
          <t>20240430800481</t>
        </is>
      </c>
      <c r="O5329">
        <f>HYPERLINK("https://dart.fss.or.kr/dsaf001/main.do?rcpNo=20240430800481", "공시열람")</f>
        <v/>
      </c>
    </row>
    <row r="5330">
      <c r="A5330" t="inlineStr">
        <is>
          <t>2024-04-30</t>
        </is>
      </c>
      <c r="B5330" t="inlineStr">
        <is>
          <t>한솔테크닉스</t>
        </is>
      </c>
      <c r="C5330" t="inlineStr">
        <is>
          <t>004710</t>
        </is>
      </c>
      <c r="D5330" t="inlineStr">
        <is>
          <t>연결</t>
        </is>
      </c>
      <c r="E5330" t="inlineStr">
        <is>
          <t>2024Q1</t>
        </is>
      </c>
      <c r="F5330" s="2" t="n">
        <v>268095</v>
      </c>
      <c r="G5330" t="n">
        <v>-1.02</v>
      </c>
      <c r="H5330" t="n">
        <v>-27.78</v>
      </c>
      <c r="I5330" s="2" t="n">
        <v>12495</v>
      </c>
      <c r="J5330" t="inlineStr"/>
      <c r="K5330" t="n">
        <v>-25.06</v>
      </c>
      <c r="L5330" s="2" t="n">
        <v>11599</v>
      </c>
      <c r="M5330" t="n">
        <v>-18.71</v>
      </c>
      <c r="N5330" t="inlineStr">
        <is>
          <t>20240430800875</t>
        </is>
      </c>
      <c r="O5330">
        <f>HYPERLINK("https://dart.fss.or.kr/dsaf001/main.do?rcpNo=20240430800875", "공시열람")</f>
        <v/>
      </c>
    </row>
    <row r="5331">
      <c r="A5331" t="inlineStr">
        <is>
          <t>2024-04-30</t>
        </is>
      </c>
      <c r="B5331" t="inlineStr">
        <is>
          <t>현대코퍼레이션</t>
        </is>
      </c>
      <c r="C5331" t="inlineStr">
        <is>
          <t>011760</t>
        </is>
      </c>
      <c r="D5331" t="inlineStr">
        <is>
          <t>연결</t>
        </is>
      </c>
      <c r="E5331" t="inlineStr">
        <is>
          <t>2024Q1</t>
        </is>
      </c>
      <c r="F5331" s="2" t="n">
        <v>1613272</v>
      </c>
      <c r="G5331" t="n">
        <v>2.44</v>
      </c>
      <c r="H5331" t="n">
        <v>-8.890000000000001</v>
      </c>
      <c r="I5331" s="2" t="n">
        <v>28048</v>
      </c>
      <c r="J5331" t="n">
        <v>41.58</v>
      </c>
      <c r="K5331" t="n">
        <v>9.220000000000001</v>
      </c>
      <c r="L5331" s="2" t="n">
        <v>34684</v>
      </c>
      <c r="M5331" t="n">
        <v>27.8</v>
      </c>
      <c r="N5331" t="inlineStr">
        <is>
          <t>20240430800738</t>
        </is>
      </c>
      <c r="O5331">
        <f>HYPERLINK("https://dart.fss.or.kr/dsaf001/main.do?rcpNo=20240430800738", "공시열람")</f>
        <v/>
      </c>
    </row>
    <row r="5332">
      <c r="A5332" t="inlineStr">
        <is>
          <t>2024-04-30</t>
        </is>
      </c>
      <c r="B5332" t="inlineStr">
        <is>
          <t>보령</t>
        </is>
      </c>
      <c r="C5332" t="inlineStr">
        <is>
          <t>003850</t>
        </is>
      </c>
      <c r="D5332" t="inlineStr">
        <is>
          <t>연결</t>
        </is>
      </c>
      <c r="E5332" t="inlineStr">
        <is>
          <t>2024Q1</t>
        </is>
      </c>
      <c r="F5332" s="2" t="n">
        <v>233601</v>
      </c>
      <c r="G5332" t="n">
        <v>1.02</v>
      </c>
      <c r="H5332" t="n">
        <v>14.62</v>
      </c>
      <c r="I5332" s="2" t="n">
        <v>16347</v>
      </c>
      <c r="J5332" t="n">
        <v>10.64</v>
      </c>
      <c r="K5332" t="n">
        <v>2.19</v>
      </c>
      <c r="L5332" s="2" t="n">
        <v>23398</v>
      </c>
      <c r="M5332" t="n">
        <v>105.97</v>
      </c>
      <c r="N5332" t="inlineStr">
        <is>
          <t>20240430800708</t>
        </is>
      </c>
      <c r="O5332">
        <f>HYPERLINK("https://dart.fss.or.kr/dsaf001/main.do?rcpNo=20240430800708", "공시열람")</f>
        <v/>
      </c>
    </row>
    <row r="5333">
      <c r="A5333" t="inlineStr">
        <is>
          <t>2024-04-30</t>
        </is>
      </c>
      <c r="B5333" t="inlineStr">
        <is>
          <t>F&amp;F</t>
        </is>
      </c>
      <c r="C5333" t="inlineStr">
        <is>
          <t>383220</t>
        </is>
      </c>
      <c r="D5333" t="inlineStr">
        <is>
          <t>연결</t>
        </is>
      </c>
      <c r="E5333" t="inlineStr">
        <is>
          <t>2024Q1</t>
        </is>
      </c>
      <c r="F5333" s="2" t="n">
        <v>507029</v>
      </c>
      <c r="G5333" t="n">
        <v>-13</v>
      </c>
      <c r="H5333" t="n">
        <v>1.9</v>
      </c>
      <c r="I5333" s="2" t="n">
        <v>130211</v>
      </c>
      <c r="J5333" t="n">
        <v>-9.6</v>
      </c>
      <c r="K5333" t="n">
        <v>-12.5</v>
      </c>
      <c r="L5333" s="2" t="n">
        <v>96322</v>
      </c>
      <c r="M5333" t="n">
        <v>-19</v>
      </c>
      <c r="N5333" t="inlineStr">
        <is>
          <t>20240430800653</t>
        </is>
      </c>
      <c r="O5333">
        <f>HYPERLINK("https://dart.fss.or.kr/dsaf001/main.do?rcpNo=20240430800653", "공시열람")</f>
        <v/>
      </c>
    </row>
    <row r="5334">
      <c r="A5334" t="inlineStr">
        <is>
          <t>2024-04-30</t>
        </is>
      </c>
      <c r="B5334" t="inlineStr">
        <is>
          <t>DB</t>
        </is>
      </c>
      <c r="C5334" t="inlineStr">
        <is>
          <t>012030</t>
        </is>
      </c>
      <c r="D5334" t="inlineStr">
        <is>
          <t>연결</t>
        </is>
      </c>
      <c r="E5334" t="inlineStr">
        <is>
          <t>2024Q1</t>
        </is>
      </c>
      <c r="F5334" s="2" t="n">
        <v>118884</v>
      </c>
      <c r="G5334" t="n">
        <v>-13.6</v>
      </c>
      <c r="H5334" t="n">
        <v>5.4</v>
      </c>
      <c r="I5334" s="2" t="n">
        <v>7757</v>
      </c>
      <c r="J5334" t="n">
        <v>1117.7</v>
      </c>
      <c r="K5334" t="n">
        <v>-51.5</v>
      </c>
      <c r="L5334" s="2" t="n">
        <v>7398</v>
      </c>
      <c r="M5334" t="n">
        <v>-60.7</v>
      </c>
      <c r="N5334" t="inlineStr">
        <is>
          <t>20240430800573</t>
        </is>
      </c>
      <c r="O5334">
        <f>HYPERLINK("https://dart.fss.or.kr/dsaf001/main.do?rcpNo=20240430800573", "공시열람")</f>
        <v/>
      </c>
    </row>
    <row r="5335">
      <c r="A5335" t="inlineStr">
        <is>
          <t>2024-04-30</t>
        </is>
      </c>
      <c r="B5335" t="inlineStr">
        <is>
          <t>호텔신라</t>
        </is>
      </c>
      <c r="C5335" t="inlineStr">
        <is>
          <t>008770</t>
        </is>
      </c>
      <c r="D5335" t="inlineStr">
        <is>
          <t>연결</t>
        </is>
      </c>
      <c r="E5335" t="inlineStr">
        <is>
          <t>2024Q1</t>
        </is>
      </c>
      <c r="F5335" s="2" t="n">
        <v>980826</v>
      </c>
      <c r="G5335" t="n">
        <v>4.6</v>
      </c>
      <c r="H5335" t="n">
        <v>30.4</v>
      </c>
      <c r="I5335" s="2" t="n">
        <v>12123</v>
      </c>
      <c r="J5335" t="inlineStr"/>
      <c r="K5335" t="n">
        <v>-64.90000000000001</v>
      </c>
      <c r="L5335" s="2" t="n">
        <v>-1609</v>
      </c>
      <c r="M5335" t="inlineStr"/>
      <c r="N5335" t="inlineStr">
        <is>
          <t>20240430800538</t>
        </is>
      </c>
      <c r="O5335">
        <f>HYPERLINK("https://dart.fss.or.kr/dsaf001/main.do?rcpNo=20240430800538", "공시열람")</f>
        <v/>
      </c>
    </row>
    <row r="5336">
      <c r="A5336" t="inlineStr">
        <is>
          <t>2024-04-30</t>
        </is>
      </c>
      <c r="B5336" t="inlineStr">
        <is>
          <t>파트론</t>
        </is>
      </c>
      <c r="C5336" t="inlineStr">
        <is>
          <t>091700</t>
        </is>
      </c>
      <c r="D5336" t="inlineStr">
        <is>
          <t>연결</t>
        </is>
      </c>
      <c r="E5336" t="inlineStr">
        <is>
          <t>2024Q1</t>
        </is>
      </c>
      <c r="F5336" s="2" t="n">
        <v>370782</v>
      </c>
      <c r="G5336" t="inlineStr"/>
      <c r="H5336" t="inlineStr"/>
      <c r="I5336" s="2" t="n">
        <v>16112</v>
      </c>
      <c r="J5336" t="inlineStr"/>
      <c r="K5336" t="inlineStr"/>
      <c r="L5336" s="2" t="n">
        <v>14287</v>
      </c>
      <c r="M5336" t="inlineStr"/>
      <c r="N5336" t="inlineStr">
        <is>
          <t>20240430900570</t>
        </is>
      </c>
      <c r="O5336">
        <f>HYPERLINK("https://dart.fss.or.kr/dsaf001/main.do?rcpNo=20240430900570", "공시열람")</f>
        <v/>
      </c>
    </row>
    <row r="5337">
      <c r="A5337" t="inlineStr">
        <is>
          <t>2024-04-30</t>
        </is>
      </c>
      <c r="B5337" t="inlineStr">
        <is>
          <t>제이브이엠</t>
        </is>
      </c>
      <c r="C5337" t="inlineStr">
        <is>
          <t>054950</t>
        </is>
      </c>
      <c r="D5337" t="inlineStr">
        <is>
          <t>연결</t>
        </is>
      </c>
      <c r="E5337" t="inlineStr">
        <is>
          <t>2024Q1</t>
        </is>
      </c>
      <c r="F5337" s="2" t="n">
        <v>40160</v>
      </c>
      <c r="G5337" t="inlineStr"/>
      <c r="H5337" t="inlineStr"/>
      <c r="I5337" s="2" t="n">
        <v>7319</v>
      </c>
      <c r="J5337" t="inlineStr"/>
      <c r="K5337" t="inlineStr"/>
      <c r="L5337" s="2" t="n">
        <v>8261</v>
      </c>
      <c r="M5337" t="inlineStr"/>
      <c r="N5337" t="inlineStr">
        <is>
          <t>20240430900515</t>
        </is>
      </c>
      <c r="O5337">
        <f>HYPERLINK("https://dart.fss.or.kr/dsaf001/main.do?rcpNo=20240430900515", "공시열람")</f>
        <v/>
      </c>
    </row>
    <row r="5338">
      <c r="A5338" t="inlineStr">
        <is>
          <t>2024-04-30</t>
        </is>
      </c>
      <c r="B5338" t="inlineStr">
        <is>
          <t>바이오니아</t>
        </is>
      </c>
      <c r="C5338" t="inlineStr">
        <is>
          <t>064550</t>
        </is>
      </c>
      <c r="D5338" t="inlineStr">
        <is>
          <t>연결</t>
        </is>
      </c>
      <c r="E5338" t="inlineStr">
        <is>
          <t>2024Q1</t>
        </is>
      </c>
      <c r="F5338" s="2" t="n">
        <v>79216</v>
      </c>
      <c r="G5338" t="inlineStr"/>
      <c r="H5338" t="inlineStr"/>
      <c r="I5338" s="2" t="n">
        <v>2777</v>
      </c>
      <c r="J5338" t="inlineStr"/>
      <c r="K5338" t="inlineStr"/>
      <c r="L5338" s="2" t="n">
        <v>746</v>
      </c>
      <c r="M5338" t="inlineStr"/>
      <c r="N5338" t="inlineStr">
        <is>
          <t>20240430900536</t>
        </is>
      </c>
      <c r="O5338">
        <f>HYPERLINK("https://dart.fss.or.kr/dsaf001/main.do?rcpNo=20240430900536", "공시열람")</f>
        <v/>
      </c>
    </row>
    <row r="5339">
      <c r="A5339" t="inlineStr">
        <is>
          <t>2024-04-30</t>
        </is>
      </c>
      <c r="B5339" t="inlineStr">
        <is>
          <t>BNK금융지주</t>
        </is>
      </c>
      <c r="C5339" t="inlineStr">
        <is>
          <t>138930</t>
        </is>
      </c>
      <c r="D5339" t="inlineStr">
        <is>
          <t>연결</t>
        </is>
      </c>
      <c r="E5339" t="inlineStr">
        <is>
          <t>2024Q1</t>
        </is>
      </c>
      <c r="F5339" s="2" t="n">
        <v>1241265</v>
      </c>
      <c r="G5339" t="n">
        <v>9.17</v>
      </c>
      <c r="H5339" t="n">
        <v>-6.76</v>
      </c>
      <c r="I5339" s="2" t="n">
        <v>148459</v>
      </c>
      <c r="J5339" t="inlineStr"/>
      <c r="K5339" t="n">
        <v>-14.28</v>
      </c>
      <c r="L5339" s="2" t="n">
        <v>125181</v>
      </c>
      <c r="M5339" t="n">
        <v>-13.83</v>
      </c>
      <c r="N5339" t="inlineStr">
        <is>
          <t>20240430800492</t>
        </is>
      </c>
      <c r="O5339">
        <f>HYPERLINK("https://dart.fss.or.kr/dsaf001/main.do?rcpNo=20240430800492", "공시열람")</f>
        <v/>
      </c>
    </row>
    <row r="5340">
      <c r="A5340" t="inlineStr">
        <is>
          <t>2024-04-30</t>
        </is>
      </c>
      <c r="B5340" t="inlineStr">
        <is>
          <t>BNK금융지주</t>
        </is>
      </c>
      <c r="C5340" t="inlineStr">
        <is>
          <t>138930</t>
        </is>
      </c>
      <c r="D5340" t="inlineStr">
        <is>
          <t>연결</t>
        </is>
      </c>
      <c r="E5340" t="inlineStr">
        <is>
          <t>2024Q1</t>
        </is>
      </c>
      <c r="F5340" s="2" t="n">
        <v>2649402</v>
      </c>
      <c r="G5340" t="n">
        <v>9.17</v>
      </c>
      <c r="H5340" t="n">
        <v>2.41</v>
      </c>
      <c r="I5340" s="2" t="n">
        <v>311477</v>
      </c>
      <c r="J5340" t="inlineStr"/>
      <c r="K5340" t="n">
        <v>-3.04</v>
      </c>
      <c r="L5340" s="2" t="n">
        <v>254636</v>
      </c>
      <c r="M5340" t="n">
        <v>-5.08</v>
      </c>
      <c r="N5340" t="inlineStr">
        <is>
          <t>20240430800500</t>
        </is>
      </c>
      <c r="O5340">
        <f>HYPERLINK("https://dart.fss.or.kr/dsaf001/main.do?rcpNo=20240430800500", "공시열람")</f>
        <v/>
      </c>
    </row>
    <row r="5341">
      <c r="A5341" t="inlineStr">
        <is>
          <t>2024-04-30</t>
        </is>
      </c>
      <c r="B5341" t="inlineStr">
        <is>
          <t>BNK금융지주</t>
        </is>
      </c>
      <c r="C5341" t="inlineStr">
        <is>
          <t>138930</t>
        </is>
      </c>
      <c r="D5341" t="inlineStr">
        <is>
          <t>연결</t>
        </is>
      </c>
      <c r="E5341" t="inlineStr">
        <is>
          <t>2024Q1</t>
        </is>
      </c>
      <c r="F5341" s="2" t="n">
        <v>298683</v>
      </c>
      <c r="G5341" t="n">
        <v>18.02</v>
      </c>
      <c r="H5341" t="n">
        <v>2</v>
      </c>
      <c r="I5341" s="2" t="n">
        <v>18755</v>
      </c>
      <c r="J5341" t="n">
        <v>743.04</v>
      </c>
      <c r="K5341" t="n">
        <v>-26.04</v>
      </c>
      <c r="L5341" s="2" t="n">
        <v>14590</v>
      </c>
      <c r="M5341" t="n">
        <v>-23.68</v>
      </c>
      <c r="N5341" t="inlineStr">
        <is>
          <t>20240430800468</t>
        </is>
      </c>
      <c r="O5341">
        <f>HYPERLINK("https://dart.fss.or.kr/dsaf001/main.do?rcpNo=20240430800468", "공시열람")</f>
        <v/>
      </c>
    </row>
    <row r="5342">
      <c r="A5342" t="inlineStr">
        <is>
          <t>2024-04-30</t>
        </is>
      </c>
      <c r="B5342" t="inlineStr">
        <is>
          <t>롯데이노베이트</t>
        </is>
      </c>
      <c r="C5342" t="inlineStr">
        <is>
          <t>286940</t>
        </is>
      </c>
      <c r="D5342" t="inlineStr">
        <is>
          <t>연결</t>
        </is>
      </c>
      <c r="E5342" t="inlineStr">
        <is>
          <t>2024Q1</t>
        </is>
      </c>
      <c r="F5342" s="2" t="n">
        <v>276525</v>
      </c>
      <c r="G5342" t="n">
        <v>-20.2</v>
      </c>
      <c r="H5342" t="n">
        <v>2.1</v>
      </c>
      <c r="I5342" s="2" t="n">
        <v>8950</v>
      </c>
      <c r="J5342" t="n">
        <v>-50.4</v>
      </c>
      <c r="K5342" t="n">
        <v>-24.7</v>
      </c>
      <c r="L5342" s="2" t="n">
        <v>5354</v>
      </c>
      <c r="M5342" t="n">
        <v>-35.2</v>
      </c>
      <c r="N5342" t="inlineStr">
        <is>
          <t>20240430800506</t>
        </is>
      </c>
      <c r="O5342">
        <f>HYPERLINK("https://dart.fss.or.kr/dsaf001/main.do?rcpNo=20240430800506", "공시열람")</f>
        <v/>
      </c>
    </row>
    <row r="5343">
      <c r="A5343" t="inlineStr">
        <is>
          <t>2024-04-30</t>
        </is>
      </c>
      <c r="B5343" t="inlineStr">
        <is>
          <t>한국타이어앤테크놀로지</t>
        </is>
      </c>
      <c r="C5343" t="inlineStr">
        <is>
          <t>161390</t>
        </is>
      </c>
      <c r="D5343" t="inlineStr">
        <is>
          <t>연결</t>
        </is>
      </c>
      <c r="E5343" t="inlineStr">
        <is>
          <t>2024Q1</t>
        </is>
      </c>
      <c r="F5343" s="2" t="n">
        <v>2127260</v>
      </c>
      <c r="G5343" t="n">
        <v>-4.7</v>
      </c>
      <c r="H5343" t="n">
        <v>1.1</v>
      </c>
      <c r="I5343" s="2" t="n">
        <v>398743</v>
      </c>
      <c r="J5343" t="n">
        <v>-19</v>
      </c>
      <c r="K5343" t="n">
        <v>108.8</v>
      </c>
      <c r="L5343" s="2" t="n">
        <v>360493</v>
      </c>
      <c r="M5343" t="n">
        <v>276</v>
      </c>
      <c r="N5343" t="inlineStr">
        <is>
          <t>20240430800451</t>
        </is>
      </c>
      <c r="O5343">
        <f>HYPERLINK("https://dart.fss.or.kr/dsaf001/main.do?rcpNo=20240430800451", "공시열람")</f>
        <v/>
      </c>
    </row>
    <row r="5344">
      <c r="A5344" t="inlineStr">
        <is>
          <t>2024-04-30</t>
        </is>
      </c>
      <c r="B5344" t="inlineStr">
        <is>
          <t>LG화학</t>
        </is>
      </c>
      <c r="C5344" t="inlineStr">
        <is>
          <t>051910</t>
        </is>
      </c>
      <c r="D5344" t="inlineStr">
        <is>
          <t>연결</t>
        </is>
      </c>
      <c r="E5344" t="inlineStr">
        <is>
          <t>2024Q1</t>
        </is>
      </c>
      <c r="F5344" s="2" t="n">
        <v>11609432</v>
      </c>
      <c r="G5344" t="n">
        <v>-11.6</v>
      </c>
      <c r="H5344" t="n">
        <v>-18.7</v>
      </c>
      <c r="I5344" s="2" t="n">
        <v>264631</v>
      </c>
      <c r="J5344" t="n">
        <v>7</v>
      </c>
      <c r="K5344" t="n">
        <v>-67.09999999999999</v>
      </c>
      <c r="L5344" s="2" t="n">
        <v>341699</v>
      </c>
      <c r="M5344" t="n">
        <v>-48.9</v>
      </c>
      <c r="N5344" t="inlineStr">
        <is>
          <t>20240430800034</t>
        </is>
      </c>
      <c r="O5344">
        <f>HYPERLINK("https://dart.fss.or.kr/dsaf001/main.do?rcpNo=20240430800034", "공시열람")</f>
        <v/>
      </c>
    </row>
    <row r="5345">
      <c r="A5345" t="inlineStr">
        <is>
          <t>2024-04-30</t>
        </is>
      </c>
      <c r="B5345" t="inlineStr">
        <is>
          <t>삼성전자</t>
        </is>
      </c>
      <c r="C5345" t="inlineStr">
        <is>
          <t>005930</t>
        </is>
      </c>
      <c r="D5345" t="inlineStr">
        <is>
          <t>연결</t>
        </is>
      </c>
      <c r="E5345" t="inlineStr">
        <is>
          <t>2024Q1</t>
        </is>
      </c>
      <c r="F5345" s="2" t="n">
        <v>71915600</v>
      </c>
      <c r="G5345" t="n">
        <v>6.1</v>
      </c>
      <c r="H5345" t="n">
        <v>12.82</v>
      </c>
      <c r="I5345" s="2" t="n">
        <v>6606000</v>
      </c>
      <c r="J5345" t="n">
        <v>133.87</v>
      </c>
      <c r="K5345" t="n">
        <v>931.87</v>
      </c>
      <c r="L5345" s="2" t="n">
        <v>6754700</v>
      </c>
      <c r="M5345" t="n">
        <v>328.98</v>
      </c>
      <c r="N5345" t="inlineStr">
        <is>
          <t>20240430800051</t>
        </is>
      </c>
      <c r="O5345">
        <f>HYPERLINK("https://dart.fss.or.kr/dsaf001/main.do?rcpNo=20240430800051", "공시열람")</f>
        <v/>
      </c>
    </row>
    <row r="5346">
      <c r="A5346" t="inlineStr">
        <is>
          <t>2024-04-30</t>
        </is>
      </c>
      <c r="B5346" t="inlineStr">
        <is>
          <t>대우건설</t>
        </is>
      </c>
      <c r="C5346" t="inlineStr">
        <is>
          <t>047040</t>
        </is>
      </c>
      <c r="D5346" t="inlineStr">
        <is>
          <t>연결</t>
        </is>
      </c>
      <c r="E5346" t="inlineStr">
        <is>
          <t>2024Q1</t>
        </is>
      </c>
      <c r="F5346" s="2" t="n">
        <v>2487300</v>
      </c>
      <c r="G5346" t="n">
        <v>-10.5</v>
      </c>
      <c r="H5346" t="n">
        <v>-4.6</v>
      </c>
      <c r="I5346" s="2" t="n">
        <v>114800</v>
      </c>
      <c r="J5346" t="n">
        <v>47.4</v>
      </c>
      <c r="K5346" t="n">
        <v>-35</v>
      </c>
      <c r="L5346" s="2" t="n">
        <v>91500</v>
      </c>
      <c r="M5346" t="n">
        <v>-6.9</v>
      </c>
      <c r="N5346" t="inlineStr">
        <is>
          <t>20240430800052</t>
        </is>
      </c>
      <c r="O5346">
        <f>HYPERLINK("https://dart.fss.or.kr/dsaf001/main.do?rcpNo=20240430800052", "공시열람")</f>
        <v/>
      </c>
    </row>
    <row r="5347">
      <c r="A5347" t="inlineStr">
        <is>
          <t>2024-04-30</t>
        </is>
      </c>
      <c r="B5347" t="inlineStr">
        <is>
          <t>OCI홀딩스</t>
        </is>
      </c>
      <c r="C5347" t="inlineStr">
        <is>
          <t>010060</t>
        </is>
      </c>
      <c r="D5347" t="inlineStr">
        <is>
          <t>연결</t>
        </is>
      </c>
      <c r="E5347" t="inlineStr">
        <is>
          <t>2024Q1</t>
        </is>
      </c>
      <c r="F5347" s="2" t="n">
        <v>864990</v>
      </c>
      <c r="G5347" t="n">
        <v>34</v>
      </c>
      <c r="H5347" t="n">
        <v>20.2</v>
      </c>
      <c r="I5347" s="2" t="n">
        <v>99494</v>
      </c>
      <c r="J5347" t="n">
        <v>52.8</v>
      </c>
      <c r="K5347" t="n">
        <v>-51.1</v>
      </c>
      <c r="L5347" s="2" t="n">
        <v>192029</v>
      </c>
      <c r="M5347" t="n">
        <v>-9.9</v>
      </c>
      <c r="N5347" t="inlineStr">
        <is>
          <t>20240430800420</t>
        </is>
      </c>
      <c r="O5347">
        <f>HYPERLINK("https://dart.fss.or.kr/dsaf001/main.do?rcpNo=20240430800420", "공시열람")</f>
        <v/>
      </c>
    </row>
    <row r="5348">
      <c r="A5348" t="inlineStr">
        <is>
          <t>2024-04-30</t>
        </is>
      </c>
      <c r="B5348" t="inlineStr">
        <is>
          <t>한미약품</t>
        </is>
      </c>
      <c r="C5348" t="inlineStr">
        <is>
          <t>128940</t>
        </is>
      </c>
      <c r="D5348" t="inlineStr">
        <is>
          <t>연결</t>
        </is>
      </c>
      <c r="E5348" t="inlineStr">
        <is>
          <t>2024Q1</t>
        </is>
      </c>
      <c r="F5348" s="2" t="n">
        <v>403684</v>
      </c>
      <c r="G5348" t="inlineStr"/>
      <c r="H5348" t="inlineStr"/>
      <c r="I5348" s="2" t="n">
        <v>76645</v>
      </c>
      <c r="J5348" t="inlineStr"/>
      <c r="K5348" t="inlineStr"/>
      <c r="L5348" s="2" t="n">
        <v>63196</v>
      </c>
      <c r="M5348" t="inlineStr"/>
      <c r="N5348" t="inlineStr">
        <is>
          <t>20240430800427</t>
        </is>
      </c>
      <c r="O5348">
        <f>HYPERLINK("https://dart.fss.or.kr/dsaf001/main.do?rcpNo=20240430800427", "공시열람")</f>
        <v/>
      </c>
    </row>
    <row r="5349">
      <c r="A5349" t="inlineStr">
        <is>
          <t>2024-04-30</t>
        </is>
      </c>
      <c r="B5349" t="inlineStr">
        <is>
          <t>라온로보틱스</t>
        </is>
      </c>
      <c r="C5349" t="inlineStr">
        <is>
          <t>232680</t>
        </is>
      </c>
      <c r="D5349" t="inlineStr">
        <is>
          <t>별도</t>
        </is>
      </c>
      <c r="E5349" t="inlineStr">
        <is>
          <t>2024Q1</t>
        </is>
      </c>
      <c r="F5349" s="2" t="n">
        <v>8494</v>
      </c>
      <c r="G5349" t="inlineStr"/>
      <c r="H5349" t="inlineStr"/>
      <c r="I5349" s="2" t="n">
        <v>64</v>
      </c>
      <c r="J5349" t="inlineStr"/>
      <c r="K5349" t="inlineStr"/>
      <c r="L5349" s="2" t="n">
        <v>272</v>
      </c>
      <c r="M5349" t="inlineStr"/>
      <c r="N5349" t="inlineStr">
        <is>
          <t>20240430900419</t>
        </is>
      </c>
      <c r="O5349">
        <f>HYPERLINK("https://dart.fss.or.kr/dsaf001/main.do?rcpNo=20240430900419", "공시열람")</f>
        <v/>
      </c>
    </row>
    <row r="5350">
      <c r="A5350" t="inlineStr">
        <is>
          <t>2024-04-30</t>
        </is>
      </c>
      <c r="B5350" t="inlineStr">
        <is>
          <t>KG스틸</t>
        </is>
      </c>
      <c r="C5350" t="inlineStr">
        <is>
          <t>016380</t>
        </is>
      </c>
      <c r="D5350" t="inlineStr">
        <is>
          <t>연결</t>
        </is>
      </c>
      <c r="E5350" t="inlineStr">
        <is>
          <t>2024Q1</t>
        </is>
      </c>
      <c r="F5350" s="2" t="n">
        <v>818600</v>
      </c>
      <c r="G5350" t="n">
        <v>-2.35</v>
      </c>
      <c r="H5350" t="n">
        <v>-0.01</v>
      </c>
      <c r="I5350" s="2" t="n">
        <v>52100</v>
      </c>
      <c r="J5350" t="n">
        <v>53.73</v>
      </c>
      <c r="K5350" t="n">
        <v>-35.87</v>
      </c>
      <c r="L5350" s="2" t="n">
        <v>3300</v>
      </c>
      <c r="M5350" t="n">
        <v>-93.90000000000001</v>
      </c>
      <c r="N5350" t="inlineStr">
        <is>
          <t>20240430800404</t>
        </is>
      </c>
      <c r="O5350">
        <f>HYPERLINK("https://dart.fss.or.kr/dsaf001/main.do?rcpNo=20240430800404", "공시열람")</f>
        <v/>
      </c>
    </row>
    <row r="5351">
      <c r="A5351" t="inlineStr">
        <is>
          <t>2024-04-29</t>
        </is>
      </c>
      <c r="B5351" t="inlineStr">
        <is>
          <t>대한전선</t>
        </is>
      </c>
      <c r="C5351" t="inlineStr">
        <is>
          <t>001440</t>
        </is>
      </c>
      <c r="D5351" t="inlineStr">
        <is>
          <t>연결</t>
        </is>
      </c>
      <c r="E5351" t="inlineStr">
        <is>
          <t>2024Q1</t>
        </is>
      </c>
      <c r="F5351" s="2" t="n">
        <v>788528</v>
      </c>
      <c r="G5351" t="n">
        <v>4.35</v>
      </c>
      <c r="H5351" t="n">
        <v>12.02</v>
      </c>
      <c r="I5351" s="2" t="n">
        <v>28769</v>
      </c>
      <c r="J5351" t="n">
        <v>38.67</v>
      </c>
      <c r="K5351" t="n">
        <v>62.75</v>
      </c>
      <c r="L5351" s="2" t="inlineStr"/>
      <c r="M5351" t="inlineStr"/>
      <c r="N5351" t="inlineStr">
        <is>
          <t>20240429800154</t>
        </is>
      </c>
      <c r="O5351">
        <f>HYPERLINK("https://dart.fss.or.kr/dsaf001/main.do?rcpNo=20240429800154", "공시열람")</f>
        <v/>
      </c>
    </row>
    <row r="5352">
      <c r="A5352" t="inlineStr">
        <is>
          <t>2024-04-29</t>
        </is>
      </c>
      <c r="B5352" t="inlineStr">
        <is>
          <t>SOOP</t>
        </is>
      </c>
      <c r="C5352" t="inlineStr">
        <is>
          <t>067160</t>
        </is>
      </c>
      <c r="D5352" t="inlineStr">
        <is>
          <t>연결</t>
        </is>
      </c>
      <c r="E5352" t="inlineStr">
        <is>
          <t>2024Q1</t>
        </is>
      </c>
      <c r="F5352" s="2" t="n">
        <v>94989</v>
      </c>
      <c r="G5352" t="inlineStr"/>
      <c r="H5352" t="inlineStr"/>
      <c r="I5352" s="2" t="n">
        <v>28670</v>
      </c>
      <c r="J5352" t="inlineStr"/>
      <c r="K5352" t="inlineStr"/>
      <c r="L5352" s="2" t="n">
        <v>24846</v>
      </c>
      <c r="M5352" t="inlineStr"/>
      <c r="N5352" t="inlineStr">
        <is>
          <t>20240429900030</t>
        </is>
      </c>
      <c r="O5352">
        <f>HYPERLINK("https://dart.fss.or.kr/dsaf001/main.do?rcpNo=20240429900030", "공시열람")</f>
        <v/>
      </c>
    </row>
    <row r="5353">
      <c r="A5353" t="inlineStr">
        <is>
          <t>2024-04-29</t>
        </is>
      </c>
      <c r="B5353" t="inlineStr">
        <is>
          <t>SK이노베이션</t>
        </is>
      </c>
      <c r="C5353" t="inlineStr">
        <is>
          <t>096770</t>
        </is>
      </c>
      <c r="D5353" t="inlineStr">
        <is>
          <t>연결</t>
        </is>
      </c>
      <c r="E5353" t="inlineStr">
        <is>
          <t>2024Q1</t>
        </is>
      </c>
      <c r="F5353" s="2" t="n">
        <v>18855139</v>
      </c>
      <c r="G5353" t="inlineStr"/>
      <c r="H5353" t="inlineStr"/>
      <c r="I5353" s="2" t="n">
        <v>624736</v>
      </c>
      <c r="J5353" t="inlineStr"/>
      <c r="K5353" t="inlineStr"/>
      <c r="L5353" s="2" t="n">
        <v>-97623</v>
      </c>
      <c r="M5353" t="inlineStr"/>
      <c r="N5353" t="inlineStr">
        <is>
          <t>20240429800099</t>
        </is>
      </c>
      <c r="O5353">
        <f>HYPERLINK("https://dart.fss.or.kr/dsaf001/main.do?rcpNo=20240429800099", "공시열람")</f>
        <v/>
      </c>
    </row>
    <row r="5354">
      <c r="A5354" t="inlineStr">
        <is>
          <t>2024-04-29</t>
        </is>
      </c>
      <c r="B5354" t="inlineStr">
        <is>
          <t>이녹스첨단소재</t>
        </is>
      </c>
      <c r="C5354" t="inlineStr">
        <is>
          <t>272290</t>
        </is>
      </c>
      <c r="D5354" t="inlineStr">
        <is>
          <t>연결</t>
        </is>
      </c>
      <c r="E5354" t="inlineStr">
        <is>
          <t>2024Q1</t>
        </is>
      </c>
      <c r="F5354" s="2" t="n">
        <v>102199</v>
      </c>
      <c r="G5354" t="inlineStr"/>
      <c r="H5354" t="inlineStr"/>
      <c r="I5354" s="2" t="n">
        <v>15760</v>
      </c>
      <c r="J5354" t="inlineStr"/>
      <c r="K5354" t="inlineStr"/>
      <c r="L5354" s="2" t="n">
        <v>14914</v>
      </c>
      <c r="M5354" t="inlineStr"/>
      <c r="N5354" t="inlineStr">
        <is>
          <t>20240429900111</t>
        </is>
      </c>
      <c r="O5354">
        <f>HYPERLINK("https://dart.fss.or.kr/dsaf001/main.do?rcpNo=20240429900111", "공시열람")</f>
        <v/>
      </c>
    </row>
    <row r="5355">
      <c r="A5355" t="inlineStr">
        <is>
          <t>2024-04-29</t>
        </is>
      </c>
      <c r="B5355" t="inlineStr">
        <is>
          <t>예스티</t>
        </is>
      </c>
      <c r="C5355" t="inlineStr">
        <is>
          <t>122640</t>
        </is>
      </c>
      <c r="D5355" t="inlineStr">
        <is>
          <t>별도</t>
        </is>
      </c>
      <c r="E5355" t="inlineStr">
        <is>
          <t>2024Q1</t>
        </is>
      </c>
      <c r="F5355" s="2" t="n">
        <v>17541</v>
      </c>
      <c r="G5355" t="n">
        <v>-19.92</v>
      </c>
      <c r="H5355" t="n">
        <v>57.54</v>
      </c>
      <c r="I5355" s="2" t="n">
        <v>2454</v>
      </c>
      <c r="J5355" t="n">
        <v>74.04000000000001</v>
      </c>
      <c r="K5355" t="n">
        <v>1090.11</v>
      </c>
      <c r="L5355" s="2" t="n">
        <v>1177</v>
      </c>
      <c r="M5355" t="n">
        <v>697.35</v>
      </c>
      <c r="N5355" t="inlineStr">
        <is>
          <t>20240429900139</t>
        </is>
      </c>
      <c r="O5355">
        <f>HYPERLINK("https://dart.fss.or.kr/dsaf001/main.do?rcpNo=20240429900139", "공시열람")</f>
        <v/>
      </c>
    </row>
    <row r="5356">
      <c r="A5356" t="inlineStr">
        <is>
          <t>2024-04-29</t>
        </is>
      </c>
      <c r="B5356" t="inlineStr">
        <is>
          <t>아바코</t>
        </is>
      </c>
      <c r="C5356" t="inlineStr">
        <is>
          <t>083930</t>
        </is>
      </c>
      <c r="D5356" t="inlineStr">
        <is>
          <t>별도</t>
        </is>
      </c>
      <c r="E5356" t="inlineStr">
        <is>
          <t>2024Q1</t>
        </is>
      </c>
      <c r="F5356" s="2" t="n">
        <v>46095</v>
      </c>
      <c r="G5356" t="inlineStr"/>
      <c r="H5356" t="inlineStr"/>
      <c r="I5356" s="2" t="n">
        <v>2870</v>
      </c>
      <c r="J5356" t="inlineStr"/>
      <c r="K5356" t="inlineStr"/>
      <c r="L5356" s="2" t="n">
        <v>4989</v>
      </c>
      <c r="M5356" t="inlineStr"/>
      <c r="N5356" t="inlineStr">
        <is>
          <t>20240429900116</t>
        </is>
      </c>
      <c r="O5356">
        <f>HYPERLINK("https://dart.fss.or.kr/dsaf001/main.do?rcpNo=20240429900116", "공시열람")</f>
        <v/>
      </c>
    </row>
    <row r="5357">
      <c r="A5357" t="inlineStr">
        <is>
          <t>2024-04-29</t>
        </is>
      </c>
      <c r="B5357" t="inlineStr">
        <is>
          <t>리파인</t>
        </is>
      </c>
      <c r="C5357" t="inlineStr">
        <is>
          <t>377450</t>
        </is>
      </c>
      <c r="D5357" t="inlineStr">
        <is>
          <t>별도</t>
        </is>
      </c>
      <c r="E5357" t="inlineStr">
        <is>
          <t>2024Q1</t>
        </is>
      </c>
      <c r="F5357" s="2" t="n">
        <v>17951</v>
      </c>
      <c r="G5357" t="inlineStr"/>
      <c r="H5357" t="inlineStr"/>
      <c r="I5357" s="2" t="n">
        <v>6388</v>
      </c>
      <c r="J5357" t="inlineStr"/>
      <c r="K5357" t="inlineStr"/>
      <c r="L5357" s="2" t="n">
        <v>6706</v>
      </c>
      <c r="M5357" t="inlineStr"/>
      <c r="N5357" t="inlineStr">
        <is>
          <t>20240429900161</t>
        </is>
      </c>
      <c r="O5357">
        <f>HYPERLINK("https://dart.fss.or.kr/dsaf001/main.do?rcpNo=20240429900161", "공시열람")</f>
        <v/>
      </c>
    </row>
    <row r="5358">
      <c r="A5358" t="inlineStr">
        <is>
          <t>2024-04-29</t>
        </is>
      </c>
      <c r="B5358" t="inlineStr">
        <is>
          <t>두산밥캣</t>
        </is>
      </c>
      <c r="C5358" t="inlineStr">
        <is>
          <t>241560</t>
        </is>
      </c>
      <c r="D5358" t="inlineStr">
        <is>
          <t>연결</t>
        </is>
      </c>
      <c r="E5358" t="inlineStr">
        <is>
          <t>2024Q1</t>
        </is>
      </c>
      <c r="F5358" s="2" t="n">
        <v>2394600</v>
      </c>
      <c r="G5358" t="n">
        <v>3.4</v>
      </c>
      <c r="H5358" t="n">
        <v>-0.4</v>
      </c>
      <c r="I5358" s="2" t="n">
        <v>326000</v>
      </c>
      <c r="J5358" t="n">
        <v>27.3</v>
      </c>
      <c r="K5358" t="n">
        <v>-11.8</v>
      </c>
      <c r="L5358" s="2" t="n">
        <v>216800</v>
      </c>
      <c r="M5358" t="n">
        <v>4.5</v>
      </c>
      <c r="N5358" t="inlineStr">
        <is>
          <t>20240429800410</t>
        </is>
      </c>
      <c r="O5358">
        <f>HYPERLINK("https://dart.fss.or.kr/dsaf001/main.do?rcpNo=20240429800410", "공시열람")</f>
        <v/>
      </c>
    </row>
    <row r="5359">
      <c r="A5359" t="inlineStr">
        <is>
          <t>2024-04-29</t>
        </is>
      </c>
      <c r="B5359" t="inlineStr">
        <is>
          <t>엘에스일렉트릭</t>
        </is>
      </c>
      <c r="C5359" t="inlineStr">
        <is>
          <t>010120</t>
        </is>
      </c>
      <c r="D5359" t="inlineStr">
        <is>
          <t>연결</t>
        </is>
      </c>
      <c r="E5359" t="inlineStr">
        <is>
          <t>2024Q1</t>
        </is>
      </c>
      <c r="F5359" s="2" t="n">
        <v>1038639</v>
      </c>
      <c r="G5359" t="n">
        <v>0.8</v>
      </c>
      <c r="H5359" t="n">
        <v>6.44</v>
      </c>
      <c r="I5359" s="2" t="n">
        <v>93738</v>
      </c>
      <c r="J5359" t="n">
        <v>37.67</v>
      </c>
      <c r="K5359" t="n">
        <v>14.64</v>
      </c>
      <c r="L5359" s="2" t="n">
        <v>79713</v>
      </c>
      <c r="M5359" t="n">
        <v>57.87</v>
      </c>
      <c r="N5359" t="inlineStr">
        <is>
          <t>20240429800182</t>
        </is>
      </c>
      <c r="O5359">
        <f>HYPERLINK("https://dart.fss.or.kr/dsaf001/main.do?rcpNo=20240429800182", "공시열람")</f>
        <v/>
      </c>
    </row>
    <row r="5360">
      <c r="A5360" t="inlineStr">
        <is>
          <t>2024-04-29</t>
        </is>
      </c>
      <c r="B5360" t="inlineStr">
        <is>
          <t>대한유화</t>
        </is>
      </c>
      <c r="C5360" t="inlineStr">
        <is>
          <t>006650</t>
        </is>
      </c>
      <c r="D5360" t="inlineStr">
        <is>
          <t>연결</t>
        </is>
      </c>
      <c r="E5360" t="inlineStr">
        <is>
          <t>2024Q1</t>
        </is>
      </c>
      <c r="F5360" s="2" t="n">
        <v>663587</v>
      </c>
      <c r="G5360" t="n">
        <v>-1.24</v>
      </c>
      <c r="H5360" t="n">
        <v>25.42</v>
      </c>
      <c r="I5360" s="2" t="n">
        <v>-15651</v>
      </c>
      <c r="J5360" t="n">
        <v>-58.26</v>
      </c>
      <c r="K5360" t="n">
        <v>56.69</v>
      </c>
      <c r="L5360" s="2" t="n">
        <v>-6586</v>
      </c>
      <c r="M5360" t="n">
        <v>62.5</v>
      </c>
      <c r="N5360" t="inlineStr">
        <is>
          <t>20240429800677</t>
        </is>
      </c>
      <c r="O5360">
        <f>HYPERLINK("https://dart.fss.or.kr/dsaf001/main.do?rcpNo=20240429800677", "공시열람")</f>
        <v/>
      </c>
    </row>
    <row r="5361">
      <c r="A5361" t="inlineStr">
        <is>
          <t>2024-04-29</t>
        </is>
      </c>
      <c r="B5361" t="inlineStr">
        <is>
          <t>유나이티드</t>
        </is>
      </c>
      <c r="C5361" t="inlineStr">
        <is>
          <t>033270</t>
        </is>
      </c>
      <c r="D5361" t="inlineStr">
        <is>
          <t>별도</t>
        </is>
      </c>
      <c r="E5361" t="inlineStr">
        <is>
          <t>2024Q1</t>
        </is>
      </c>
      <c r="F5361" s="2" t="n">
        <v>73173</v>
      </c>
      <c r="G5361" t="n">
        <v>3.1</v>
      </c>
      <c r="H5361" t="n">
        <v>6.4</v>
      </c>
      <c r="I5361" s="2" t="n">
        <v>16867</v>
      </c>
      <c r="J5361" t="n">
        <v>62.1</v>
      </c>
      <c r="K5361" t="n">
        <v>35</v>
      </c>
      <c r="L5361" s="2" t="n">
        <v>19187</v>
      </c>
      <c r="M5361" t="n">
        <v>32.7</v>
      </c>
      <c r="N5361" t="inlineStr">
        <is>
          <t>20240429800655</t>
        </is>
      </c>
      <c r="O5361">
        <f>HYPERLINK("https://dart.fss.or.kr/dsaf001/main.do?rcpNo=20240429800655", "공시열람")</f>
        <v/>
      </c>
    </row>
    <row r="5362">
      <c r="A5362" t="inlineStr">
        <is>
          <t>2024-04-29</t>
        </is>
      </c>
      <c r="B5362" t="inlineStr">
        <is>
          <t>쎄트렉아이</t>
        </is>
      </c>
      <c r="C5362" t="inlineStr">
        <is>
          <t>099320</t>
        </is>
      </c>
      <c r="D5362" t="inlineStr">
        <is>
          <t>연결</t>
        </is>
      </c>
      <c r="E5362" t="inlineStr">
        <is>
          <t>2024Q1</t>
        </is>
      </c>
      <c r="F5362" s="2" t="n">
        <v>31719</v>
      </c>
      <c r="G5362" t="inlineStr"/>
      <c r="H5362" t="inlineStr"/>
      <c r="I5362" s="2" t="n">
        <v>-3533</v>
      </c>
      <c r="J5362" t="inlineStr"/>
      <c r="K5362" t="inlineStr"/>
      <c r="L5362" s="2" t="n">
        <v>-2979</v>
      </c>
      <c r="M5362" t="inlineStr"/>
      <c r="N5362" t="inlineStr">
        <is>
          <t>20240429900565</t>
        </is>
      </c>
      <c r="O5362">
        <f>HYPERLINK("https://dart.fss.or.kr/dsaf001/main.do?rcpNo=20240429900565", "공시열람")</f>
        <v/>
      </c>
    </row>
    <row r="5363">
      <c r="A5363" t="inlineStr">
        <is>
          <t>2024-04-29</t>
        </is>
      </c>
      <c r="B5363" t="inlineStr">
        <is>
          <t>세이브존I&amp;C</t>
        </is>
      </c>
      <c r="C5363" t="inlineStr">
        <is>
          <t>067830</t>
        </is>
      </c>
      <c r="D5363" t="inlineStr">
        <is>
          <t>별도</t>
        </is>
      </c>
      <c r="E5363" t="inlineStr">
        <is>
          <t>2024Q1</t>
        </is>
      </c>
      <c r="F5363" s="2" t="n">
        <v>30410</v>
      </c>
      <c r="G5363" t="inlineStr"/>
      <c r="H5363" t="inlineStr"/>
      <c r="I5363" s="2" t="n">
        <v>2811</v>
      </c>
      <c r="J5363" t="inlineStr"/>
      <c r="K5363" t="inlineStr"/>
      <c r="L5363" s="2" t="n">
        <v>3513</v>
      </c>
      <c r="M5363" t="inlineStr"/>
      <c r="N5363" t="inlineStr">
        <is>
          <t>20240429800623</t>
        </is>
      </c>
      <c r="O5363">
        <f>HYPERLINK("https://dart.fss.or.kr/dsaf001/main.do?rcpNo=20240429800623", "공시열람")</f>
        <v/>
      </c>
    </row>
    <row r="5364">
      <c r="A5364" t="inlineStr">
        <is>
          <t>2024-04-29</t>
        </is>
      </c>
      <c r="B5364" t="inlineStr">
        <is>
          <t>아모레퍼시픽</t>
        </is>
      </c>
      <c r="C5364" t="inlineStr">
        <is>
          <t>090430</t>
        </is>
      </c>
      <c r="D5364" t="inlineStr">
        <is>
          <t>연결</t>
        </is>
      </c>
      <c r="E5364" t="inlineStr">
        <is>
          <t>2024Q1</t>
        </is>
      </c>
      <c r="F5364" s="2" t="n">
        <v>911453</v>
      </c>
      <c r="G5364" t="n">
        <v>-1.6</v>
      </c>
      <c r="H5364" t="n">
        <v>-0.2</v>
      </c>
      <c r="I5364" s="2" t="n">
        <v>72676</v>
      </c>
      <c r="J5364" t="n">
        <v>251.5</v>
      </c>
      <c r="K5364" t="n">
        <v>12.9</v>
      </c>
      <c r="L5364" s="2" t="n">
        <v>80114</v>
      </c>
      <c r="M5364" t="n">
        <v>-10.7</v>
      </c>
      <c r="N5364" t="inlineStr">
        <is>
          <t>20240429800584</t>
        </is>
      </c>
      <c r="O5364">
        <f>HYPERLINK("https://dart.fss.or.kr/dsaf001/main.do?rcpNo=20240429800584", "공시열람")</f>
        <v/>
      </c>
    </row>
    <row r="5365">
      <c r="A5365" t="inlineStr">
        <is>
          <t>2024-04-29</t>
        </is>
      </c>
      <c r="B5365" t="inlineStr">
        <is>
          <t>RF머트리얼즈</t>
        </is>
      </c>
      <c r="C5365" t="inlineStr">
        <is>
          <t>327260</t>
        </is>
      </c>
      <c r="D5365" t="inlineStr">
        <is>
          <t>연결</t>
        </is>
      </c>
      <c r="E5365" t="inlineStr">
        <is>
          <t>2024Q1</t>
        </is>
      </c>
      <c r="F5365" s="2" t="n">
        <v>10527</v>
      </c>
      <c r="G5365" t="inlineStr"/>
      <c r="H5365" t="inlineStr"/>
      <c r="I5365" s="2" t="n">
        <v>-260</v>
      </c>
      <c r="J5365" t="inlineStr"/>
      <c r="K5365" t="inlineStr"/>
      <c r="L5365" s="2" t="n">
        <v>-27</v>
      </c>
      <c r="M5365" t="inlineStr"/>
      <c r="N5365" t="inlineStr">
        <is>
          <t>20240429900535</t>
        </is>
      </c>
      <c r="O5365">
        <f>HYPERLINK("https://dart.fss.or.kr/dsaf001/main.do?rcpNo=20240429900535", "공시열람")</f>
        <v/>
      </c>
    </row>
    <row r="5366">
      <c r="A5366" t="inlineStr">
        <is>
          <t>2024-04-29</t>
        </is>
      </c>
      <c r="B5366" t="inlineStr">
        <is>
          <t>RFHIC</t>
        </is>
      </c>
      <c r="C5366" t="inlineStr">
        <is>
          <t>218410</t>
        </is>
      </c>
      <c r="D5366" t="inlineStr">
        <is>
          <t>연결</t>
        </is>
      </c>
      <c r="E5366" t="inlineStr">
        <is>
          <t>2024Q1</t>
        </is>
      </c>
      <c r="F5366" s="2" t="n">
        <v>25563</v>
      </c>
      <c r="G5366" t="inlineStr"/>
      <c r="H5366" t="inlineStr"/>
      <c r="I5366" s="2" t="n">
        <v>402</v>
      </c>
      <c r="J5366" t="inlineStr"/>
      <c r="K5366" t="inlineStr"/>
      <c r="L5366" s="2" t="n">
        <v>22366</v>
      </c>
      <c r="M5366" t="inlineStr"/>
      <c r="N5366" t="inlineStr">
        <is>
          <t>20240429900531</t>
        </is>
      </c>
      <c r="O5366">
        <f>HYPERLINK("https://dart.fss.or.kr/dsaf001/main.do?rcpNo=20240429900531", "공시열람")</f>
        <v/>
      </c>
    </row>
    <row r="5367">
      <c r="A5367" t="inlineStr">
        <is>
          <t>2024-04-29</t>
        </is>
      </c>
      <c r="B5367" t="inlineStr">
        <is>
          <t>슈프리마</t>
        </is>
      </c>
      <c r="C5367" t="inlineStr">
        <is>
          <t>236200</t>
        </is>
      </c>
      <c r="D5367" t="inlineStr">
        <is>
          <t>연결</t>
        </is>
      </c>
      <c r="E5367" t="inlineStr">
        <is>
          <t>2024Q1</t>
        </is>
      </c>
      <c r="F5367" s="2" t="n">
        <v>20463</v>
      </c>
      <c r="G5367" t="inlineStr"/>
      <c r="H5367" t="inlineStr"/>
      <c r="I5367" s="2" t="n">
        <v>2218</v>
      </c>
      <c r="J5367" t="inlineStr"/>
      <c r="K5367" t="inlineStr"/>
      <c r="L5367" s="2" t="n">
        <v>6424</v>
      </c>
      <c r="M5367" t="inlineStr"/>
      <c r="N5367" t="inlineStr">
        <is>
          <t>20240429900483</t>
        </is>
      </c>
      <c r="O5367">
        <f>HYPERLINK("https://dart.fss.or.kr/dsaf001/main.do?rcpNo=20240429900483", "공시열람")</f>
        <v/>
      </c>
    </row>
    <row r="5368">
      <c r="A5368" t="inlineStr">
        <is>
          <t>2024-04-29</t>
        </is>
      </c>
      <c r="B5368" t="inlineStr">
        <is>
          <t>엘컴텍</t>
        </is>
      </c>
      <c r="C5368" t="inlineStr">
        <is>
          <t>037950</t>
        </is>
      </c>
      <c r="D5368" t="inlineStr">
        <is>
          <t>연결</t>
        </is>
      </c>
      <c r="E5368" t="inlineStr">
        <is>
          <t>2024Q1</t>
        </is>
      </c>
      <c r="F5368" s="2" t="n">
        <v>12258</v>
      </c>
      <c r="G5368" t="inlineStr"/>
      <c r="H5368" t="inlineStr"/>
      <c r="I5368" s="2" t="n">
        <v>459</v>
      </c>
      <c r="J5368" t="inlineStr"/>
      <c r="K5368" t="inlineStr"/>
      <c r="L5368" s="2" t="n">
        <v>933</v>
      </c>
      <c r="M5368" t="inlineStr"/>
      <c r="N5368" t="inlineStr">
        <is>
          <t>20240429900451</t>
        </is>
      </c>
      <c r="O5368">
        <f>HYPERLINK("https://dart.fss.or.kr/dsaf001/main.do?rcpNo=20240429900451", "공시열람")</f>
        <v/>
      </c>
    </row>
    <row r="5369">
      <c r="A5369" t="inlineStr">
        <is>
          <t>2024-04-29</t>
        </is>
      </c>
      <c r="B5369" t="inlineStr">
        <is>
          <t>금호타이어</t>
        </is>
      </c>
      <c r="C5369" t="inlineStr">
        <is>
          <t>073240</t>
        </is>
      </c>
      <c r="D5369" t="inlineStr">
        <is>
          <t>연결</t>
        </is>
      </c>
      <c r="E5369" t="inlineStr">
        <is>
          <t>2024Q1</t>
        </is>
      </c>
      <c r="F5369" s="2" t="n">
        <v>1044507</v>
      </c>
      <c r="G5369" t="n">
        <v>-1.5</v>
      </c>
      <c r="H5369" t="n">
        <v>4.6</v>
      </c>
      <c r="I5369" s="2" t="n">
        <v>145630</v>
      </c>
      <c r="J5369" t="n">
        <v>-15.4</v>
      </c>
      <c r="K5369" t="n">
        <v>167</v>
      </c>
      <c r="L5369" s="2" t="n">
        <v>90984</v>
      </c>
      <c r="M5369" t="n">
        <v>407.9</v>
      </c>
      <c r="N5369" t="inlineStr">
        <is>
          <t>20240429800427</t>
        </is>
      </c>
      <c r="O5369">
        <f>HYPERLINK("https://dart.fss.or.kr/dsaf001/main.do?rcpNo=20240429800427", "공시열람")</f>
        <v/>
      </c>
    </row>
    <row r="5370">
      <c r="A5370" t="inlineStr">
        <is>
          <t>2024-04-29</t>
        </is>
      </c>
      <c r="B5370" t="inlineStr">
        <is>
          <t>SK아이이테크놀로지</t>
        </is>
      </c>
      <c r="C5370" t="inlineStr">
        <is>
          <t>361610</t>
        </is>
      </c>
      <c r="D5370" t="inlineStr">
        <is>
          <t>연결</t>
        </is>
      </c>
      <c r="E5370" t="inlineStr">
        <is>
          <t>2024Q1</t>
        </is>
      </c>
      <c r="F5370" s="2" t="n">
        <v>46154</v>
      </c>
      <c r="G5370" t="inlineStr"/>
      <c r="H5370" t="inlineStr"/>
      <c r="I5370" s="2" t="n">
        <v>-67404</v>
      </c>
      <c r="J5370" t="inlineStr"/>
      <c r="K5370" t="inlineStr"/>
      <c r="L5370" s="2" t="n">
        <v>-60313</v>
      </c>
      <c r="M5370" t="inlineStr"/>
      <c r="N5370" t="inlineStr">
        <is>
          <t>20240429800416</t>
        </is>
      </c>
      <c r="O5370">
        <f>HYPERLINK("https://dart.fss.or.kr/dsaf001/main.do?rcpNo=20240429800416", "공시열람")</f>
        <v/>
      </c>
    </row>
    <row r="5371">
      <c r="A5371" t="inlineStr">
        <is>
          <t>2024-04-29</t>
        </is>
      </c>
      <c r="B5371" t="inlineStr">
        <is>
          <t>아모레퍼시픽홀딩스</t>
        </is>
      </c>
      <c r="C5371" t="inlineStr">
        <is>
          <t>002790</t>
        </is>
      </c>
      <c r="D5371" t="inlineStr">
        <is>
          <t>연결</t>
        </is>
      </c>
      <c r="E5371" t="inlineStr">
        <is>
          <t>2024Q1</t>
        </is>
      </c>
      <c r="F5371" s="2" t="n">
        <v>1006777</v>
      </c>
      <c r="G5371" t="n">
        <v>-1.1</v>
      </c>
      <c r="H5371" t="n">
        <v>-0.2</v>
      </c>
      <c r="I5371" s="2" t="n">
        <v>83037</v>
      </c>
      <c r="J5371" t="n">
        <v>178.2</v>
      </c>
      <c r="K5371" t="n">
        <v>1.7</v>
      </c>
      <c r="L5371" s="2" t="n">
        <v>97771</v>
      </c>
      <c r="M5371" t="n">
        <v>-15.4</v>
      </c>
      <c r="N5371" t="inlineStr">
        <is>
          <t>20240429800813</t>
        </is>
      </c>
      <c r="O5371">
        <f>HYPERLINK("https://dart.fss.or.kr/dsaf001/main.do?rcpNo=20240429800813", "공시열람")</f>
        <v/>
      </c>
    </row>
    <row r="5372">
      <c r="A5372" t="inlineStr">
        <is>
          <t>2024-04-29</t>
        </is>
      </c>
      <c r="B5372" t="inlineStr">
        <is>
          <t>기업은행</t>
        </is>
      </c>
      <c r="C5372" t="inlineStr">
        <is>
          <t>024110</t>
        </is>
      </c>
      <c r="D5372" t="inlineStr">
        <is>
          <t>연결</t>
        </is>
      </c>
      <c r="E5372" t="inlineStr">
        <is>
          <t>2024Q1</t>
        </is>
      </c>
      <c r="F5372" s="2" t="n">
        <v>9005734</v>
      </c>
      <c r="G5372" t="n">
        <v>20.8</v>
      </c>
      <c r="H5372" t="n">
        <v>-0.4</v>
      </c>
      <c r="I5372" s="2" t="n">
        <v>1029744</v>
      </c>
      <c r="J5372" t="n">
        <v>47.2</v>
      </c>
      <c r="K5372" t="n">
        <v>12.5</v>
      </c>
      <c r="L5372" s="2" t="n">
        <v>784476</v>
      </c>
      <c r="M5372" t="n">
        <v>8.5</v>
      </c>
      <c r="N5372" t="inlineStr">
        <is>
          <t>20240429800407</t>
        </is>
      </c>
      <c r="O5372">
        <f>HYPERLINK("https://dart.fss.or.kr/dsaf001/main.do?rcpNo=20240429800407", "공시열람")</f>
        <v/>
      </c>
    </row>
    <row r="5373">
      <c r="A5373" t="inlineStr">
        <is>
          <t>2024-04-29</t>
        </is>
      </c>
      <c r="B5373" t="inlineStr">
        <is>
          <t>삼성전기</t>
        </is>
      </c>
      <c r="C5373" t="inlineStr">
        <is>
          <t>009150</t>
        </is>
      </c>
      <c r="D5373" t="inlineStr">
        <is>
          <t>연결</t>
        </is>
      </c>
      <c r="E5373" t="inlineStr">
        <is>
          <t>2024Q1</t>
        </is>
      </c>
      <c r="F5373" s="2" t="n">
        <v>2624289</v>
      </c>
      <c r="G5373" t="inlineStr"/>
      <c r="H5373" t="inlineStr"/>
      <c r="I5373" s="2" t="n">
        <v>180317</v>
      </c>
      <c r="J5373" t="inlineStr"/>
      <c r="K5373" t="inlineStr"/>
      <c r="L5373" s="2" t="n">
        <v>186451</v>
      </c>
      <c r="M5373" t="inlineStr"/>
      <c r="N5373" t="inlineStr">
        <is>
          <t>20240429800231</t>
        </is>
      </c>
      <c r="O5373">
        <f>HYPERLINK("https://dart.fss.or.kr/dsaf001/main.do?rcpNo=20240429800231", "공시열람")</f>
        <v/>
      </c>
    </row>
    <row r="5374">
      <c r="A5374" t="inlineStr">
        <is>
          <t>2024-04-29</t>
        </is>
      </c>
      <c r="B5374" t="inlineStr">
        <is>
          <t>대웅제약</t>
        </is>
      </c>
      <c r="C5374" t="inlineStr">
        <is>
          <t>069620</t>
        </is>
      </c>
      <c r="D5374" t="inlineStr">
        <is>
          <t>별도</t>
        </is>
      </c>
      <c r="E5374" t="inlineStr">
        <is>
          <t>2024Q1</t>
        </is>
      </c>
      <c r="F5374" s="2" t="n">
        <v>296593</v>
      </c>
      <c r="G5374" t="n">
        <v>-7.18</v>
      </c>
      <c r="H5374" t="n">
        <v>1.47</v>
      </c>
      <c r="I5374" s="2" t="n">
        <v>31231</v>
      </c>
      <c r="J5374" t="n">
        <v>-2.55</v>
      </c>
      <c r="K5374" t="n">
        <v>0.83</v>
      </c>
      <c r="L5374" s="2" t="n">
        <v>10829</v>
      </c>
      <c r="M5374" t="n">
        <v>-47.11</v>
      </c>
      <c r="N5374" t="inlineStr">
        <is>
          <t>20240429800367</t>
        </is>
      </c>
      <c r="O5374">
        <f>HYPERLINK("https://dart.fss.or.kr/dsaf001/main.do?rcpNo=20240429800367", "공시열람")</f>
        <v/>
      </c>
    </row>
    <row r="5375">
      <c r="A5375" t="inlineStr">
        <is>
          <t>2024-04-29</t>
        </is>
      </c>
      <c r="B5375" t="inlineStr">
        <is>
          <t>SK가스</t>
        </is>
      </c>
      <c r="C5375" t="inlineStr">
        <is>
          <t>018670</t>
        </is>
      </c>
      <c r="D5375" t="inlineStr">
        <is>
          <t>연결</t>
        </is>
      </c>
      <c r="E5375" t="inlineStr">
        <is>
          <t>2024Q1</t>
        </is>
      </c>
      <c r="F5375" s="2" t="n">
        <v>1725906</v>
      </c>
      <c r="G5375" t="n">
        <v>6</v>
      </c>
      <c r="H5375" t="n">
        <v>-19.7</v>
      </c>
      <c r="I5375" s="2" t="n">
        <v>74621</v>
      </c>
      <c r="J5375" t="inlineStr"/>
      <c r="K5375" t="n">
        <v>-64.09999999999999</v>
      </c>
      <c r="L5375" s="2" t="n">
        <v>20291</v>
      </c>
      <c r="M5375" t="n">
        <v>-87</v>
      </c>
      <c r="N5375" t="inlineStr">
        <is>
          <t>20240429800185</t>
        </is>
      </c>
      <c r="O5375">
        <f>HYPERLINK("https://dart.fss.or.kr/dsaf001/main.do?rcpNo=20240429800185", "공시열람")</f>
        <v/>
      </c>
    </row>
    <row r="5376">
      <c r="A5376" t="inlineStr">
        <is>
          <t>2024-04-29</t>
        </is>
      </c>
      <c r="B5376" t="inlineStr">
        <is>
          <t>한솔제지</t>
        </is>
      </c>
      <c r="C5376" t="inlineStr">
        <is>
          <t>213500</t>
        </is>
      </c>
      <c r="D5376" t="inlineStr">
        <is>
          <t>연결</t>
        </is>
      </c>
      <c r="E5376" t="inlineStr">
        <is>
          <t>2024Q1</t>
        </is>
      </c>
      <c r="F5376" s="2" t="n">
        <v>534109</v>
      </c>
      <c r="G5376" t="n">
        <v>-8.1</v>
      </c>
      <c r="H5376" t="n">
        <v>-4.8</v>
      </c>
      <c r="I5376" s="2" t="n">
        <v>33970</v>
      </c>
      <c r="J5376" t="n">
        <v>244.5</v>
      </c>
      <c r="K5376" t="n">
        <v>336.5</v>
      </c>
      <c r="L5376" s="2" t="n">
        <v>23694</v>
      </c>
      <c r="M5376" t="inlineStr"/>
      <c r="N5376" t="inlineStr">
        <is>
          <t>20240429800293</t>
        </is>
      </c>
      <c r="O5376">
        <f>HYPERLINK("https://dart.fss.or.kr/dsaf001/main.do?rcpNo=20240429800293", "공시열람")</f>
        <v/>
      </c>
    </row>
    <row r="5377">
      <c r="A5377" t="inlineStr">
        <is>
          <t>2024-04-29</t>
        </is>
      </c>
      <c r="B5377" t="inlineStr">
        <is>
          <t>롯데정밀화학</t>
        </is>
      </c>
      <c r="C5377" t="inlineStr">
        <is>
          <t>004000</t>
        </is>
      </c>
      <c r="D5377" t="inlineStr">
        <is>
          <t>연결</t>
        </is>
      </c>
      <c r="E5377" t="inlineStr">
        <is>
          <t>2024Q1</t>
        </is>
      </c>
      <c r="F5377" s="2" t="n">
        <v>399400</v>
      </c>
      <c r="G5377" t="n">
        <v>-2.9</v>
      </c>
      <c r="H5377" t="n">
        <v>-23.9</v>
      </c>
      <c r="I5377" s="2" t="n">
        <v>10800</v>
      </c>
      <c r="J5377" t="n">
        <v>27.1</v>
      </c>
      <c r="K5377" t="n">
        <v>-74.3</v>
      </c>
      <c r="L5377" s="2" t="n">
        <v>83400</v>
      </c>
      <c r="M5377" t="n">
        <v>-55</v>
      </c>
      <c r="N5377" t="inlineStr">
        <is>
          <t>20240429800310</t>
        </is>
      </c>
      <c r="O5377">
        <f>HYPERLINK("https://dart.fss.or.kr/dsaf001/main.do?rcpNo=20240429800310", "공시열람")</f>
        <v/>
      </c>
    </row>
    <row r="5378">
      <c r="A5378" t="inlineStr">
        <is>
          <t>2024-04-29</t>
        </is>
      </c>
      <c r="B5378" t="inlineStr">
        <is>
          <t>한솔제지</t>
        </is>
      </c>
      <c r="C5378" t="inlineStr">
        <is>
          <t>213500</t>
        </is>
      </c>
      <c r="D5378" t="inlineStr">
        <is>
          <t>별도</t>
        </is>
      </c>
      <c r="E5378" t="inlineStr">
        <is>
          <t>2024Q1</t>
        </is>
      </c>
      <c r="F5378" s="2" t="n">
        <v>516769</v>
      </c>
      <c r="G5378" t="n">
        <v>-6.4</v>
      </c>
      <c r="H5378" t="n">
        <v>-1.3</v>
      </c>
      <c r="I5378" s="2" t="n">
        <v>35181</v>
      </c>
      <c r="J5378" t="n">
        <v>518.6</v>
      </c>
      <c r="K5378" t="inlineStr"/>
      <c r="L5378" s="2" t="n">
        <v>24694</v>
      </c>
      <c r="M5378" t="inlineStr"/>
      <c r="N5378" t="inlineStr">
        <is>
          <t>20240429800295</t>
        </is>
      </c>
      <c r="O5378">
        <f>HYPERLINK("https://dart.fss.or.kr/dsaf001/main.do?rcpNo=20240429800295", "공시열람")</f>
        <v/>
      </c>
    </row>
    <row r="5379">
      <c r="A5379" t="inlineStr">
        <is>
          <t>2024-04-26</t>
        </is>
      </c>
      <c r="B5379" t="inlineStr">
        <is>
          <t>효성티앤씨</t>
        </is>
      </c>
      <c r="C5379" t="inlineStr">
        <is>
          <t>298020</t>
        </is>
      </c>
      <c r="D5379" t="inlineStr">
        <is>
          <t>연결</t>
        </is>
      </c>
      <c r="E5379" t="inlineStr">
        <is>
          <t>2024Q1</t>
        </is>
      </c>
      <c r="F5379" s="2" t="n">
        <v>1879562</v>
      </c>
      <c r="G5379" t="n">
        <v>6.4</v>
      </c>
      <c r="H5379" t="n">
        <v>1</v>
      </c>
      <c r="I5379" s="2" t="n">
        <v>76056</v>
      </c>
      <c r="J5379" t="n">
        <v>162.4</v>
      </c>
      <c r="K5379" t="n">
        <v>9.699999999999999</v>
      </c>
      <c r="L5379" s="2" t="n">
        <v>56099</v>
      </c>
      <c r="M5379" t="n">
        <v>49.5</v>
      </c>
      <c r="N5379" t="inlineStr">
        <is>
          <t>20240426800758</t>
        </is>
      </c>
      <c r="O5379">
        <f>HYPERLINK("https://dart.fss.or.kr/dsaf001/main.do?rcpNo=20240426800758", "공시열람")</f>
        <v/>
      </c>
    </row>
    <row r="5380">
      <c r="A5380" t="inlineStr">
        <is>
          <t>2024-04-26</t>
        </is>
      </c>
      <c r="B5380" t="inlineStr">
        <is>
          <t>삼성중공업</t>
        </is>
      </c>
      <c r="C5380" t="inlineStr">
        <is>
          <t>010140</t>
        </is>
      </c>
      <c r="D5380" t="inlineStr">
        <is>
          <t>연결</t>
        </is>
      </c>
      <c r="E5380" t="inlineStr">
        <is>
          <t>2024Q1</t>
        </is>
      </c>
      <c r="F5380" s="2" t="n">
        <v>2347800</v>
      </c>
      <c r="G5380" t="n">
        <v>-3.5</v>
      </c>
      <c r="H5380" t="n">
        <v>46.3</v>
      </c>
      <c r="I5380" s="2" t="n">
        <v>77900</v>
      </c>
      <c r="J5380" t="n">
        <v>-1.4</v>
      </c>
      <c r="K5380" t="n">
        <v>297.4</v>
      </c>
      <c r="L5380" s="2" t="n">
        <v>7800</v>
      </c>
      <c r="M5380" t="n">
        <v>-16.1</v>
      </c>
      <c r="N5380" t="inlineStr">
        <is>
          <t>20240426800496</t>
        </is>
      </c>
      <c r="O5380">
        <f>HYPERLINK("https://dart.fss.or.kr/dsaf001/main.do?rcpNo=20240426800496", "공시열람")</f>
        <v/>
      </c>
    </row>
    <row r="5381">
      <c r="A5381" t="inlineStr">
        <is>
          <t>2024-04-26</t>
        </is>
      </c>
      <c r="B5381" t="inlineStr">
        <is>
          <t>에스원</t>
        </is>
      </c>
      <c r="C5381" t="inlineStr">
        <is>
          <t>012750</t>
        </is>
      </c>
      <c r="D5381" t="inlineStr">
        <is>
          <t>연결</t>
        </is>
      </c>
      <c r="E5381" t="inlineStr">
        <is>
          <t>2024Q1</t>
        </is>
      </c>
      <c r="F5381" s="2" t="n">
        <v>662820</v>
      </c>
      <c r="G5381" t="n">
        <v>-4.5</v>
      </c>
      <c r="H5381" t="n">
        <v>4.77</v>
      </c>
      <c r="I5381" s="2" t="n">
        <v>48796</v>
      </c>
      <c r="J5381" t="n">
        <v>16.05</v>
      </c>
      <c r="K5381" t="n">
        <v>-21.94</v>
      </c>
      <c r="L5381" s="2" t="n">
        <v>40657</v>
      </c>
      <c r="M5381" t="n">
        <v>-15.43</v>
      </c>
      <c r="N5381" t="inlineStr">
        <is>
          <t>20240426800327</t>
        </is>
      </c>
      <c r="O5381">
        <f>HYPERLINK("https://dart.fss.or.kr/dsaf001/main.do?rcpNo=20240426800327", "공시열람")</f>
        <v/>
      </c>
    </row>
    <row r="5382">
      <c r="A5382" t="inlineStr">
        <is>
          <t>2024-04-26</t>
        </is>
      </c>
      <c r="B5382" t="inlineStr">
        <is>
          <t>경보제약</t>
        </is>
      </c>
      <c r="C5382" t="inlineStr">
        <is>
          <t>214390</t>
        </is>
      </c>
      <c r="D5382" t="inlineStr">
        <is>
          <t>별도</t>
        </is>
      </c>
      <c r="E5382" t="inlineStr">
        <is>
          <t>2024Q1</t>
        </is>
      </c>
      <c r="F5382" s="2" t="n">
        <v>62600</v>
      </c>
      <c r="G5382" t="n">
        <v>2.2</v>
      </c>
      <c r="H5382" t="n">
        <v>30.5</v>
      </c>
      <c r="I5382" s="2" t="n">
        <v>3056</v>
      </c>
      <c r="J5382" t="n">
        <v>8.1</v>
      </c>
      <c r="K5382" t="inlineStr"/>
      <c r="L5382" s="2" t="n">
        <v>1650</v>
      </c>
      <c r="M5382" t="inlineStr"/>
      <c r="N5382" t="inlineStr">
        <is>
          <t>20240426800364</t>
        </is>
      </c>
      <c r="O5382">
        <f>HYPERLINK("https://dart.fss.or.kr/dsaf001/main.do?rcpNo=20240426800364", "공시열람")</f>
        <v/>
      </c>
    </row>
    <row r="5383">
      <c r="A5383" t="inlineStr">
        <is>
          <t>2024-04-26</t>
        </is>
      </c>
      <c r="B5383" t="inlineStr">
        <is>
          <t>옵투스제약</t>
        </is>
      </c>
      <c r="C5383" t="inlineStr">
        <is>
          <t>131030</t>
        </is>
      </c>
      <c r="D5383" t="inlineStr">
        <is>
          <t>별도</t>
        </is>
      </c>
      <c r="E5383" t="inlineStr">
        <is>
          <t>2024Q1</t>
        </is>
      </c>
      <c r="F5383" s="2" t="n">
        <v>18679</v>
      </c>
      <c r="G5383" t="inlineStr"/>
      <c r="H5383" t="inlineStr"/>
      <c r="I5383" s="2" t="n">
        <v>2235</v>
      </c>
      <c r="J5383" t="inlineStr"/>
      <c r="K5383" t="inlineStr"/>
      <c r="L5383" s="2" t="n">
        <v>2403</v>
      </c>
      <c r="M5383" t="inlineStr"/>
      <c r="N5383" t="inlineStr">
        <is>
          <t>20240426900374</t>
        </is>
      </c>
      <c r="O5383">
        <f>HYPERLINK("https://dart.fss.or.kr/dsaf001/main.do?rcpNo=20240426900374", "공시열람")</f>
        <v/>
      </c>
    </row>
    <row r="5384">
      <c r="A5384" t="inlineStr">
        <is>
          <t>2024-04-26</t>
        </is>
      </c>
      <c r="B5384" t="inlineStr">
        <is>
          <t>하나금융지주</t>
        </is>
      </c>
      <c r="C5384" t="inlineStr">
        <is>
          <t>086790</t>
        </is>
      </c>
      <c r="D5384" t="inlineStr">
        <is>
          <t>연결</t>
        </is>
      </c>
      <c r="E5384" t="inlineStr">
        <is>
          <t>2024Q1</t>
        </is>
      </c>
      <c r="F5384" s="2" t="n">
        <v>22437964</v>
      </c>
      <c r="G5384" t="n">
        <v>57.23</v>
      </c>
      <c r="H5384" t="n">
        <v>0.22</v>
      </c>
      <c r="I5384" s="2" t="n">
        <v>1563142</v>
      </c>
      <c r="J5384" t="n">
        <v>140.84</v>
      </c>
      <c r="K5384" t="n">
        <v>2.92</v>
      </c>
      <c r="L5384" s="2" t="n">
        <v>1041553</v>
      </c>
      <c r="M5384" t="n">
        <v>-6.12</v>
      </c>
      <c r="N5384" t="inlineStr">
        <is>
          <t>20240426800390</t>
        </is>
      </c>
      <c r="O5384">
        <f>HYPERLINK("https://dart.fss.or.kr/dsaf001/main.do?rcpNo=20240426800390", "공시열람")</f>
        <v/>
      </c>
    </row>
    <row r="5385">
      <c r="A5385" t="inlineStr">
        <is>
          <t>2024-04-26</t>
        </is>
      </c>
      <c r="B5385" t="inlineStr">
        <is>
          <t>하나금융지주</t>
        </is>
      </c>
      <c r="C5385" t="inlineStr">
        <is>
          <t>086790</t>
        </is>
      </c>
      <c r="D5385" t="inlineStr">
        <is>
          <t>연결</t>
        </is>
      </c>
      <c r="E5385" t="inlineStr">
        <is>
          <t>2024Q1</t>
        </is>
      </c>
      <c r="F5385" s="2" t="n">
        <v>17225480</v>
      </c>
      <c r="G5385" t="n">
        <v>72.16</v>
      </c>
      <c r="H5385" t="n">
        <v>3.77</v>
      </c>
      <c r="I5385" s="2" t="n">
        <v>1295318</v>
      </c>
      <c r="J5385" t="n">
        <v>37.51</v>
      </c>
      <c r="K5385" t="n">
        <v>-2.73</v>
      </c>
      <c r="L5385" s="2" t="n">
        <v>845849</v>
      </c>
      <c r="M5385" t="n">
        <v>-13.17</v>
      </c>
      <c r="N5385" t="inlineStr">
        <is>
          <t>20240426800391</t>
        </is>
      </c>
      <c r="O5385">
        <f>HYPERLINK("https://dart.fss.or.kr/dsaf001/main.do?rcpNo=20240426800391", "공시열람")</f>
        <v/>
      </c>
    </row>
    <row r="5386">
      <c r="A5386" t="inlineStr">
        <is>
          <t>2024-04-26</t>
        </is>
      </c>
      <c r="B5386" t="inlineStr">
        <is>
          <t>하나금융지주</t>
        </is>
      </c>
      <c r="C5386" t="inlineStr">
        <is>
          <t>086790</t>
        </is>
      </c>
      <c r="D5386" t="inlineStr">
        <is>
          <t>연결</t>
        </is>
      </c>
      <c r="E5386" t="inlineStr">
        <is>
          <t>2024Q1</t>
        </is>
      </c>
      <c r="F5386" s="2" t="n">
        <v>3877447</v>
      </c>
      <c r="G5386" t="n">
        <v>33.2</v>
      </c>
      <c r="H5386" t="n">
        <v>-15.47</v>
      </c>
      <c r="I5386" s="2" t="n">
        <v>109011</v>
      </c>
      <c r="J5386" t="inlineStr"/>
      <c r="K5386" t="n">
        <v>12.7</v>
      </c>
      <c r="L5386" s="2" t="n">
        <v>90507</v>
      </c>
      <c r="M5386" t="n">
        <v>8.5</v>
      </c>
      <c r="N5386" t="inlineStr">
        <is>
          <t>20240426800396</t>
        </is>
      </c>
      <c r="O5386">
        <f>HYPERLINK("https://dart.fss.or.kr/dsaf001/main.do?rcpNo=20240426800396", "공시열람")</f>
        <v/>
      </c>
    </row>
    <row r="5387">
      <c r="A5387" t="inlineStr">
        <is>
          <t>2024-04-26</t>
        </is>
      </c>
      <c r="B5387" t="inlineStr">
        <is>
          <t>하츠</t>
        </is>
      </c>
      <c r="C5387" t="inlineStr">
        <is>
          <t>066130</t>
        </is>
      </c>
      <c r="D5387" t="inlineStr">
        <is>
          <t>별도</t>
        </is>
      </c>
      <c r="E5387" t="inlineStr">
        <is>
          <t>2024Q1</t>
        </is>
      </c>
      <c r="F5387" s="2" t="n">
        <v>40904</v>
      </c>
      <c r="G5387" t="inlineStr"/>
      <c r="H5387" t="inlineStr"/>
      <c r="I5387" s="2" t="n">
        <v>2505</v>
      </c>
      <c r="J5387" t="inlineStr"/>
      <c r="K5387" t="inlineStr"/>
      <c r="L5387" s="2" t="n">
        <v>1929</v>
      </c>
      <c r="M5387" t="inlineStr"/>
      <c r="N5387" t="inlineStr">
        <is>
          <t>20240426900407</t>
        </is>
      </c>
      <c r="O5387">
        <f>HYPERLINK("https://dart.fss.or.kr/dsaf001/main.do?rcpNo=20240426900407", "공시열람")</f>
        <v/>
      </c>
    </row>
    <row r="5388">
      <c r="A5388" t="inlineStr">
        <is>
          <t>2024-04-26</t>
        </is>
      </c>
      <c r="B5388" t="inlineStr">
        <is>
          <t>IPARK현대산업개발</t>
        </is>
      </c>
      <c r="C5388" t="inlineStr">
        <is>
          <t>294870</t>
        </is>
      </c>
      <c r="D5388" t="inlineStr">
        <is>
          <t>연결</t>
        </is>
      </c>
      <c r="E5388" t="inlineStr">
        <is>
          <t>2024Q1</t>
        </is>
      </c>
      <c r="F5388" s="2" t="n">
        <v>955435</v>
      </c>
      <c r="G5388" t="n">
        <v>-16.9</v>
      </c>
      <c r="H5388" t="n">
        <v>-11.1</v>
      </c>
      <c r="I5388" s="2" t="n">
        <v>41597</v>
      </c>
      <c r="J5388" t="n">
        <v>-46.3</v>
      </c>
      <c r="K5388" t="n">
        <v>-17</v>
      </c>
      <c r="L5388" s="2" t="n">
        <v>30471</v>
      </c>
      <c r="M5388" t="n">
        <v>-24.6</v>
      </c>
      <c r="N5388" t="inlineStr">
        <is>
          <t>20240426800747</t>
        </is>
      </c>
      <c r="O5388">
        <f>HYPERLINK("https://dart.fss.or.kr/dsaf001/main.do?rcpNo=20240426800747", "공시열람")</f>
        <v/>
      </c>
    </row>
    <row r="5389">
      <c r="A5389" t="inlineStr">
        <is>
          <t>2024-04-26</t>
        </is>
      </c>
      <c r="B5389" t="inlineStr">
        <is>
          <t>효성</t>
        </is>
      </c>
      <c r="C5389" t="inlineStr">
        <is>
          <t>004800</t>
        </is>
      </c>
      <c r="D5389" t="inlineStr">
        <is>
          <t>연결</t>
        </is>
      </c>
      <c r="E5389" t="inlineStr">
        <is>
          <t>2024Q1</t>
        </is>
      </c>
      <c r="F5389" s="2" t="n">
        <v>836823</v>
      </c>
      <c r="G5389" t="n">
        <v>-9.5</v>
      </c>
      <c r="H5389" t="n">
        <v>4.6</v>
      </c>
      <c r="I5389" s="2" t="n">
        <v>25511</v>
      </c>
      <c r="J5389" t="n">
        <v>30.8</v>
      </c>
      <c r="K5389" t="n">
        <v>115.1</v>
      </c>
      <c r="L5389" s="2" t="n">
        <v>3401</v>
      </c>
      <c r="M5389" t="inlineStr"/>
      <c r="N5389" t="inlineStr">
        <is>
          <t>20240426800794</t>
        </is>
      </c>
      <c r="O5389">
        <f>HYPERLINK("https://dart.fss.or.kr/dsaf001/main.do?rcpNo=20240426800794", "공시열람")</f>
        <v/>
      </c>
    </row>
    <row r="5390">
      <c r="A5390" t="inlineStr">
        <is>
          <t>2024-04-26</t>
        </is>
      </c>
      <c r="B5390" t="inlineStr">
        <is>
          <t>동국제강</t>
        </is>
      </c>
      <c r="C5390" t="inlineStr">
        <is>
          <t>460860</t>
        </is>
      </c>
      <c r="D5390" t="inlineStr">
        <is>
          <t>별도</t>
        </is>
      </c>
      <c r="E5390" t="inlineStr">
        <is>
          <t>2024Q1</t>
        </is>
      </c>
      <c r="F5390" s="2" t="n">
        <v>927257</v>
      </c>
      <c r="G5390" t="n">
        <v>-17.4</v>
      </c>
      <c r="H5390" t="inlineStr"/>
      <c r="I5390" s="2" t="n">
        <v>52538</v>
      </c>
      <c r="J5390" t="n">
        <v>-33.12</v>
      </c>
      <c r="K5390" t="inlineStr"/>
      <c r="L5390" s="2" t="n">
        <v>29136</v>
      </c>
      <c r="M5390" t="inlineStr"/>
      <c r="N5390" t="inlineStr">
        <is>
          <t>20240426800325</t>
        </is>
      </c>
      <c r="O5390">
        <f>HYPERLINK("https://dart.fss.or.kr/dsaf001/main.do?rcpNo=20240426800325", "공시열람")</f>
        <v/>
      </c>
    </row>
    <row r="5391">
      <c r="A5391" t="inlineStr">
        <is>
          <t>2024-04-26</t>
        </is>
      </c>
      <c r="B5391" t="inlineStr">
        <is>
          <t>롯데하이마트</t>
        </is>
      </c>
      <c r="C5391" t="inlineStr">
        <is>
          <t>071840</t>
        </is>
      </c>
      <c r="D5391" t="inlineStr">
        <is>
          <t>별도</t>
        </is>
      </c>
      <c r="E5391" t="inlineStr">
        <is>
          <t>2024Q1</t>
        </is>
      </c>
      <c r="F5391" s="2" t="n">
        <v>525083</v>
      </c>
      <c r="G5391" t="n">
        <v>-9.199999999999999</v>
      </c>
      <c r="H5391" t="n">
        <v>-16.1</v>
      </c>
      <c r="I5391" s="2" t="n">
        <v>-16038</v>
      </c>
      <c r="J5391" t="n">
        <v>-59.8</v>
      </c>
      <c r="K5391" t="n">
        <v>37.9</v>
      </c>
      <c r="L5391" s="2" t="n">
        <v>-19531</v>
      </c>
      <c r="M5391" t="n">
        <v>-8</v>
      </c>
      <c r="N5391" t="inlineStr">
        <is>
          <t>20240426800506</t>
        </is>
      </c>
      <c r="O5391">
        <f>HYPERLINK("https://dart.fss.or.kr/dsaf001/main.do?rcpNo=20240426800506", "공시열람")</f>
        <v/>
      </c>
    </row>
    <row r="5392">
      <c r="A5392" t="inlineStr">
        <is>
          <t>2024-04-26</t>
        </is>
      </c>
      <c r="B5392" t="inlineStr">
        <is>
          <t>해성디에스</t>
        </is>
      </c>
      <c r="C5392" t="inlineStr">
        <is>
          <t>195870</t>
        </is>
      </c>
      <c r="D5392" t="inlineStr">
        <is>
          <t>연결</t>
        </is>
      </c>
      <c r="E5392" t="inlineStr">
        <is>
          <t>2024Q1</t>
        </is>
      </c>
      <c r="F5392" s="2" t="n">
        <v>154900</v>
      </c>
      <c r="G5392" t="n">
        <v>6.7</v>
      </c>
      <c r="H5392" t="n">
        <v>-19.5</v>
      </c>
      <c r="I5392" s="2" t="n">
        <v>20900</v>
      </c>
      <c r="J5392" t="n">
        <v>27.8</v>
      </c>
      <c r="K5392" t="n">
        <v>-32.8</v>
      </c>
      <c r="L5392" s="2" t="n">
        <v>19500</v>
      </c>
      <c r="M5392" t="n">
        <v>-28.5</v>
      </c>
      <c r="N5392" t="inlineStr">
        <is>
          <t>20240426800547</t>
        </is>
      </c>
      <c r="O5392">
        <f>HYPERLINK("https://dart.fss.or.kr/dsaf001/main.do?rcpNo=20240426800547", "공시열람")</f>
        <v/>
      </c>
    </row>
    <row r="5393">
      <c r="A5393" t="inlineStr">
        <is>
          <t>2024-04-26</t>
        </is>
      </c>
      <c r="B5393" t="inlineStr">
        <is>
          <t>효성중공업</t>
        </is>
      </c>
      <c r="C5393" t="inlineStr">
        <is>
          <t>298040</t>
        </is>
      </c>
      <c r="D5393" t="inlineStr">
        <is>
          <t>연결</t>
        </is>
      </c>
      <c r="E5393" t="inlineStr">
        <is>
          <t>2024Q1</t>
        </is>
      </c>
      <c r="F5393" s="2" t="n">
        <v>984508</v>
      </c>
      <c r="G5393" t="n">
        <v>-23.8</v>
      </c>
      <c r="H5393" t="n">
        <v>16.31</v>
      </c>
      <c r="I5393" s="2" t="n">
        <v>56165</v>
      </c>
      <c r="J5393" t="n">
        <v>-11.47</v>
      </c>
      <c r="K5393" t="n">
        <v>298.22</v>
      </c>
      <c r="L5393" s="2" t="n">
        <v>26229</v>
      </c>
      <c r="M5393" t="inlineStr"/>
      <c r="N5393" t="inlineStr">
        <is>
          <t>20240426800629</t>
        </is>
      </c>
      <c r="O5393">
        <f>HYPERLINK("https://dart.fss.or.kr/dsaf001/main.do?rcpNo=20240426800629", "공시열람")</f>
        <v/>
      </c>
    </row>
    <row r="5394">
      <c r="A5394" t="inlineStr">
        <is>
          <t>2024-04-26</t>
        </is>
      </c>
      <c r="B5394" t="inlineStr">
        <is>
          <t>효성 ITX</t>
        </is>
      </c>
      <c r="C5394" t="inlineStr">
        <is>
          <t>094280</t>
        </is>
      </c>
      <c r="D5394" t="inlineStr">
        <is>
          <t>연결</t>
        </is>
      </c>
      <c r="E5394" t="inlineStr">
        <is>
          <t>2024Q1</t>
        </is>
      </c>
      <c r="F5394" s="2" t="n">
        <v>126703</v>
      </c>
      <c r="G5394" t="n">
        <v>-5.64</v>
      </c>
      <c r="H5394" t="n">
        <v>2.59</v>
      </c>
      <c r="I5394" s="2" t="n">
        <v>4559</v>
      </c>
      <c r="J5394" t="n">
        <v>-6.98</v>
      </c>
      <c r="K5394" t="n">
        <v>-9.640000000000001</v>
      </c>
      <c r="L5394" s="2" t="n">
        <v>3419</v>
      </c>
      <c r="M5394" t="n">
        <v>-7.79</v>
      </c>
      <c r="N5394" t="inlineStr">
        <is>
          <t>20240426800647</t>
        </is>
      </c>
      <c r="O5394">
        <f>HYPERLINK("https://dart.fss.or.kr/dsaf001/main.do?rcpNo=20240426800647", "공시열람")</f>
        <v/>
      </c>
    </row>
    <row r="5395">
      <c r="A5395" t="inlineStr">
        <is>
          <t>2024-04-26</t>
        </is>
      </c>
      <c r="B5395" t="inlineStr">
        <is>
          <t>효성화학</t>
        </is>
      </c>
      <c r="C5395" t="inlineStr">
        <is>
          <t>298000</t>
        </is>
      </c>
      <c r="D5395" t="inlineStr">
        <is>
          <t>연결</t>
        </is>
      </c>
      <c r="E5395" t="inlineStr">
        <is>
          <t>2024Q1</t>
        </is>
      </c>
      <c r="F5395" s="2" t="n">
        <v>710348</v>
      </c>
      <c r="G5395" t="n">
        <v>3.47</v>
      </c>
      <c r="H5395" t="n">
        <v>6.1</v>
      </c>
      <c r="I5395" s="2" t="n">
        <v>-34829</v>
      </c>
      <c r="J5395" t="n">
        <v>7.03</v>
      </c>
      <c r="K5395" t="n">
        <v>23.06</v>
      </c>
      <c r="L5395" s="2" t="n">
        <v>-73903</v>
      </c>
      <c r="M5395" t="n">
        <v>10.22</v>
      </c>
      <c r="N5395" t="inlineStr">
        <is>
          <t>20240426800726</t>
        </is>
      </c>
      <c r="O5395">
        <f>HYPERLINK("https://dart.fss.or.kr/dsaf001/main.do?rcpNo=20240426800726", "공시열람")</f>
        <v/>
      </c>
    </row>
    <row r="5396">
      <c r="A5396" t="inlineStr">
        <is>
          <t>2024-04-26</t>
        </is>
      </c>
      <c r="B5396" t="inlineStr">
        <is>
          <t>자이에스앤디</t>
        </is>
      </c>
      <c r="C5396" t="inlineStr">
        <is>
          <t>317400</t>
        </is>
      </c>
      <c r="D5396" t="inlineStr">
        <is>
          <t>연결</t>
        </is>
      </c>
      <c r="E5396" t="inlineStr">
        <is>
          <t>2024Q1</t>
        </is>
      </c>
      <c r="F5396" s="2" t="n">
        <v>400475</v>
      </c>
      <c r="G5396" t="n">
        <v>-16.52</v>
      </c>
      <c r="H5396" t="n">
        <v>-47.8</v>
      </c>
      <c r="I5396" s="2" t="n">
        <v>591</v>
      </c>
      <c r="J5396" t="n">
        <v>-97.04000000000001</v>
      </c>
      <c r="K5396" t="n">
        <v>-98.76000000000001</v>
      </c>
      <c r="L5396" s="2" t="n">
        <v>500</v>
      </c>
      <c r="M5396" t="n">
        <v>-98.69</v>
      </c>
      <c r="N5396" t="inlineStr">
        <is>
          <t>20240426800488</t>
        </is>
      </c>
      <c r="O5396">
        <f>HYPERLINK("https://dart.fss.or.kr/dsaf001/main.do?rcpNo=20240426800488", "공시열람")</f>
        <v/>
      </c>
    </row>
    <row r="5397">
      <c r="A5397" t="inlineStr">
        <is>
          <t>2024-04-26</t>
        </is>
      </c>
      <c r="B5397" t="inlineStr">
        <is>
          <t>신한지주</t>
        </is>
      </c>
      <c r="C5397" t="inlineStr">
        <is>
          <t>055550</t>
        </is>
      </c>
      <c r="D5397" t="inlineStr">
        <is>
          <t>연결</t>
        </is>
      </c>
      <c r="E5397" t="inlineStr">
        <is>
          <t>2024Q1</t>
        </is>
      </c>
      <c r="F5397" s="2" t="n">
        <v>1521890</v>
      </c>
      <c r="G5397" t="n">
        <v>19.82</v>
      </c>
      <c r="H5397" t="n">
        <v>11.83</v>
      </c>
      <c r="I5397" s="2" t="n">
        <v>237048</v>
      </c>
      <c r="J5397" t="n">
        <v>18.15</v>
      </c>
      <c r="K5397" t="n">
        <v>16.64</v>
      </c>
      <c r="L5397" s="2" t="n">
        <v>185647</v>
      </c>
      <c r="M5397" t="n">
        <v>11.02</v>
      </c>
      <c r="N5397" t="inlineStr">
        <is>
          <t>20240426800242</t>
        </is>
      </c>
      <c r="O5397">
        <f>HYPERLINK("https://dart.fss.or.kr/dsaf001/main.do?rcpNo=20240426800242", "공시열람")</f>
        <v/>
      </c>
    </row>
    <row r="5398">
      <c r="A5398" t="inlineStr">
        <is>
          <t>2024-04-26</t>
        </is>
      </c>
      <c r="B5398" t="inlineStr">
        <is>
          <t>기아</t>
        </is>
      </c>
      <c r="C5398" t="inlineStr">
        <is>
          <t>000270</t>
        </is>
      </c>
      <c r="D5398" t="inlineStr">
        <is>
          <t>연결</t>
        </is>
      </c>
      <c r="E5398" t="inlineStr">
        <is>
          <t>2024Q1</t>
        </is>
      </c>
      <c r="F5398" s="2" t="n">
        <v>26212851</v>
      </c>
      <c r="G5398" t="n">
        <v>7.7</v>
      </c>
      <c r="H5398" t="n">
        <v>10.6</v>
      </c>
      <c r="I5398" s="2" t="n">
        <v>3425711</v>
      </c>
      <c r="J5398" t="n">
        <v>38.9</v>
      </c>
      <c r="K5398" t="n">
        <v>19.2</v>
      </c>
      <c r="L5398" s="2" t="n">
        <v>2809052</v>
      </c>
      <c r="M5398" t="n">
        <v>32.5</v>
      </c>
      <c r="N5398" t="inlineStr">
        <is>
          <t>20240426800334</t>
        </is>
      </c>
      <c r="O5398">
        <f>HYPERLINK("https://dart.fss.or.kr/dsaf001/main.do?rcpNo=20240426800334", "공시열람")</f>
        <v/>
      </c>
    </row>
    <row r="5399">
      <c r="A5399" t="inlineStr">
        <is>
          <t>2024-04-26</t>
        </is>
      </c>
      <c r="B5399" t="inlineStr">
        <is>
          <t>현대로템</t>
        </is>
      </c>
      <c r="C5399" t="inlineStr">
        <is>
          <t>064350</t>
        </is>
      </c>
      <c r="D5399" t="inlineStr">
        <is>
          <t>연결</t>
        </is>
      </c>
      <c r="E5399" t="inlineStr">
        <is>
          <t>2024Q1</t>
        </is>
      </c>
      <c r="F5399" s="2" t="n">
        <v>747779</v>
      </c>
      <c r="G5399" t="n">
        <v>-24.4</v>
      </c>
      <c r="H5399" t="n">
        <v>9.300000000000001</v>
      </c>
      <c r="I5399" s="2" t="n">
        <v>44684</v>
      </c>
      <c r="J5399" t="n">
        <v>-36</v>
      </c>
      <c r="K5399" t="n">
        <v>40</v>
      </c>
      <c r="L5399" s="2" t="n">
        <v>55633</v>
      </c>
      <c r="M5399" t="n">
        <v>207.5</v>
      </c>
      <c r="N5399" t="inlineStr">
        <is>
          <t>20240426800082</t>
        </is>
      </c>
      <c r="O5399">
        <f>HYPERLINK("https://dart.fss.or.kr/dsaf001/main.do?rcpNo=20240426800082", "공시열람")</f>
        <v/>
      </c>
    </row>
    <row r="5400">
      <c r="A5400" t="inlineStr">
        <is>
          <t>2024-04-26</t>
        </is>
      </c>
      <c r="B5400" t="inlineStr">
        <is>
          <t>HL만도</t>
        </is>
      </c>
      <c r="C5400" t="inlineStr">
        <is>
          <t>204320</t>
        </is>
      </c>
      <c r="D5400" t="inlineStr">
        <is>
          <t>연결</t>
        </is>
      </c>
      <c r="E5400" t="inlineStr">
        <is>
          <t>2024Q1</t>
        </is>
      </c>
      <c r="F5400" s="2" t="n">
        <v>2107342</v>
      </c>
      <c r="G5400" t="n">
        <v>-3.8</v>
      </c>
      <c r="H5400" t="n">
        <v>5.5</v>
      </c>
      <c r="I5400" s="2" t="n">
        <v>75618</v>
      </c>
      <c r="J5400" t="n">
        <v>49.5</v>
      </c>
      <c r="K5400" t="n">
        <v>7.7</v>
      </c>
      <c r="L5400" s="2" t="n">
        <v>145739</v>
      </c>
      <c r="M5400" t="n">
        <v>234.5</v>
      </c>
      <c r="N5400" t="inlineStr">
        <is>
          <t>20240426800515</t>
        </is>
      </c>
      <c r="O5400">
        <f>HYPERLINK("https://dart.fss.or.kr/dsaf001/main.do?rcpNo=20240426800515", "공시열람")</f>
        <v/>
      </c>
    </row>
    <row r="5401">
      <c r="A5401" t="inlineStr">
        <is>
          <t>2024-04-26</t>
        </is>
      </c>
      <c r="B5401" t="inlineStr">
        <is>
          <t>우리금융지주</t>
        </is>
      </c>
      <c r="C5401" t="inlineStr">
        <is>
          <t>316140</t>
        </is>
      </c>
      <c r="D5401" t="inlineStr">
        <is>
          <t>연결</t>
        </is>
      </c>
      <c r="E5401" t="inlineStr">
        <is>
          <t>2024Q1</t>
        </is>
      </c>
      <c r="F5401" s="2" t="n">
        <v>12851290</v>
      </c>
      <c r="G5401" t="inlineStr"/>
      <c r="H5401" t="inlineStr"/>
      <c r="I5401" s="2" t="n">
        <v>1149233</v>
      </c>
      <c r="J5401" t="inlineStr"/>
      <c r="K5401" t="inlineStr"/>
      <c r="L5401" s="2" t="n">
        <v>839525</v>
      </c>
      <c r="M5401" t="inlineStr"/>
      <c r="N5401" t="inlineStr">
        <is>
          <t>20240426800516</t>
        </is>
      </c>
      <c r="O5401">
        <f>HYPERLINK("https://dart.fss.or.kr/dsaf001/main.do?rcpNo=20240426800516", "공시열람")</f>
        <v/>
      </c>
    </row>
    <row r="5402">
      <c r="A5402" t="inlineStr">
        <is>
          <t>2024-04-26</t>
        </is>
      </c>
      <c r="B5402" t="inlineStr">
        <is>
          <t>우리금융지주</t>
        </is>
      </c>
      <c r="C5402" t="inlineStr">
        <is>
          <t>316140</t>
        </is>
      </c>
      <c r="D5402" t="inlineStr">
        <is>
          <t>연결</t>
        </is>
      </c>
      <c r="E5402" t="inlineStr">
        <is>
          <t>2024Q1</t>
        </is>
      </c>
      <c r="F5402" s="2" t="n">
        <v>11719621</v>
      </c>
      <c r="G5402" t="inlineStr"/>
      <c r="H5402" t="inlineStr"/>
      <c r="I5402" s="2" t="n">
        <v>1076844</v>
      </c>
      <c r="J5402" t="inlineStr"/>
      <c r="K5402" t="inlineStr"/>
      <c r="L5402" s="2" t="n">
        <v>792210</v>
      </c>
      <c r="M5402" t="inlineStr"/>
      <c r="N5402" t="inlineStr">
        <is>
          <t>20240426800520</t>
        </is>
      </c>
      <c r="O5402">
        <f>HYPERLINK("https://dart.fss.or.kr/dsaf001/main.do?rcpNo=20240426800520", "공시열람")</f>
        <v/>
      </c>
    </row>
    <row r="5403">
      <c r="A5403" t="inlineStr">
        <is>
          <t>2024-04-26</t>
        </is>
      </c>
      <c r="B5403" t="inlineStr">
        <is>
          <t>S-Oil</t>
        </is>
      </c>
      <c r="C5403" t="inlineStr">
        <is>
          <t>010950</t>
        </is>
      </c>
      <c r="D5403" t="inlineStr">
        <is>
          <t>연결</t>
        </is>
      </c>
      <c r="E5403" t="inlineStr">
        <is>
          <t>2024Q1</t>
        </is>
      </c>
      <c r="F5403" s="2" t="n">
        <v>9308489</v>
      </c>
      <c r="G5403" t="inlineStr"/>
      <c r="H5403" t="inlineStr"/>
      <c r="I5403" s="2" t="n">
        <v>454106</v>
      </c>
      <c r="J5403" t="inlineStr"/>
      <c r="K5403" t="inlineStr"/>
      <c r="L5403" s="2" t="n">
        <v>166203</v>
      </c>
      <c r="M5403" t="inlineStr"/>
      <c r="N5403" t="inlineStr">
        <is>
          <t>20240426800055</t>
        </is>
      </c>
      <c r="O5403">
        <f>HYPERLINK("https://dart.fss.or.kr/dsaf001/main.do?rcpNo=20240426800055", "공시열람")</f>
        <v/>
      </c>
    </row>
    <row r="5404">
      <c r="A5404" t="inlineStr">
        <is>
          <t>2024-04-26</t>
        </is>
      </c>
      <c r="B5404" t="inlineStr">
        <is>
          <t>삼성카드</t>
        </is>
      </c>
      <c r="C5404" t="inlineStr">
        <is>
          <t>029780</t>
        </is>
      </c>
      <c r="D5404" t="inlineStr">
        <is>
          <t>연결</t>
        </is>
      </c>
      <c r="E5404" t="inlineStr">
        <is>
          <t>2024Q1</t>
        </is>
      </c>
      <c r="F5404" s="2" t="n">
        <v>1106000</v>
      </c>
      <c r="G5404" t="n">
        <v>18.5</v>
      </c>
      <c r="H5404" t="n">
        <v>3.4</v>
      </c>
      <c r="I5404" s="2" t="n">
        <v>241200</v>
      </c>
      <c r="J5404" t="n">
        <v>1</v>
      </c>
      <c r="K5404" t="n">
        <v>25.7</v>
      </c>
      <c r="L5404" s="2" t="n">
        <v>177900</v>
      </c>
      <c r="M5404" t="n">
        <v>22.3</v>
      </c>
      <c r="N5404" t="inlineStr">
        <is>
          <t>20240426800061</t>
        </is>
      </c>
      <c r="O5404">
        <f>HYPERLINK("https://dart.fss.or.kr/dsaf001/main.do?rcpNo=20240426800061", "공시열람")</f>
        <v/>
      </c>
    </row>
    <row r="5405">
      <c r="A5405" t="inlineStr">
        <is>
          <t>2024-04-26</t>
        </is>
      </c>
      <c r="B5405" t="inlineStr">
        <is>
          <t>종근당바이오</t>
        </is>
      </c>
      <c r="C5405" t="inlineStr">
        <is>
          <t>063160</t>
        </is>
      </c>
      <c r="D5405" t="inlineStr">
        <is>
          <t>별도</t>
        </is>
      </c>
      <c r="E5405" t="inlineStr">
        <is>
          <t>2024Q1</t>
        </is>
      </c>
      <c r="F5405" s="2" t="n">
        <v>45536</v>
      </c>
      <c r="G5405" t="inlineStr"/>
      <c r="H5405" t="inlineStr"/>
      <c r="I5405" s="2" t="n">
        <v>3187</v>
      </c>
      <c r="J5405" t="inlineStr"/>
      <c r="K5405" t="inlineStr"/>
      <c r="L5405" s="2" t="n">
        <v>2832</v>
      </c>
      <c r="M5405" t="inlineStr"/>
      <c r="N5405" t="inlineStr">
        <is>
          <t>20240426800065</t>
        </is>
      </c>
      <c r="O5405">
        <f>HYPERLINK("https://dart.fss.or.kr/dsaf001/main.do?rcpNo=20240426800065", "공시열람")</f>
        <v/>
      </c>
    </row>
    <row r="5406">
      <c r="A5406" t="inlineStr">
        <is>
          <t>2024-04-26</t>
        </is>
      </c>
      <c r="B5406" t="inlineStr">
        <is>
          <t>GS건설</t>
        </is>
      </c>
      <c r="C5406" t="inlineStr">
        <is>
          <t>006360</t>
        </is>
      </c>
      <c r="D5406" t="inlineStr">
        <is>
          <t>연결</t>
        </is>
      </c>
      <c r="E5406" t="inlineStr">
        <is>
          <t>2024Q1</t>
        </is>
      </c>
      <c r="F5406" s="2" t="n">
        <v>3070914</v>
      </c>
      <c r="G5406" t="n">
        <v>-7.54</v>
      </c>
      <c r="H5406" t="n">
        <v>-12.58</v>
      </c>
      <c r="I5406" s="2" t="n">
        <v>70624</v>
      </c>
      <c r="J5406" t="inlineStr"/>
      <c r="K5406" t="n">
        <v>-55.55</v>
      </c>
      <c r="L5406" s="2" t="n">
        <v>138294</v>
      </c>
      <c r="M5406" t="n">
        <v>-15.34</v>
      </c>
      <c r="N5406" t="inlineStr">
        <is>
          <t>20240426800069</t>
        </is>
      </c>
      <c r="O5406">
        <f>HYPERLINK("https://dart.fss.or.kr/dsaf001/main.do?rcpNo=20240426800069", "공시열람")</f>
        <v/>
      </c>
    </row>
    <row r="5407">
      <c r="A5407" t="inlineStr">
        <is>
          <t>2024-04-26</t>
        </is>
      </c>
      <c r="B5407" t="inlineStr">
        <is>
          <t>골프존</t>
        </is>
      </c>
      <c r="C5407" t="inlineStr">
        <is>
          <t>215000</t>
        </is>
      </c>
      <c r="D5407" t="inlineStr">
        <is>
          <t>연결</t>
        </is>
      </c>
      <c r="E5407" t="inlineStr">
        <is>
          <t>2024Q1</t>
        </is>
      </c>
      <c r="F5407" s="2" t="n">
        <v>182117</v>
      </c>
      <c r="G5407" t="inlineStr"/>
      <c r="H5407" t="inlineStr"/>
      <c r="I5407" s="2" t="n">
        <v>31762</v>
      </c>
      <c r="J5407" t="inlineStr"/>
      <c r="K5407" t="inlineStr"/>
      <c r="L5407" s="2" t="inlineStr"/>
      <c r="M5407" t="inlineStr"/>
      <c r="N5407" t="inlineStr">
        <is>
          <t>20240426900927</t>
        </is>
      </c>
      <c r="O5407">
        <f>HYPERLINK("https://dart.fss.or.kr/dsaf001/main.do?rcpNo=20240426900927", "공시열람")</f>
        <v/>
      </c>
    </row>
    <row r="5408">
      <c r="A5408" t="inlineStr">
        <is>
          <t>2024-04-26</t>
        </is>
      </c>
      <c r="B5408" t="inlineStr">
        <is>
          <t>LIG디펜스앤에어로스페이스</t>
        </is>
      </c>
      <c r="C5408" t="inlineStr">
        <is>
          <t>079550</t>
        </is>
      </c>
      <c r="D5408" t="inlineStr">
        <is>
          <t>연결</t>
        </is>
      </c>
      <c r="E5408" t="inlineStr">
        <is>
          <t>2024Q1</t>
        </is>
      </c>
      <c r="F5408" s="2" t="n">
        <v>763500</v>
      </c>
      <c r="G5408" t="n">
        <v>12.3</v>
      </c>
      <c r="H5408" t="n">
        <v>39.6</v>
      </c>
      <c r="I5408" s="2" t="n">
        <v>67000</v>
      </c>
      <c r="J5408" t="n">
        <v>81.5</v>
      </c>
      <c r="K5408" t="n">
        <v>-1.8</v>
      </c>
      <c r="L5408" s="2" t="n">
        <v>60600</v>
      </c>
      <c r="M5408" t="n">
        <v>1.4</v>
      </c>
      <c r="N5408" t="inlineStr">
        <is>
          <t>20240426800270</t>
        </is>
      </c>
      <c r="O5408">
        <f>HYPERLINK("https://dart.fss.or.kr/dsaf001/main.do?rcpNo=20240426800270", "공시열람")</f>
        <v/>
      </c>
    </row>
    <row r="5409">
      <c r="A5409" t="inlineStr">
        <is>
          <t>2024-04-26</t>
        </is>
      </c>
      <c r="B5409" t="inlineStr">
        <is>
          <t>현대모비스</t>
        </is>
      </c>
      <c r="C5409" t="inlineStr">
        <is>
          <t>012330</t>
        </is>
      </c>
      <c r="D5409" t="inlineStr">
        <is>
          <t>연결</t>
        </is>
      </c>
      <c r="E5409" t="inlineStr">
        <is>
          <t>2024Q1</t>
        </is>
      </c>
      <c r="F5409" s="2" t="n">
        <v>13869224</v>
      </c>
      <c r="G5409" t="n">
        <v>-5.47</v>
      </c>
      <c r="H5409" t="n">
        <v>-5.44</v>
      </c>
      <c r="I5409" s="2" t="n">
        <v>542660</v>
      </c>
      <c r="J5409" t="n">
        <v>3.72</v>
      </c>
      <c r="K5409" t="n">
        <v>29.79</v>
      </c>
      <c r="L5409" s="2" t="n">
        <v>862371</v>
      </c>
      <c r="M5409" t="n">
        <v>2.44</v>
      </c>
      <c r="N5409" t="inlineStr">
        <is>
          <t>20240426800105</t>
        </is>
      </c>
      <c r="O5409">
        <f>HYPERLINK("https://dart.fss.or.kr/dsaf001/main.do?rcpNo=20240426800105", "공시열람")</f>
        <v/>
      </c>
    </row>
    <row r="5410">
      <c r="A5410" t="inlineStr">
        <is>
          <t>2024-04-26</t>
        </is>
      </c>
      <c r="B5410" t="inlineStr">
        <is>
          <t>한화시스템</t>
        </is>
      </c>
      <c r="C5410" t="inlineStr">
        <is>
          <t>272210</t>
        </is>
      </c>
      <c r="D5410" t="inlineStr">
        <is>
          <t>연결</t>
        </is>
      </c>
      <c r="E5410" t="inlineStr">
        <is>
          <t>2024Q1</t>
        </is>
      </c>
      <c r="F5410" s="2" t="n">
        <v>544364</v>
      </c>
      <c r="G5410" t="n">
        <v>-30.4</v>
      </c>
      <c r="H5410" t="n">
        <v>23.86</v>
      </c>
      <c r="I5410" s="2" t="n">
        <v>39264</v>
      </c>
      <c r="J5410" t="n">
        <v>258.06</v>
      </c>
      <c r="K5410" t="n">
        <v>218.13</v>
      </c>
      <c r="L5410" s="2" t="n">
        <v>50323</v>
      </c>
      <c r="M5410" t="n">
        <v>-72.79000000000001</v>
      </c>
      <c r="N5410" t="inlineStr">
        <is>
          <t>20240426800143</t>
        </is>
      </c>
      <c r="O5410">
        <f>HYPERLINK("https://dart.fss.or.kr/dsaf001/main.do?rcpNo=20240426800143", "공시열람")</f>
        <v/>
      </c>
    </row>
    <row r="5411">
      <c r="A5411" t="inlineStr">
        <is>
          <t>2024-04-26</t>
        </is>
      </c>
      <c r="B5411" t="inlineStr">
        <is>
          <t>제일기획</t>
        </is>
      </c>
      <c r="C5411" t="inlineStr">
        <is>
          <t>030000</t>
        </is>
      </c>
      <c r="D5411" t="inlineStr">
        <is>
          <t>연결</t>
        </is>
      </c>
      <c r="E5411" t="inlineStr">
        <is>
          <t>2024Q1</t>
        </is>
      </c>
      <c r="F5411" s="2" t="n">
        <v>1018010</v>
      </c>
      <c r="G5411" t="n">
        <v>-11.24</v>
      </c>
      <c r="H5411" t="n">
        <v>8.109999999999999</v>
      </c>
      <c r="I5411" s="2" t="n">
        <v>54543</v>
      </c>
      <c r="J5411" t="n">
        <v>-28.22</v>
      </c>
      <c r="K5411" t="n">
        <v>2.1</v>
      </c>
      <c r="L5411" s="2" t="n">
        <v>43439</v>
      </c>
      <c r="M5411" t="n">
        <v>5.01</v>
      </c>
      <c r="N5411" t="inlineStr">
        <is>
          <t>20240426800219</t>
        </is>
      </c>
      <c r="O5411">
        <f>HYPERLINK("https://dart.fss.or.kr/dsaf001/main.do?rcpNo=20240426800219", "공시열람")</f>
        <v/>
      </c>
    </row>
    <row r="5412">
      <c r="A5412" t="inlineStr">
        <is>
          <t>2024-04-26</t>
        </is>
      </c>
      <c r="B5412" t="inlineStr">
        <is>
          <t>신한지주</t>
        </is>
      </c>
      <c r="C5412" t="inlineStr">
        <is>
          <t>055550</t>
        </is>
      </c>
      <c r="D5412" t="inlineStr">
        <is>
          <t>연결</t>
        </is>
      </c>
      <c r="E5412" t="inlineStr">
        <is>
          <t>2024Q1</t>
        </is>
      </c>
      <c r="F5412" s="2" t="n">
        <v>20122213</v>
      </c>
      <c r="G5412" t="n">
        <v>65.97</v>
      </c>
      <c r="H5412" t="n">
        <v>6.01</v>
      </c>
      <c r="I5412" s="2" t="n">
        <v>2068236</v>
      </c>
      <c r="J5412" t="n">
        <v>128.66</v>
      </c>
      <c r="K5412" t="n">
        <v>17.77</v>
      </c>
      <c r="L5412" s="2" t="n">
        <v>1347829</v>
      </c>
      <c r="M5412" t="n">
        <v>-4.7</v>
      </c>
      <c r="N5412" t="inlineStr">
        <is>
          <t>20240426800240</t>
        </is>
      </c>
      <c r="O5412">
        <f>HYPERLINK("https://dart.fss.or.kr/dsaf001/main.do?rcpNo=20240426800240", "공시열람")</f>
        <v/>
      </c>
    </row>
    <row r="5413">
      <c r="A5413" t="inlineStr">
        <is>
          <t>2024-04-26</t>
        </is>
      </c>
      <c r="B5413" t="inlineStr">
        <is>
          <t>송원산업</t>
        </is>
      </c>
      <c r="C5413" t="inlineStr">
        <is>
          <t>004430</t>
        </is>
      </c>
      <c r="D5413" t="inlineStr">
        <is>
          <t>연결</t>
        </is>
      </c>
      <c r="E5413" t="inlineStr">
        <is>
          <t>2024Q1</t>
        </is>
      </c>
      <c r="F5413" s="2" t="n">
        <v>255752</v>
      </c>
      <c r="G5413" t="inlineStr"/>
      <c r="H5413" t="inlineStr"/>
      <c r="I5413" s="2" t="n">
        <v>12130</v>
      </c>
      <c r="J5413" t="inlineStr"/>
      <c r="K5413" t="inlineStr"/>
      <c r="L5413" s="2" t="n">
        <v>6662</v>
      </c>
      <c r="M5413" t="inlineStr"/>
      <c r="N5413" t="inlineStr">
        <is>
          <t>20240426800246</t>
        </is>
      </c>
      <c r="O5413">
        <f>HYPERLINK("https://dart.fss.or.kr/dsaf001/main.do?rcpNo=20240426800246", "공시열람")</f>
        <v/>
      </c>
    </row>
    <row r="5414">
      <c r="A5414" t="inlineStr">
        <is>
          <t>2024-04-26</t>
        </is>
      </c>
      <c r="B5414" t="inlineStr">
        <is>
          <t>신한지주</t>
        </is>
      </c>
      <c r="C5414" t="inlineStr">
        <is>
          <t>055550</t>
        </is>
      </c>
      <c r="D5414" t="inlineStr">
        <is>
          <t>연결</t>
        </is>
      </c>
      <c r="E5414" t="inlineStr">
        <is>
          <t>2024Q1</t>
        </is>
      </c>
      <c r="F5414" s="2" t="n">
        <v>12659857</v>
      </c>
      <c r="G5414" t="n">
        <v>95.25</v>
      </c>
      <c r="H5414" t="n">
        <v>7</v>
      </c>
      <c r="I5414" s="2" t="n">
        <v>1496859</v>
      </c>
      <c r="J5414" t="n">
        <v>116.04</v>
      </c>
      <c r="K5414" t="n">
        <v>21.92</v>
      </c>
      <c r="L5414" s="2" t="n">
        <v>928849</v>
      </c>
      <c r="M5414" t="n">
        <v>-0.3</v>
      </c>
      <c r="N5414" t="inlineStr">
        <is>
          <t>20240426800241</t>
        </is>
      </c>
      <c r="O5414">
        <f>HYPERLINK("https://dart.fss.or.kr/dsaf001/main.do?rcpNo=20240426800241", "공시열람")</f>
        <v/>
      </c>
    </row>
    <row r="5415">
      <c r="A5415" t="inlineStr">
        <is>
          <t>2024-04-26</t>
        </is>
      </c>
      <c r="B5415" t="inlineStr">
        <is>
          <t>신한지주</t>
        </is>
      </c>
      <c r="C5415" t="inlineStr">
        <is>
          <t>055550</t>
        </is>
      </c>
      <c r="D5415" t="inlineStr">
        <is>
          <t>연결</t>
        </is>
      </c>
      <c r="E5415" t="inlineStr">
        <is>
          <t>2024Q1</t>
        </is>
      </c>
      <c r="F5415" s="2" t="n">
        <v>1882486</v>
      </c>
      <c r="G5415" t="n">
        <v>18.77</v>
      </c>
      <c r="H5415" t="n">
        <v>0.95</v>
      </c>
      <c r="I5415" s="2" t="n">
        <v>217141</v>
      </c>
      <c r="J5415" t="n">
        <v>214.66</v>
      </c>
      <c r="K5415" t="n">
        <v>16.22</v>
      </c>
      <c r="L5415" s="2" t="n">
        <v>154192</v>
      </c>
      <c r="M5415" t="n">
        <v>15.23</v>
      </c>
      <c r="N5415" t="inlineStr">
        <is>
          <t>20240426800243</t>
        </is>
      </c>
      <c r="O5415">
        <f>HYPERLINK("https://dart.fss.or.kr/dsaf001/main.do?rcpNo=20240426800243", "공시열람")</f>
        <v/>
      </c>
    </row>
    <row r="5416">
      <c r="A5416" t="inlineStr">
        <is>
          <t>2024-04-26</t>
        </is>
      </c>
      <c r="B5416" t="inlineStr">
        <is>
          <t>HS효성첨단소재</t>
        </is>
      </c>
      <c r="C5416" t="inlineStr">
        <is>
          <t>298050</t>
        </is>
      </c>
      <c r="D5416" t="inlineStr">
        <is>
          <t>연결</t>
        </is>
      </c>
      <c r="E5416" t="inlineStr">
        <is>
          <t>2024Q1</t>
        </is>
      </c>
      <c r="F5416" s="2" t="n">
        <v>836824</v>
      </c>
      <c r="G5416" t="n">
        <v>8.94</v>
      </c>
      <c r="H5416" t="n">
        <v>0.28</v>
      </c>
      <c r="I5416" s="2" t="n">
        <v>63675</v>
      </c>
      <c r="J5416" t="n">
        <v>206.72</v>
      </c>
      <c r="K5416" t="n">
        <v>-5.43</v>
      </c>
      <c r="L5416" s="2" t="n">
        <v>25913</v>
      </c>
      <c r="M5416" t="n">
        <v>-35.25</v>
      </c>
      <c r="N5416" t="inlineStr">
        <is>
          <t>20240426800889</t>
        </is>
      </c>
      <c r="O5416">
        <f>HYPERLINK("https://dart.fss.or.kr/dsaf001/main.do?rcpNo=20240426800889", "공시열람")</f>
        <v/>
      </c>
    </row>
    <row r="5417">
      <c r="A5417" t="inlineStr">
        <is>
          <t>2024-04-26</t>
        </is>
      </c>
      <c r="B5417" t="inlineStr">
        <is>
          <t>HDC랩스</t>
        </is>
      </c>
      <c r="C5417" t="inlineStr">
        <is>
          <t>039570</t>
        </is>
      </c>
      <c r="D5417" t="inlineStr">
        <is>
          <t>연결</t>
        </is>
      </c>
      <c r="E5417" t="inlineStr">
        <is>
          <t>2024Q1</t>
        </is>
      </c>
      <c r="F5417" s="2" t="n">
        <v>133578</v>
      </c>
      <c r="G5417" t="n">
        <v>-24.3</v>
      </c>
      <c r="H5417" t="n">
        <v>8.300000000000001</v>
      </c>
      <c r="I5417" s="2" t="n">
        <v>120</v>
      </c>
      <c r="J5417" t="n">
        <v>-97.7</v>
      </c>
      <c r="K5417" t="n">
        <v>-86.90000000000001</v>
      </c>
      <c r="L5417" s="2" t="n">
        <v>1763</v>
      </c>
      <c r="M5417" t="n">
        <v>-36.4</v>
      </c>
      <c r="N5417" t="inlineStr">
        <is>
          <t>20240426800443</t>
        </is>
      </c>
      <c r="O5417">
        <f>HYPERLINK("https://dart.fss.or.kr/dsaf001/main.do?rcpNo=20240426800443", "공시열람")</f>
        <v/>
      </c>
    </row>
    <row r="5418">
      <c r="A5418" t="inlineStr">
        <is>
          <t>2024-04-26</t>
        </is>
      </c>
      <c r="B5418" t="inlineStr">
        <is>
          <t>종근당</t>
        </is>
      </c>
      <c r="C5418" t="inlineStr">
        <is>
          <t>185750</t>
        </is>
      </c>
      <c r="D5418" t="inlineStr">
        <is>
          <t>별도</t>
        </is>
      </c>
      <c r="E5418" t="inlineStr">
        <is>
          <t>2024Q1</t>
        </is>
      </c>
      <c r="F5418" s="2" t="n">
        <v>353450</v>
      </c>
      <c r="G5418" t="n">
        <v>-29.5</v>
      </c>
      <c r="H5418" t="n">
        <v>-1.9</v>
      </c>
      <c r="I5418" s="2" t="n">
        <v>26754</v>
      </c>
      <c r="J5418" t="n">
        <v>-76.59999999999999</v>
      </c>
      <c r="K5418" t="n">
        <v>-11</v>
      </c>
      <c r="L5418" s="2" t="n">
        <v>25097</v>
      </c>
      <c r="M5418" t="n">
        <v>-28.1</v>
      </c>
      <c r="N5418" t="inlineStr">
        <is>
          <t>20240426800505</t>
        </is>
      </c>
      <c r="O5418">
        <f>HYPERLINK("https://dart.fss.or.kr/dsaf001/main.do?rcpNo=20240426800505", "공시열람")</f>
        <v/>
      </c>
    </row>
    <row r="5419">
      <c r="A5419" t="inlineStr">
        <is>
          <t>2024-04-25</t>
        </is>
      </c>
      <c r="B5419" t="inlineStr">
        <is>
          <t>LG전자</t>
        </is>
      </c>
      <c r="C5419" t="inlineStr">
        <is>
          <t>066570</t>
        </is>
      </c>
      <c r="D5419" t="inlineStr">
        <is>
          <t>연결</t>
        </is>
      </c>
      <c r="E5419" t="inlineStr">
        <is>
          <t>2024Q1</t>
        </is>
      </c>
      <c r="F5419" s="2" t="n">
        <v>21095900</v>
      </c>
      <c r="G5419" t="inlineStr"/>
      <c r="H5419" t="inlineStr"/>
      <c r="I5419" s="2" t="n">
        <v>1335400</v>
      </c>
      <c r="J5419" t="inlineStr"/>
      <c r="K5419" t="inlineStr"/>
      <c r="L5419" s="2" t="n">
        <v>585400</v>
      </c>
      <c r="M5419" t="inlineStr"/>
      <c r="N5419" t="inlineStr">
        <is>
          <t>20240425800275</t>
        </is>
      </c>
      <c r="O5419">
        <f>HYPERLINK("https://dart.fss.or.kr/dsaf001/main.do?rcpNo=20240425800275", "공시열람")</f>
        <v/>
      </c>
    </row>
    <row r="5420">
      <c r="A5420" t="inlineStr">
        <is>
          <t>2024-04-25</t>
        </is>
      </c>
      <c r="B5420" t="inlineStr">
        <is>
          <t>HD현대중공업</t>
        </is>
      </c>
      <c r="C5420" t="inlineStr">
        <is>
          <t>329180</t>
        </is>
      </c>
      <c r="D5420" t="inlineStr">
        <is>
          <t>별도</t>
        </is>
      </c>
      <c r="E5420" t="inlineStr">
        <is>
          <t>2024Q1</t>
        </is>
      </c>
      <c r="F5420" s="2" t="n">
        <v>2986700</v>
      </c>
      <c r="G5420" t="n">
        <v>-12.4</v>
      </c>
      <c r="H5420" t="n">
        <v>13.4</v>
      </c>
      <c r="I5420" s="2" t="n">
        <v>23000</v>
      </c>
      <c r="J5420" t="n">
        <v>-83.5</v>
      </c>
      <c r="K5420" t="inlineStr"/>
      <c r="L5420" s="2" t="n">
        <v>30100</v>
      </c>
      <c r="M5420" t="inlineStr"/>
      <c r="N5420" t="inlineStr">
        <is>
          <t>20240425800243</t>
        </is>
      </c>
      <c r="O5420">
        <f>HYPERLINK("https://dart.fss.or.kr/dsaf001/main.do?rcpNo=20240425800243", "공시열람")</f>
        <v/>
      </c>
    </row>
    <row r="5421">
      <c r="A5421" t="inlineStr">
        <is>
          <t>2024-04-25</t>
        </is>
      </c>
      <c r="B5421" t="inlineStr">
        <is>
          <t>포스코DX</t>
        </is>
      </c>
      <c r="C5421" t="inlineStr">
        <is>
          <t>022100</t>
        </is>
      </c>
      <c r="D5421" t="inlineStr">
        <is>
          <t>연결</t>
        </is>
      </c>
      <c r="E5421" t="inlineStr">
        <is>
          <t>2024Q1</t>
        </is>
      </c>
      <c r="F5421" s="2" t="n">
        <v>440117</v>
      </c>
      <c r="G5421" t="n">
        <v>23.7</v>
      </c>
      <c r="H5421" t="n">
        <v>8.300000000000001</v>
      </c>
      <c r="I5421" s="2" t="n">
        <v>35183</v>
      </c>
      <c r="J5421" t="n">
        <v>149</v>
      </c>
      <c r="K5421" t="n">
        <v>17.5</v>
      </c>
      <c r="L5421" s="2" t="n">
        <v>25735</v>
      </c>
      <c r="M5421" t="n">
        <v>0.3</v>
      </c>
      <c r="N5421" t="inlineStr">
        <is>
          <t>20240425800169</t>
        </is>
      </c>
      <c r="O5421">
        <f>HYPERLINK("https://dart.fss.or.kr/dsaf001/main.do?rcpNo=20240425800169", "공시열람")</f>
        <v/>
      </c>
    </row>
    <row r="5422">
      <c r="A5422" t="inlineStr">
        <is>
          <t>2024-04-25</t>
        </is>
      </c>
      <c r="B5422" t="inlineStr">
        <is>
          <t>현대글로비스</t>
        </is>
      </c>
      <c r="C5422" t="inlineStr">
        <is>
          <t>086280</t>
        </is>
      </c>
      <c r="D5422" t="inlineStr">
        <is>
          <t>연결</t>
        </is>
      </c>
      <c r="E5422" t="inlineStr">
        <is>
          <t>2024Q1</t>
        </is>
      </c>
      <c r="F5422" s="2" t="n">
        <v>6586436</v>
      </c>
      <c r="G5422" t="n">
        <v>1.1</v>
      </c>
      <c r="H5422" t="n">
        <v>4.5</v>
      </c>
      <c r="I5422" s="2" t="n">
        <v>384769</v>
      </c>
      <c r="J5422" t="n">
        <v>9.699999999999999</v>
      </c>
      <c r="K5422" t="n">
        <v>-5.4</v>
      </c>
      <c r="L5422" s="2" t="n">
        <v>306168</v>
      </c>
      <c r="M5422" t="n">
        <v>7.9</v>
      </c>
      <c r="N5422" t="inlineStr">
        <is>
          <t>20240425800130</t>
        </is>
      </c>
      <c r="O5422">
        <f>HYPERLINK("https://dart.fss.or.kr/dsaf001/main.do?rcpNo=20240425800130", "공시열람")</f>
        <v/>
      </c>
    </row>
    <row r="5423">
      <c r="A5423" t="inlineStr">
        <is>
          <t>2024-04-25</t>
        </is>
      </c>
      <c r="B5423" t="inlineStr">
        <is>
          <t>NI스틸</t>
        </is>
      </c>
      <c r="C5423" t="inlineStr">
        <is>
          <t>008260</t>
        </is>
      </c>
      <c r="D5423" t="inlineStr">
        <is>
          <t>별도</t>
        </is>
      </c>
      <c r="E5423" t="inlineStr">
        <is>
          <t>2024Q1</t>
        </is>
      </c>
      <c r="F5423" s="2" t="n">
        <v>76711</v>
      </c>
      <c r="G5423" t="n">
        <v>0.3</v>
      </c>
      <c r="H5423" t="n">
        <v>-30.8</v>
      </c>
      <c r="I5423" s="2" t="n">
        <v>13439</v>
      </c>
      <c r="J5423" t="n">
        <v>34.8</v>
      </c>
      <c r="K5423" t="n">
        <v>-39.5</v>
      </c>
      <c r="L5423" s="2" t="n">
        <v>9770</v>
      </c>
      <c r="M5423" t="n">
        <v>-38.5</v>
      </c>
      <c r="N5423" t="inlineStr">
        <is>
          <t>20240425800125</t>
        </is>
      </c>
      <c r="O5423">
        <f>HYPERLINK("https://dart.fss.or.kr/dsaf001/main.do?rcpNo=20240425800125", "공시열람")</f>
        <v/>
      </c>
    </row>
    <row r="5424">
      <c r="A5424" t="inlineStr">
        <is>
          <t>2024-04-25</t>
        </is>
      </c>
      <c r="B5424" t="inlineStr">
        <is>
          <t>코스모신소재</t>
        </is>
      </c>
      <c r="C5424" t="inlineStr">
        <is>
          <t>005070</t>
        </is>
      </c>
      <c r="D5424" t="inlineStr">
        <is>
          <t>별도</t>
        </is>
      </c>
      <c r="E5424" t="inlineStr">
        <is>
          <t>2024Q1</t>
        </is>
      </c>
      <c r="F5424" s="2" t="n">
        <v>122100</v>
      </c>
      <c r="G5424" t="n">
        <v>37.6</v>
      </c>
      <c r="H5424" t="n">
        <v>-35.9</v>
      </c>
      <c r="I5424" s="2" t="n">
        <v>5288</v>
      </c>
      <c r="J5424" t="n">
        <v>-33.3</v>
      </c>
      <c r="K5424" t="n">
        <v>-18.4</v>
      </c>
      <c r="L5424" s="2" t="n">
        <v>4617</v>
      </c>
      <c r="M5424" t="n">
        <v>49.9</v>
      </c>
      <c r="N5424" t="inlineStr">
        <is>
          <t>20240425800103</t>
        </is>
      </c>
      <c r="O5424">
        <f>HYPERLINK("https://dart.fss.or.kr/dsaf001/main.do?rcpNo=20240425800103", "공시열람")</f>
        <v/>
      </c>
    </row>
    <row r="5425">
      <c r="A5425" t="inlineStr">
        <is>
          <t>2024-04-25</t>
        </is>
      </c>
      <c r="B5425" t="inlineStr">
        <is>
          <t>삼성에스디에스</t>
        </is>
      </c>
      <c r="C5425" t="inlineStr">
        <is>
          <t>018260</t>
        </is>
      </c>
      <c r="D5425" t="inlineStr">
        <is>
          <t>연결</t>
        </is>
      </c>
      <c r="E5425" t="inlineStr">
        <is>
          <t>2024Q1</t>
        </is>
      </c>
      <c r="F5425" s="2" t="n">
        <v>3247268</v>
      </c>
      <c r="G5425" t="inlineStr"/>
      <c r="H5425" t="inlineStr"/>
      <c r="I5425" s="2" t="n">
        <v>225867</v>
      </c>
      <c r="J5425" t="inlineStr"/>
      <c r="K5425" t="inlineStr"/>
      <c r="L5425" s="2" t="n">
        <v>216905</v>
      </c>
      <c r="M5425" t="inlineStr"/>
      <c r="N5425" t="inlineStr">
        <is>
          <t>20240425800094</t>
        </is>
      </c>
      <c r="O5425">
        <f>HYPERLINK("https://dart.fss.or.kr/dsaf001/main.do?rcpNo=20240425800094", "공시열람")</f>
        <v/>
      </c>
    </row>
    <row r="5426">
      <c r="A5426" t="inlineStr">
        <is>
          <t>2024-04-25</t>
        </is>
      </c>
      <c r="B5426" t="inlineStr">
        <is>
          <t>LG에너지솔루션</t>
        </is>
      </c>
      <c r="C5426" t="inlineStr">
        <is>
          <t>373220</t>
        </is>
      </c>
      <c r="D5426" t="inlineStr">
        <is>
          <t>연결</t>
        </is>
      </c>
      <c r="E5426" t="inlineStr">
        <is>
          <t>2024Q1</t>
        </is>
      </c>
      <c r="F5426" s="2" t="n">
        <v>6128700</v>
      </c>
      <c r="G5426" t="n">
        <v>-23.4</v>
      </c>
      <c r="H5426" t="n">
        <v>-29.9</v>
      </c>
      <c r="I5426" s="2" t="n">
        <v>157300</v>
      </c>
      <c r="J5426" t="n">
        <v>-53.5</v>
      </c>
      <c r="K5426" t="n">
        <v>-75.2</v>
      </c>
      <c r="L5426" s="2" t="n">
        <v>212100</v>
      </c>
      <c r="M5426" t="n">
        <v>-62.3</v>
      </c>
      <c r="N5426" t="inlineStr">
        <is>
          <t>20240425800071</t>
        </is>
      </c>
      <c r="O5426">
        <f>HYPERLINK("https://dart.fss.or.kr/dsaf001/main.do?rcpNo=20240425800071", "공시열람")</f>
        <v/>
      </c>
    </row>
    <row r="5427">
      <c r="A5427" t="inlineStr">
        <is>
          <t>2024-04-25</t>
        </is>
      </c>
      <c r="B5427" t="inlineStr">
        <is>
          <t>HD현대중공업</t>
        </is>
      </c>
      <c r="C5427" t="inlineStr">
        <is>
          <t>329180</t>
        </is>
      </c>
      <c r="D5427" t="inlineStr">
        <is>
          <t>연결</t>
        </is>
      </c>
      <c r="E5427" t="inlineStr">
        <is>
          <t>2024Q1</t>
        </is>
      </c>
      <c r="F5427" s="2" t="n">
        <v>2987700</v>
      </c>
      <c r="G5427" t="n">
        <v>-12.5</v>
      </c>
      <c r="H5427" t="n">
        <v>13.5</v>
      </c>
      <c r="I5427" s="2" t="n">
        <v>21300</v>
      </c>
      <c r="J5427" t="n">
        <v>-84.59999999999999</v>
      </c>
      <c r="K5427" t="inlineStr"/>
      <c r="L5427" s="2" t="n">
        <v>28600</v>
      </c>
      <c r="M5427" t="inlineStr"/>
      <c r="N5427" t="inlineStr">
        <is>
          <t>20240425800239</t>
        </is>
      </c>
      <c r="O5427">
        <f>HYPERLINK("https://dart.fss.or.kr/dsaf001/main.do?rcpNo=20240425800239", "공시열람")</f>
        <v/>
      </c>
    </row>
    <row r="5428">
      <c r="A5428" t="inlineStr">
        <is>
          <t>2024-04-25</t>
        </is>
      </c>
      <c r="B5428" t="inlineStr">
        <is>
          <t>도이치모터스</t>
        </is>
      </c>
      <c r="C5428" t="inlineStr">
        <is>
          <t>067990</t>
        </is>
      </c>
      <c r="D5428" t="inlineStr">
        <is>
          <t>연결</t>
        </is>
      </c>
      <c r="E5428" t="inlineStr">
        <is>
          <t>2024Q1</t>
        </is>
      </c>
      <c r="F5428" s="2" t="n">
        <v>476067</v>
      </c>
      <c r="G5428" t="inlineStr"/>
      <c r="H5428" t="inlineStr"/>
      <c r="I5428" s="2" t="n">
        <v>3739</v>
      </c>
      <c r="J5428" t="inlineStr"/>
      <c r="K5428" t="inlineStr"/>
      <c r="L5428" s="2" t="n">
        <v>-3929</v>
      </c>
      <c r="M5428" t="inlineStr"/>
      <c r="N5428" t="inlineStr">
        <is>
          <t>20240425900451</t>
        </is>
      </c>
      <c r="O5428">
        <f>HYPERLINK("https://dart.fss.or.kr/dsaf001/main.do?rcpNo=20240425900451", "공시열람")</f>
        <v/>
      </c>
    </row>
    <row r="5429">
      <c r="A5429" t="inlineStr">
        <is>
          <t>2024-04-25</t>
        </is>
      </c>
      <c r="B5429" t="inlineStr">
        <is>
          <t>포스코퓨처엠</t>
        </is>
      </c>
      <c r="C5429" t="inlineStr">
        <is>
          <t>003670</t>
        </is>
      </c>
      <c r="D5429" t="inlineStr">
        <is>
          <t>별도</t>
        </is>
      </c>
      <c r="E5429" t="inlineStr">
        <is>
          <t>2024Q1</t>
        </is>
      </c>
      <c r="F5429" s="2" t="n">
        <v>1110477</v>
      </c>
      <c r="G5429" t="n">
        <v>0.5</v>
      </c>
      <c r="H5429" t="n">
        <v>7.4</v>
      </c>
      <c r="I5429" s="2" t="n">
        <v>43948</v>
      </c>
      <c r="J5429" t="inlineStr"/>
      <c r="K5429" t="n">
        <v>168.8</v>
      </c>
      <c r="L5429" s="2" t="n">
        <v>65171</v>
      </c>
      <c r="M5429" t="n">
        <v>68.5</v>
      </c>
      <c r="N5429" t="inlineStr">
        <is>
          <t>20240425800223</t>
        </is>
      </c>
      <c r="O5429">
        <f>HYPERLINK("https://dart.fss.or.kr/dsaf001/main.do?rcpNo=20240425800223", "공시열람")</f>
        <v/>
      </c>
    </row>
    <row r="5430">
      <c r="A5430" t="inlineStr">
        <is>
          <t>2024-04-25</t>
        </is>
      </c>
      <c r="B5430" t="inlineStr">
        <is>
          <t>제주은행</t>
        </is>
      </c>
      <c r="C5430" t="inlineStr">
        <is>
          <t>006220</t>
        </is>
      </c>
      <c r="D5430" t="inlineStr">
        <is>
          <t>연결</t>
        </is>
      </c>
      <c r="E5430" t="inlineStr">
        <is>
          <t>2024Q1</t>
        </is>
      </c>
      <c r="F5430" s="2" t="n">
        <v>95669</v>
      </c>
      <c r="G5430" t="inlineStr"/>
      <c r="H5430" t="inlineStr"/>
      <c r="I5430" s="2" t="n">
        <v>5291</v>
      </c>
      <c r="J5430" t="inlineStr"/>
      <c r="K5430" t="inlineStr"/>
      <c r="L5430" s="2" t="n">
        <v>4349</v>
      </c>
      <c r="M5430" t="inlineStr"/>
      <c r="N5430" t="inlineStr">
        <is>
          <t>20240425800495</t>
        </is>
      </c>
      <c r="O5430">
        <f>HYPERLINK("https://dart.fss.or.kr/dsaf001/main.do?rcpNo=20240425800495", "공시열람")</f>
        <v/>
      </c>
    </row>
    <row r="5431">
      <c r="A5431" t="inlineStr">
        <is>
          <t>2024-04-25</t>
        </is>
      </c>
      <c r="B5431" t="inlineStr">
        <is>
          <t>LG생활건강</t>
        </is>
      </c>
      <c r="C5431" t="inlineStr">
        <is>
          <t>051900</t>
        </is>
      </c>
      <c r="D5431" t="inlineStr">
        <is>
          <t>연결</t>
        </is>
      </c>
      <c r="E5431" t="inlineStr">
        <is>
          <t>2024Q1</t>
        </is>
      </c>
      <c r="F5431" s="2" t="n">
        <v>1728700</v>
      </c>
      <c r="G5431" t="inlineStr"/>
      <c r="H5431" t="inlineStr"/>
      <c r="I5431" s="2" t="n">
        <v>151000</v>
      </c>
      <c r="J5431" t="inlineStr"/>
      <c r="K5431" t="inlineStr"/>
      <c r="L5431" s="2" t="n">
        <v>113100</v>
      </c>
      <c r="M5431" t="inlineStr"/>
      <c r="N5431" t="inlineStr">
        <is>
          <t>20240425800427</t>
        </is>
      </c>
      <c r="O5431">
        <f>HYPERLINK("https://dart.fss.or.kr/dsaf001/main.do?rcpNo=20240425800427", "공시열람")</f>
        <v/>
      </c>
    </row>
    <row r="5432">
      <c r="A5432" t="inlineStr">
        <is>
          <t>2024-04-25</t>
        </is>
      </c>
      <c r="B5432" t="inlineStr">
        <is>
          <t>현대자동차</t>
        </is>
      </c>
      <c r="C5432" t="inlineStr">
        <is>
          <t>005380</t>
        </is>
      </c>
      <c r="D5432" t="inlineStr">
        <is>
          <t>연결</t>
        </is>
      </c>
      <c r="E5432" t="inlineStr">
        <is>
          <t>2024Q1</t>
        </is>
      </c>
      <c r="F5432" s="2" t="n">
        <v>40658539</v>
      </c>
      <c r="G5432" t="n">
        <v>-2.4</v>
      </c>
      <c r="H5432" t="n">
        <v>7.6</v>
      </c>
      <c r="I5432" s="2" t="n">
        <v>3557362</v>
      </c>
      <c r="J5432" t="n">
        <v>4.4</v>
      </c>
      <c r="K5432" t="n">
        <v>-2.3</v>
      </c>
      <c r="L5432" s="2" t="n">
        <v>3376001</v>
      </c>
      <c r="M5432" t="n">
        <v>-1.3</v>
      </c>
      <c r="N5432" t="inlineStr">
        <is>
          <t>20240425800264</t>
        </is>
      </c>
      <c r="O5432">
        <f>HYPERLINK("https://dart.fss.or.kr/dsaf001/main.do?rcpNo=20240425800264", "공시열람")</f>
        <v/>
      </c>
    </row>
    <row r="5433">
      <c r="A5433" t="inlineStr">
        <is>
          <t>2024-04-25</t>
        </is>
      </c>
      <c r="B5433" t="inlineStr">
        <is>
          <t>LG디스플레이</t>
        </is>
      </c>
      <c r="C5433" t="inlineStr">
        <is>
          <t>034220</t>
        </is>
      </c>
      <c r="D5433" t="inlineStr">
        <is>
          <t>연결</t>
        </is>
      </c>
      <c r="E5433" t="inlineStr">
        <is>
          <t>2024Q1</t>
        </is>
      </c>
      <c r="F5433" s="2" t="n">
        <v>5252975</v>
      </c>
      <c r="G5433" t="n">
        <v>-29</v>
      </c>
      <c r="H5433" t="n">
        <v>19.1</v>
      </c>
      <c r="I5433" s="2" t="n">
        <v>-469432</v>
      </c>
      <c r="J5433" t="inlineStr"/>
      <c r="K5433" t="n">
        <v>57.3</v>
      </c>
      <c r="L5433" s="2" t="n">
        <v>-761276</v>
      </c>
      <c r="M5433" t="n">
        <v>34</v>
      </c>
      <c r="N5433" t="inlineStr">
        <is>
          <t>20240425800236</t>
        </is>
      </c>
      <c r="O5433">
        <f>HYPERLINK("https://dart.fss.or.kr/dsaf001/main.do?rcpNo=20240425800236", "공시열람")</f>
        <v/>
      </c>
    </row>
    <row r="5434">
      <c r="A5434" t="inlineStr">
        <is>
          <t>2024-04-25</t>
        </is>
      </c>
      <c r="B5434" t="inlineStr">
        <is>
          <t>HD한국조선해양</t>
        </is>
      </c>
      <c r="C5434" t="inlineStr">
        <is>
          <t>009540</t>
        </is>
      </c>
      <c r="D5434" t="inlineStr">
        <is>
          <t>별도</t>
        </is>
      </c>
      <c r="E5434" t="inlineStr">
        <is>
          <t>2024Q1</t>
        </is>
      </c>
      <c r="F5434" s="2" t="n">
        <v>1705600</v>
      </c>
      <c r="G5434" t="n">
        <v>0.5</v>
      </c>
      <c r="H5434" t="n">
        <v>22.7</v>
      </c>
      <c r="I5434" s="2" t="n">
        <v>186400</v>
      </c>
      <c r="J5434" t="n">
        <v>73.7</v>
      </c>
      <c r="K5434" t="n">
        <v>223.6</v>
      </c>
      <c r="L5434" s="2" t="n">
        <v>185800</v>
      </c>
      <c r="M5434" t="n">
        <v>277.6</v>
      </c>
      <c r="N5434" t="inlineStr">
        <is>
          <t>20240425800250</t>
        </is>
      </c>
      <c r="O5434">
        <f>HYPERLINK("https://dart.fss.or.kr/dsaf001/main.do?rcpNo=20240425800250", "공시열람")</f>
        <v/>
      </c>
    </row>
    <row r="5435">
      <c r="A5435" t="inlineStr">
        <is>
          <t>2024-04-25</t>
        </is>
      </c>
      <c r="B5435" t="inlineStr">
        <is>
          <t>HD한국조선해양</t>
        </is>
      </c>
      <c r="C5435" t="inlineStr">
        <is>
          <t>009540</t>
        </is>
      </c>
      <c r="D5435" t="inlineStr">
        <is>
          <t>연결</t>
        </is>
      </c>
      <c r="E5435" t="inlineStr">
        <is>
          <t>2024Q1</t>
        </is>
      </c>
      <c r="F5435" s="2" t="n">
        <v>5515600</v>
      </c>
      <c r="G5435" t="n">
        <v>-7.9</v>
      </c>
      <c r="H5435" t="n">
        <v>13.9</v>
      </c>
      <c r="I5435" s="2" t="n">
        <v>160200</v>
      </c>
      <c r="J5435" t="n">
        <v>-0.6</v>
      </c>
      <c r="K5435" t="inlineStr"/>
      <c r="L5435" s="2" t="n">
        <v>193300</v>
      </c>
      <c r="M5435" t="inlineStr"/>
      <c r="N5435" t="inlineStr">
        <is>
          <t>20240425800246</t>
        </is>
      </c>
      <c r="O5435">
        <f>HYPERLINK("https://dart.fss.or.kr/dsaf001/main.do?rcpNo=20240425800246", "공시열람")</f>
        <v/>
      </c>
    </row>
    <row r="5436">
      <c r="A5436" t="inlineStr">
        <is>
          <t>2024-04-25</t>
        </is>
      </c>
      <c r="B5436" t="inlineStr">
        <is>
          <t>HD현대</t>
        </is>
      </c>
      <c r="C5436" t="inlineStr">
        <is>
          <t>267250</t>
        </is>
      </c>
      <c r="D5436" t="inlineStr">
        <is>
          <t>별도</t>
        </is>
      </c>
      <c r="E5436" t="inlineStr">
        <is>
          <t>2024Q1</t>
        </is>
      </c>
      <c r="F5436" s="2" t="n">
        <v>7559000</v>
      </c>
      <c r="G5436" t="n">
        <v>-0.6</v>
      </c>
      <c r="H5436" t="n">
        <v>11.2</v>
      </c>
      <c r="I5436" s="2" t="n">
        <v>219200</v>
      </c>
      <c r="J5436" t="inlineStr"/>
      <c r="K5436" t="n">
        <v>13.3</v>
      </c>
      <c r="L5436" s="2" t="n">
        <v>175600</v>
      </c>
      <c r="M5436" t="n">
        <v>-11.4</v>
      </c>
      <c r="N5436" t="inlineStr">
        <is>
          <t>20240425800256</t>
        </is>
      </c>
      <c r="O5436">
        <f>HYPERLINK("https://dart.fss.or.kr/dsaf001/main.do?rcpNo=20240425800256", "공시열람")</f>
        <v/>
      </c>
    </row>
    <row r="5437">
      <c r="A5437" t="inlineStr">
        <is>
          <t>2024-04-25</t>
        </is>
      </c>
      <c r="B5437" t="inlineStr">
        <is>
          <t>삼성E&amp;A</t>
        </is>
      </c>
      <c r="C5437" t="inlineStr">
        <is>
          <t>028050</t>
        </is>
      </c>
      <c r="D5437" t="inlineStr">
        <is>
          <t>연결</t>
        </is>
      </c>
      <c r="E5437" t="inlineStr">
        <is>
          <t>2024Q1</t>
        </is>
      </c>
      <c r="F5437" s="2" t="n">
        <v>2384735</v>
      </c>
      <c r="G5437" t="n">
        <v>-15.7</v>
      </c>
      <c r="H5437" t="n">
        <v>-5.9</v>
      </c>
      <c r="I5437" s="2" t="n">
        <v>209350</v>
      </c>
      <c r="J5437" t="n">
        <v>-22.4</v>
      </c>
      <c r="K5437" t="n">
        <v>-7.1</v>
      </c>
      <c r="L5437" s="2" t="n">
        <v>164126</v>
      </c>
      <c r="M5437" t="n">
        <v>-6.7</v>
      </c>
      <c r="N5437" t="inlineStr">
        <is>
          <t>20240425800222</t>
        </is>
      </c>
      <c r="O5437">
        <f>HYPERLINK("https://dart.fss.or.kr/dsaf001/main.do?rcpNo=20240425800222", "공시열람")</f>
        <v/>
      </c>
    </row>
    <row r="5438">
      <c r="A5438" t="inlineStr">
        <is>
          <t>2024-04-25</t>
        </is>
      </c>
      <c r="B5438" t="inlineStr">
        <is>
          <t>포스코인터내셔널</t>
        </is>
      </c>
      <c r="C5438" t="inlineStr">
        <is>
          <t>047050</t>
        </is>
      </c>
      <c r="D5438" t="inlineStr">
        <is>
          <t>연결</t>
        </is>
      </c>
      <c r="E5438" t="inlineStr">
        <is>
          <t>2024Q1</t>
        </is>
      </c>
      <c r="F5438" s="2" t="n">
        <v>7760500</v>
      </c>
      <c r="G5438" t="inlineStr"/>
      <c r="H5438" t="inlineStr"/>
      <c r="I5438" s="2" t="n">
        <v>265400</v>
      </c>
      <c r="J5438" t="inlineStr"/>
      <c r="K5438" t="inlineStr"/>
      <c r="L5438" s="2" t="n">
        <v>182800</v>
      </c>
      <c r="M5438" t="inlineStr"/>
      <c r="N5438" t="inlineStr">
        <is>
          <t>20240425800228</t>
        </is>
      </c>
      <c r="O5438">
        <f>HYPERLINK("https://dart.fss.or.kr/dsaf001/main.do?rcpNo=20240425800228", "공시열람")</f>
        <v/>
      </c>
    </row>
    <row r="5439">
      <c r="A5439" t="inlineStr">
        <is>
          <t>2024-04-25</t>
        </is>
      </c>
      <c r="B5439" t="inlineStr">
        <is>
          <t>SNT홀딩스</t>
        </is>
      </c>
      <c r="C5439" t="inlineStr">
        <is>
          <t>036530</t>
        </is>
      </c>
      <c r="D5439" t="inlineStr">
        <is>
          <t>연결</t>
        </is>
      </c>
      <c r="E5439" t="inlineStr">
        <is>
          <t>2024Q1</t>
        </is>
      </c>
      <c r="F5439" s="2" t="n">
        <v>386192</v>
      </c>
      <c r="G5439" t="n">
        <v>-23.6</v>
      </c>
      <c r="H5439" t="n">
        <v>-14.1</v>
      </c>
      <c r="I5439" s="2" t="n">
        <v>36299</v>
      </c>
      <c r="J5439" t="n">
        <v>-21.6</v>
      </c>
      <c r="K5439" t="n">
        <v>-11.3</v>
      </c>
      <c r="L5439" s="2" t="n">
        <v>47795</v>
      </c>
      <c r="M5439" t="n">
        <v>-4.9</v>
      </c>
      <c r="N5439" t="inlineStr">
        <is>
          <t>20240425800060</t>
        </is>
      </c>
      <c r="O5439">
        <f>HYPERLINK("https://dart.fss.or.kr/dsaf001/main.do?rcpNo=20240425800060", "공시열람")</f>
        <v/>
      </c>
    </row>
    <row r="5440">
      <c r="A5440" t="inlineStr">
        <is>
          <t>2024-04-25</t>
        </is>
      </c>
      <c r="B5440" t="inlineStr">
        <is>
          <t>포스코퓨처엠</t>
        </is>
      </c>
      <c r="C5440" t="inlineStr">
        <is>
          <t>003670</t>
        </is>
      </c>
      <c r="D5440" t="inlineStr">
        <is>
          <t>연결</t>
        </is>
      </c>
      <c r="E5440" t="inlineStr">
        <is>
          <t>2024Q1</t>
        </is>
      </c>
      <c r="F5440" s="2" t="n">
        <v>1138422</v>
      </c>
      <c r="G5440" t="n">
        <v>-0.6</v>
      </c>
      <c r="H5440" t="n">
        <v>0.3</v>
      </c>
      <c r="I5440" s="2" t="n">
        <v>37897</v>
      </c>
      <c r="J5440" t="inlineStr"/>
      <c r="K5440" t="n">
        <v>87</v>
      </c>
      <c r="L5440" s="2" t="n">
        <v>57007</v>
      </c>
      <c r="M5440" t="n">
        <v>41.7</v>
      </c>
      <c r="N5440" t="inlineStr">
        <is>
          <t>20240425800229</t>
        </is>
      </c>
      <c r="O5440">
        <f>HYPERLINK("https://dart.fss.or.kr/dsaf001/main.do?rcpNo=20240425800229", "공시열람")</f>
        <v/>
      </c>
    </row>
    <row r="5441">
      <c r="A5441" t="inlineStr">
        <is>
          <t>2024-04-25</t>
        </is>
      </c>
      <c r="B5441" t="inlineStr">
        <is>
          <t>현대차증권</t>
        </is>
      </c>
      <c r="C5441" t="inlineStr">
        <is>
          <t>001500</t>
        </is>
      </c>
      <c r="D5441" t="inlineStr">
        <is>
          <t>연결</t>
        </is>
      </c>
      <c r="E5441" t="inlineStr">
        <is>
          <t>2024Q1</t>
        </is>
      </c>
      <c r="F5441" s="2" t="n">
        <v>473912</v>
      </c>
      <c r="G5441" t="n">
        <v>5.8</v>
      </c>
      <c r="H5441" t="n">
        <v>5.6</v>
      </c>
      <c r="I5441" s="2" t="n">
        <v>13141</v>
      </c>
      <c r="J5441" t="n">
        <v>5330.2</v>
      </c>
      <c r="K5441" t="n">
        <v>-49.4</v>
      </c>
      <c r="L5441" s="2" t="n">
        <v>10188</v>
      </c>
      <c r="M5441" t="n">
        <v>-46.9</v>
      </c>
      <c r="N5441" t="inlineStr">
        <is>
          <t>20240425800588</t>
        </is>
      </c>
      <c r="O5441">
        <f>HYPERLINK("https://dart.fss.or.kr/dsaf001/main.do?rcpNo=20240425800588", "공시열람")</f>
        <v/>
      </c>
    </row>
    <row r="5442">
      <c r="A5442" t="inlineStr">
        <is>
          <t>2024-04-25</t>
        </is>
      </c>
      <c r="B5442" t="inlineStr">
        <is>
          <t>한화솔루션</t>
        </is>
      </c>
      <c r="C5442" t="inlineStr">
        <is>
          <t>009830</t>
        </is>
      </c>
      <c r="D5442" t="inlineStr">
        <is>
          <t>연결</t>
        </is>
      </c>
      <c r="E5442" t="inlineStr">
        <is>
          <t>2024Q1</t>
        </is>
      </c>
      <c r="F5442" s="2" t="n">
        <v>2392857</v>
      </c>
      <c r="G5442" t="n">
        <v>-38.16</v>
      </c>
      <c r="H5442" t="n">
        <v>-22.82</v>
      </c>
      <c r="I5442" s="2" t="n">
        <v>-216643</v>
      </c>
      <c r="J5442" t="inlineStr"/>
      <c r="K5442" t="inlineStr"/>
      <c r="L5442" s="2" t="n">
        <v>-448381</v>
      </c>
      <c r="M5442" t="inlineStr"/>
      <c r="N5442" t="inlineStr">
        <is>
          <t>20240425800278</t>
        </is>
      </c>
      <c r="O5442">
        <f>HYPERLINK("https://dart.fss.or.kr/dsaf001/main.do?rcpNo=20240425800278", "공시열람")</f>
        <v/>
      </c>
    </row>
    <row r="5443">
      <c r="A5443" t="inlineStr">
        <is>
          <t>2024-04-25</t>
        </is>
      </c>
      <c r="B5443" t="inlineStr">
        <is>
          <t>POSCO홀딩스</t>
        </is>
      </c>
      <c r="C5443" t="inlineStr">
        <is>
          <t>005490</t>
        </is>
      </c>
      <c r="D5443" t="inlineStr">
        <is>
          <t>별도</t>
        </is>
      </c>
      <c r="E5443" t="inlineStr">
        <is>
          <t>2024Q1</t>
        </is>
      </c>
      <c r="F5443" s="2" t="n">
        <v>10</v>
      </c>
      <c r="G5443" t="inlineStr"/>
      <c r="H5443" t="inlineStr"/>
      <c r="I5443" s="2" t="n">
        <v>0</v>
      </c>
      <c r="J5443" t="inlineStr"/>
      <c r="K5443" t="inlineStr"/>
      <c r="L5443" s="2" t="n">
        <v>0</v>
      </c>
      <c r="M5443" t="inlineStr"/>
      <c r="N5443" t="inlineStr">
        <is>
          <t>20240425800346</t>
        </is>
      </c>
      <c r="O5443">
        <f>HYPERLINK("https://dart.fss.or.kr/dsaf001/main.do?rcpNo=20240425800346", "공시열람")</f>
        <v/>
      </c>
    </row>
    <row r="5444">
      <c r="A5444" t="inlineStr">
        <is>
          <t>2024-04-25</t>
        </is>
      </c>
      <c r="B5444" t="inlineStr">
        <is>
          <t>POSCO홀딩스</t>
        </is>
      </c>
      <c r="C5444" t="inlineStr">
        <is>
          <t>005490</t>
        </is>
      </c>
      <c r="D5444" t="inlineStr">
        <is>
          <t>연결</t>
        </is>
      </c>
      <c r="E5444" t="inlineStr">
        <is>
          <t>2024Q1</t>
        </is>
      </c>
      <c r="F5444" s="2" t="n">
        <v>18</v>
      </c>
      <c r="G5444" t="inlineStr"/>
      <c r="H5444" t="inlineStr"/>
      <c r="I5444" s="2" t="n">
        <v>1</v>
      </c>
      <c r="J5444" t="inlineStr"/>
      <c r="K5444" t="inlineStr"/>
      <c r="L5444" s="2" t="n">
        <v>1</v>
      </c>
      <c r="M5444" t="inlineStr"/>
      <c r="N5444" t="inlineStr">
        <is>
          <t>20240425800347</t>
        </is>
      </c>
      <c r="O5444">
        <f>HYPERLINK("https://dart.fss.or.kr/dsaf001/main.do?rcpNo=20240425800347", "공시열람")</f>
        <v/>
      </c>
    </row>
    <row r="5445">
      <c r="A5445" t="inlineStr">
        <is>
          <t>2024-04-25</t>
        </is>
      </c>
      <c r="B5445" t="inlineStr">
        <is>
          <t>NH투자증권</t>
        </is>
      </c>
      <c r="C5445" t="inlineStr">
        <is>
          <t>005940</t>
        </is>
      </c>
      <c r="D5445" t="inlineStr">
        <is>
          <t>연결</t>
        </is>
      </c>
      <c r="E5445" t="inlineStr">
        <is>
          <t>2024Q1</t>
        </is>
      </c>
      <c r="F5445" s="2" t="n">
        <v>3153984</v>
      </c>
      <c r="G5445" t="n">
        <v>6.6</v>
      </c>
      <c r="H5445" t="n">
        <v>-15.3</v>
      </c>
      <c r="I5445" s="2" t="n">
        <v>276869</v>
      </c>
      <c r="J5445" t="n">
        <v>104.5</v>
      </c>
      <c r="K5445" t="n">
        <v>10.1</v>
      </c>
      <c r="L5445" s="2" t="n">
        <v>225452</v>
      </c>
      <c r="M5445" t="n">
        <v>22.4</v>
      </c>
      <c r="N5445" t="inlineStr">
        <is>
          <t>20240425800374</t>
        </is>
      </c>
      <c r="O5445">
        <f>HYPERLINK("https://dart.fss.or.kr/dsaf001/main.do?rcpNo=20240425800374", "공시열람")</f>
        <v/>
      </c>
    </row>
    <row r="5446">
      <c r="A5446" t="inlineStr">
        <is>
          <t>2024-04-25</t>
        </is>
      </c>
      <c r="B5446" t="inlineStr">
        <is>
          <t>KB금융</t>
        </is>
      </c>
      <c r="C5446" t="inlineStr">
        <is>
          <t>105560</t>
        </is>
      </c>
      <c r="D5446" t="inlineStr">
        <is>
          <t>연결</t>
        </is>
      </c>
      <c r="E5446" t="inlineStr">
        <is>
          <t>2024Q1</t>
        </is>
      </c>
      <c r="F5446" s="2" t="n">
        <v>23352449</v>
      </c>
      <c r="G5446" t="n">
        <v>27.5</v>
      </c>
      <c r="H5446" t="n">
        <v>-5.96</v>
      </c>
      <c r="I5446" s="2" t="n">
        <v>2355448</v>
      </c>
      <c r="J5446" t="n">
        <v>695.83</v>
      </c>
      <c r="K5446" t="n">
        <v>10.07</v>
      </c>
      <c r="L5446" s="2" t="n">
        <v>1063214</v>
      </c>
      <c r="M5446" t="n">
        <v>-29.6</v>
      </c>
      <c r="N5446" t="inlineStr">
        <is>
          <t>20240425800392</t>
        </is>
      </c>
      <c r="O5446">
        <f>HYPERLINK("https://dart.fss.or.kr/dsaf001/main.do?rcpNo=20240425800392", "공시열람")</f>
        <v/>
      </c>
    </row>
    <row r="5447">
      <c r="A5447" t="inlineStr">
        <is>
          <t>2024-04-25</t>
        </is>
      </c>
      <c r="B5447" t="inlineStr">
        <is>
          <t>KB금융</t>
        </is>
      </c>
      <c r="C5447" t="inlineStr">
        <is>
          <t>105560</t>
        </is>
      </c>
      <c r="D5447" t="inlineStr">
        <is>
          <t>연결</t>
        </is>
      </c>
      <c r="E5447" t="inlineStr">
        <is>
          <t>2024Q1</t>
        </is>
      </c>
      <c r="F5447" s="2" t="n">
        <v>14403010</v>
      </c>
      <c r="G5447" t="n">
        <v>38.34</v>
      </c>
      <c r="H5447" t="n">
        <v>-3.46</v>
      </c>
      <c r="I5447" s="2" t="n">
        <v>1440393</v>
      </c>
      <c r="J5447" t="n">
        <v>203.5</v>
      </c>
      <c r="K5447" t="n">
        <v>13.58</v>
      </c>
      <c r="L5447" s="2" t="n">
        <v>377253</v>
      </c>
      <c r="M5447" t="n">
        <v>-59.08</v>
      </c>
      <c r="N5447" t="inlineStr">
        <is>
          <t>20240425800397</t>
        </is>
      </c>
      <c r="O5447">
        <f>HYPERLINK("https://dart.fss.or.kr/dsaf001/main.do?rcpNo=20240425800397", "공시열람")</f>
        <v/>
      </c>
    </row>
    <row r="5448">
      <c r="A5448" t="inlineStr">
        <is>
          <t>2024-04-25</t>
        </is>
      </c>
      <c r="B5448" t="inlineStr">
        <is>
          <t>KB금융</t>
        </is>
      </c>
      <c r="C5448" t="inlineStr">
        <is>
          <t>105560</t>
        </is>
      </c>
      <c r="D5448" t="inlineStr">
        <is>
          <t>연결</t>
        </is>
      </c>
      <c r="E5448" t="inlineStr">
        <is>
          <t>2024Q1</t>
        </is>
      </c>
      <c r="F5448" s="2" t="n">
        <v>3460114</v>
      </c>
      <c r="G5448" t="n">
        <v>20.31</v>
      </c>
      <c r="H5448" t="n">
        <v>-19.98</v>
      </c>
      <c r="I5448" s="2" t="n">
        <v>253337</v>
      </c>
      <c r="J5448" t="n">
        <v>268.01</v>
      </c>
      <c r="K5448" t="n">
        <v>-4.11</v>
      </c>
      <c r="L5448" s="2" t="n">
        <v>198853</v>
      </c>
      <c r="M5448" t="n">
        <v>40.09</v>
      </c>
      <c r="N5448" t="inlineStr">
        <is>
          <t>20240425800400</t>
        </is>
      </c>
      <c r="O5448">
        <f>HYPERLINK("https://dart.fss.or.kr/dsaf001/main.do?rcpNo=20240425800400", "공시열람")</f>
        <v/>
      </c>
    </row>
    <row r="5449">
      <c r="A5449" t="inlineStr">
        <is>
          <t>2024-04-25</t>
        </is>
      </c>
      <c r="B5449" t="inlineStr">
        <is>
          <t>세아메카닉스</t>
        </is>
      </c>
      <c r="C5449" t="inlineStr">
        <is>
          <t>396300</t>
        </is>
      </c>
      <c r="D5449" t="inlineStr">
        <is>
          <t>별도</t>
        </is>
      </c>
      <c r="E5449" t="inlineStr">
        <is>
          <t>2024Q1</t>
        </is>
      </c>
      <c r="F5449" s="2" t="n">
        <v>23558</v>
      </c>
      <c r="G5449" t="inlineStr"/>
      <c r="H5449" t="inlineStr"/>
      <c r="I5449" s="2" t="n">
        <v>435</v>
      </c>
      <c r="J5449" t="inlineStr"/>
      <c r="K5449" t="inlineStr"/>
      <c r="L5449" s="2" t="n">
        <v>639</v>
      </c>
      <c r="M5449" t="inlineStr"/>
      <c r="N5449" t="inlineStr">
        <is>
          <t>20240425900429</t>
        </is>
      </c>
      <c r="O5449">
        <f>HYPERLINK("https://dart.fss.or.kr/dsaf001/main.do?rcpNo=20240425900429", "공시열람")</f>
        <v/>
      </c>
    </row>
    <row r="5450">
      <c r="A5450" t="inlineStr">
        <is>
          <t>2024-04-25</t>
        </is>
      </c>
      <c r="B5450" t="inlineStr">
        <is>
          <t>HD현대</t>
        </is>
      </c>
      <c r="C5450" t="inlineStr">
        <is>
          <t>267250</t>
        </is>
      </c>
      <c r="D5450" t="inlineStr">
        <is>
          <t>연결</t>
        </is>
      </c>
      <c r="E5450" t="inlineStr">
        <is>
          <t>2024Q1</t>
        </is>
      </c>
      <c r="F5450" s="2" t="n">
        <v>7878800</v>
      </c>
      <c r="G5450" t="n">
        <v>-0.4</v>
      </c>
      <c r="H5450" t="n">
        <v>6.5</v>
      </c>
      <c r="I5450" s="2" t="n">
        <v>305200</v>
      </c>
      <c r="J5450" t="n">
        <v>12108</v>
      </c>
      <c r="K5450" t="n">
        <v>17.8</v>
      </c>
      <c r="L5450" s="2" t="n">
        <v>105700</v>
      </c>
      <c r="M5450" t="n">
        <v>13</v>
      </c>
      <c r="N5450" t="inlineStr">
        <is>
          <t>20240425800255</t>
        </is>
      </c>
      <c r="O5450">
        <f>HYPERLINK("https://dart.fss.or.kr/dsaf001/main.do?rcpNo=20240425800255", "공시열람")</f>
        <v/>
      </c>
    </row>
    <row r="5451">
      <c r="A5451" t="inlineStr">
        <is>
          <t>2024-04-25</t>
        </is>
      </c>
      <c r="B5451" t="inlineStr">
        <is>
          <t>HD현대</t>
        </is>
      </c>
      <c r="C5451" t="inlineStr">
        <is>
          <t>267250</t>
        </is>
      </c>
      <c r="D5451" t="inlineStr">
        <is>
          <t>연결</t>
        </is>
      </c>
      <c r="E5451" t="inlineStr">
        <is>
          <t>2024Q1</t>
        </is>
      </c>
      <c r="F5451" s="2" t="n">
        <v>16514400</v>
      </c>
      <c r="G5451" t="n">
        <v>-1.2</v>
      </c>
      <c r="H5451" t="n">
        <v>8.1</v>
      </c>
      <c r="I5451" s="2" t="n">
        <v>793600</v>
      </c>
      <c r="J5451" t="n">
        <v>121.7</v>
      </c>
      <c r="K5451" t="n">
        <v>48.8</v>
      </c>
      <c r="L5451" s="2" t="n">
        <v>508300</v>
      </c>
      <c r="M5451" t="n">
        <v>319</v>
      </c>
      <c r="N5451" t="inlineStr">
        <is>
          <t>20240425800254</t>
        </is>
      </c>
      <c r="O5451">
        <f>HYPERLINK("https://dart.fss.or.kr/dsaf001/main.do?rcpNo=20240425800254", "공시열람")</f>
        <v/>
      </c>
    </row>
    <row r="5452">
      <c r="A5452" t="inlineStr">
        <is>
          <t>2024-04-25</t>
        </is>
      </c>
      <c r="B5452" t="inlineStr">
        <is>
          <t>멀티캠퍼스</t>
        </is>
      </c>
      <c r="C5452" t="inlineStr">
        <is>
          <t>067280</t>
        </is>
      </c>
      <c r="D5452" t="inlineStr">
        <is>
          <t>연결</t>
        </is>
      </c>
      <c r="E5452" t="inlineStr">
        <is>
          <t>2024Q1</t>
        </is>
      </c>
      <c r="F5452" s="2" t="n">
        <v>82334</v>
      </c>
      <c r="G5452" t="inlineStr"/>
      <c r="H5452" t="inlineStr"/>
      <c r="I5452" s="2" t="n">
        <v>7153</v>
      </c>
      <c r="J5452" t="inlineStr"/>
      <c r="K5452" t="inlineStr"/>
      <c r="L5452" s="2" t="n">
        <v>6032</v>
      </c>
      <c r="M5452" t="inlineStr"/>
      <c r="N5452" t="inlineStr">
        <is>
          <t>20240425900233</t>
        </is>
      </c>
      <c r="O5452">
        <f>HYPERLINK("https://dart.fss.or.kr/dsaf001/main.do?rcpNo=20240425900233", "공시열람")</f>
        <v/>
      </c>
    </row>
    <row r="5453">
      <c r="A5453" t="inlineStr">
        <is>
          <t>2024-04-25</t>
        </is>
      </c>
      <c r="B5453" t="inlineStr">
        <is>
          <t>포스코엠텍</t>
        </is>
      </c>
      <c r="C5453" t="inlineStr">
        <is>
          <t>009520</t>
        </is>
      </c>
      <c r="D5453" t="inlineStr">
        <is>
          <t>별도</t>
        </is>
      </c>
      <c r="E5453" t="inlineStr">
        <is>
          <t>2024Q1</t>
        </is>
      </c>
      <c r="F5453" s="2" t="n">
        <v>82152</v>
      </c>
      <c r="G5453" t="inlineStr"/>
      <c r="H5453" t="inlineStr"/>
      <c r="I5453" s="2" t="n">
        <v>1512</v>
      </c>
      <c r="J5453" t="inlineStr"/>
      <c r="K5453" t="inlineStr"/>
      <c r="L5453" s="2" t="n">
        <v>1564</v>
      </c>
      <c r="M5453" t="inlineStr"/>
      <c r="N5453" t="inlineStr">
        <is>
          <t>20240425900231</t>
        </is>
      </c>
      <c r="O5453">
        <f>HYPERLINK("https://dart.fss.or.kr/dsaf001/main.do?rcpNo=20240425900231", "공시열람")</f>
        <v/>
      </c>
    </row>
    <row r="5454">
      <c r="A5454" t="inlineStr">
        <is>
          <t>2024-04-25</t>
        </is>
      </c>
      <c r="B5454" t="inlineStr">
        <is>
          <t>SK하이닉스</t>
        </is>
      </c>
      <c r="C5454" t="inlineStr">
        <is>
          <t>000660</t>
        </is>
      </c>
      <c r="D5454" t="inlineStr">
        <is>
          <t>연결</t>
        </is>
      </c>
      <c r="E5454" t="inlineStr">
        <is>
          <t>2024Q1</t>
        </is>
      </c>
      <c r="F5454" s="2" t="n">
        <v>12429598</v>
      </c>
      <c r="G5454" t="n">
        <v>9.9</v>
      </c>
      <c r="H5454" t="n">
        <v>144.3</v>
      </c>
      <c r="I5454" s="2" t="n">
        <v>2886029</v>
      </c>
      <c r="J5454" t="n">
        <v>734</v>
      </c>
      <c r="K5454" t="inlineStr"/>
      <c r="L5454" s="2" t="n">
        <v>1917039</v>
      </c>
      <c r="M5454" t="inlineStr"/>
      <c r="N5454" t="inlineStr">
        <is>
          <t>20240425800004</t>
        </is>
      </c>
      <c r="O5454">
        <f>HYPERLINK("https://dart.fss.or.kr/dsaf001/main.do?rcpNo=20240425800004", "공시열람")</f>
        <v/>
      </c>
    </row>
    <row r="5455">
      <c r="A5455" t="inlineStr">
        <is>
          <t>2024-04-24</t>
        </is>
      </c>
      <c r="B5455" t="inlineStr">
        <is>
          <t>삼성바이오로직스</t>
        </is>
      </c>
      <c r="C5455" t="inlineStr">
        <is>
          <t>207940</t>
        </is>
      </c>
      <c r="D5455" t="inlineStr">
        <is>
          <t>연결</t>
        </is>
      </c>
      <c r="E5455" t="inlineStr">
        <is>
          <t>2024Q1</t>
        </is>
      </c>
      <c r="F5455" s="2" t="n">
        <v>946903</v>
      </c>
      <c r="G5455" t="inlineStr"/>
      <c r="H5455" t="inlineStr"/>
      <c r="I5455" s="2" t="n">
        <v>221299</v>
      </c>
      <c r="J5455" t="inlineStr"/>
      <c r="K5455" t="inlineStr"/>
      <c r="L5455" s="2" t="n">
        <v>179362</v>
      </c>
      <c r="M5455" t="inlineStr"/>
      <c r="N5455" t="inlineStr">
        <is>
          <t>20240424800364</t>
        </is>
      </c>
      <c r="O5455">
        <f>HYPERLINK("https://dart.fss.or.kr/dsaf001/main.do?rcpNo=20240424800364", "공시열람")</f>
        <v/>
      </c>
    </row>
    <row r="5456">
      <c r="A5456" t="inlineStr">
        <is>
          <t>2024-04-24</t>
        </is>
      </c>
      <c r="B5456" t="inlineStr">
        <is>
          <t>삼성물산</t>
        </is>
      </c>
      <c r="C5456" t="inlineStr">
        <is>
          <t>028260</t>
        </is>
      </c>
      <c r="D5456" t="inlineStr">
        <is>
          <t>연결</t>
        </is>
      </c>
      <c r="E5456" t="inlineStr">
        <is>
          <t>2024Q1</t>
        </is>
      </c>
      <c r="F5456" s="2" t="n">
        <v>10795789</v>
      </c>
      <c r="G5456" t="inlineStr"/>
      <c r="H5456" t="inlineStr"/>
      <c r="I5456" s="2" t="n">
        <v>712311</v>
      </c>
      <c r="J5456" t="inlineStr"/>
      <c r="K5456" t="inlineStr"/>
      <c r="L5456" s="2" t="n">
        <v>822138</v>
      </c>
      <c r="M5456" t="inlineStr"/>
      <c r="N5456" t="inlineStr">
        <is>
          <t>20240424800359</t>
        </is>
      </c>
      <c r="O5456">
        <f>HYPERLINK("https://dart.fss.or.kr/dsaf001/main.do?rcpNo=20240424800359", "공시열람")</f>
        <v/>
      </c>
    </row>
    <row r="5457">
      <c r="A5457" t="inlineStr">
        <is>
          <t>2024-04-24</t>
        </is>
      </c>
      <c r="B5457" t="inlineStr">
        <is>
          <t>LG이노텍</t>
        </is>
      </c>
      <c r="C5457" t="inlineStr">
        <is>
          <t>011070</t>
        </is>
      </c>
      <c r="D5457" t="inlineStr">
        <is>
          <t>연결</t>
        </is>
      </c>
      <c r="E5457" t="inlineStr">
        <is>
          <t>2024Q1</t>
        </is>
      </c>
      <c r="F5457" s="2" t="n">
        <v>4333578</v>
      </c>
      <c r="G5457" t="n">
        <v>-42.67</v>
      </c>
      <c r="H5457" t="n">
        <v>-0.97</v>
      </c>
      <c r="I5457" s="2" t="n">
        <v>176038</v>
      </c>
      <c r="J5457" t="n">
        <v>-63.61</v>
      </c>
      <c r="K5457" t="n">
        <v>21.12</v>
      </c>
      <c r="L5457" s="2" t="n">
        <v>138466</v>
      </c>
      <c r="M5457" t="n">
        <v>66.26000000000001</v>
      </c>
      <c r="N5457" t="inlineStr">
        <is>
          <t>20240424800366</t>
        </is>
      </c>
      <c r="O5457">
        <f>HYPERLINK("https://dart.fss.or.kr/dsaf001/main.do?rcpNo=20240424800366", "공시열람")</f>
        <v/>
      </c>
    </row>
    <row r="5458">
      <c r="A5458" t="inlineStr">
        <is>
          <t>2024-04-24</t>
        </is>
      </c>
      <c r="B5458" t="inlineStr">
        <is>
          <t>LX하우시스</t>
        </is>
      </c>
      <c r="C5458" t="inlineStr">
        <is>
          <t>108670</t>
        </is>
      </c>
      <c r="D5458" t="inlineStr">
        <is>
          <t>연결</t>
        </is>
      </c>
      <c r="E5458" t="inlineStr">
        <is>
          <t>2024Q1</t>
        </is>
      </c>
      <c r="F5458" s="2" t="n">
        <v>849458</v>
      </c>
      <c r="G5458" t="inlineStr"/>
      <c r="H5458" t="inlineStr"/>
      <c r="I5458" s="2" t="n">
        <v>32385</v>
      </c>
      <c r="J5458" t="inlineStr"/>
      <c r="K5458" t="inlineStr"/>
      <c r="L5458" s="2" t="n">
        <v>18247</v>
      </c>
      <c r="M5458" t="inlineStr"/>
      <c r="N5458" t="inlineStr">
        <is>
          <t>20240424800519</t>
        </is>
      </c>
      <c r="O5458">
        <f>HYPERLINK("https://dart.fss.or.kr/dsaf001/main.do?rcpNo=20240424800519", "공시열람")</f>
        <v/>
      </c>
    </row>
    <row r="5459">
      <c r="A5459" t="inlineStr">
        <is>
          <t>2024-04-24</t>
        </is>
      </c>
      <c r="B5459" t="inlineStr">
        <is>
          <t>SNT에너지</t>
        </is>
      </c>
      <c r="C5459" t="inlineStr">
        <is>
          <t>100840</t>
        </is>
      </c>
      <c r="D5459" t="inlineStr">
        <is>
          <t>연결</t>
        </is>
      </c>
      <c r="E5459" t="inlineStr">
        <is>
          <t>2024Q1</t>
        </is>
      </c>
      <c r="F5459" s="2" t="n">
        <v>61635</v>
      </c>
      <c r="G5459" t="n">
        <v>-30.2</v>
      </c>
      <c r="H5459" t="n">
        <v>-14.9</v>
      </c>
      <c r="I5459" s="2" t="n">
        <v>3010</v>
      </c>
      <c r="J5459" t="n">
        <v>-58.2</v>
      </c>
      <c r="K5459" t="n">
        <v>-33.6</v>
      </c>
      <c r="L5459" s="2" t="n">
        <v>8332</v>
      </c>
      <c r="M5459" t="n">
        <v>8.4</v>
      </c>
      <c r="N5459" t="inlineStr">
        <is>
          <t>20240424800046</t>
        </is>
      </c>
      <c r="O5459">
        <f>HYPERLINK("https://dart.fss.or.kr/dsaf001/main.do?rcpNo=20240424800046", "공시열람")</f>
        <v/>
      </c>
    </row>
    <row r="5460">
      <c r="A5460" t="inlineStr">
        <is>
          <t>2024-04-24</t>
        </is>
      </c>
      <c r="B5460" t="inlineStr">
        <is>
          <t>SNT모티브</t>
        </is>
      </c>
      <c r="C5460" t="inlineStr">
        <is>
          <t>064960</t>
        </is>
      </c>
      <c r="D5460" t="inlineStr">
        <is>
          <t>연결</t>
        </is>
      </c>
      <c r="E5460" t="inlineStr">
        <is>
          <t>2024Q1</t>
        </is>
      </c>
      <c r="F5460" s="2" t="n">
        <v>221991</v>
      </c>
      <c r="G5460" t="n">
        <v>-22</v>
      </c>
      <c r="H5460" t="n">
        <v>-22.3</v>
      </c>
      <c r="I5460" s="2" t="n">
        <v>22009</v>
      </c>
      <c r="J5460" t="n">
        <v>-32</v>
      </c>
      <c r="K5460" t="n">
        <v>-18.1</v>
      </c>
      <c r="L5460" s="2" t="n">
        <v>26937</v>
      </c>
      <c r="M5460" t="n">
        <v>-14.3</v>
      </c>
      <c r="N5460" t="inlineStr">
        <is>
          <t>20240424800048</t>
        </is>
      </c>
      <c r="O5460">
        <f>HYPERLINK("https://dart.fss.or.kr/dsaf001/main.do?rcpNo=20240424800048", "공시열람")</f>
        <v/>
      </c>
    </row>
    <row r="5461">
      <c r="A5461" t="inlineStr">
        <is>
          <t>2024-04-24</t>
        </is>
      </c>
      <c r="B5461" t="inlineStr">
        <is>
          <t>안랩</t>
        </is>
      </c>
      <c r="C5461" t="inlineStr">
        <is>
          <t>053800</t>
        </is>
      </c>
      <c r="D5461" t="inlineStr">
        <is>
          <t>연결</t>
        </is>
      </c>
      <c r="E5461" t="inlineStr">
        <is>
          <t>2024Q1</t>
        </is>
      </c>
      <c r="F5461" s="2" t="n">
        <v>49535</v>
      </c>
      <c r="G5461" t="inlineStr"/>
      <c r="H5461" t="inlineStr"/>
      <c r="I5461" s="2" t="n">
        <v>53</v>
      </c>
      <c r="J5461" t="inlineStr"/>
      <c r="K5461" t="inlineStr"/>
      <c r="L5461" s="2" t="n">
        <v>1019</v>
      </c>
      <c r="M5461" t="inlineStr"/>
      <c r="N5461" t="inlineStr">
        <is>
          <t>20240424900054</t>
        </is>
      </c>
      <c r="O5461">
        <f>HYPERLINK("https://dart.fss.or.kr/dsaf001/main.do?rcpNo=20240424900054", "공시열람")</f>
        <v/>
      </c>
    </row>
    <row r="5462">
      <c r="A5462" t="inlineStr">
        <is>
          <t>2024-04-24</t>
        </is>
      </c>
      <c r="B5462" t="inlineStr">
        <is>
          <t>안랩</t>
        </is>
      </c>
      <c r="C5462" t="inlineStr">
        <is>
          <t>053800</t>
        </is>
      </c>
      <c r="D5462" t="inlineStr">
        <is>
          <t>별도</t>
        </is>
      </c>
      <c r="E5462" t="inlineStr">
        <is>
          <t>2024Q1</t>
        </is>
      </c>
      <c r="F5462" s="2" t="n">
        <v>47949</v>
      </c>
      <c r="G5462" t="inlineStr"/>
      <c r="H5462" t="inlineStr"/>
      <c r="I5462" s="2" t="n">
        <v>2488</v>
      </c>
      <c r="J5462" t="inlineStr"/>
      <c r="K5462" t="inlineStr"/>
      <c r="L5462" s="2" t="n">
        <v>4244</v>
      </c>
      <c r="M5462" t="inlineStr"/>
      <c r="N5462" t="inlineStr">
        <is>
          <t>20240424900055</t>
        </is>
      </c>
      <c r="O5462">
        <f>HYPERLINK("https://dart.fss.or.kr/dsaf001/main.do?rcpNo=20240424900055", "공시열람")</f>
        <v/>
      </c>
    </row>
    <row r="5463">
      <c r="A5463" t="inlineStr">
        <is>
          <t>2024-04-24</t>
        </is>
      </c>
      <c r="B5463" t="inlineStr">
        <is>
          <t>HD건설기계</t>
        </is>
      </c>
      <c r="C5463" t="inlineStr">
        <is>
          <t>267270</t>
        </is>
      </c>
      <c r="D5463" t="inlineStr">
        <is>
          <t>연결</t>
        </is>
      </c>
      <c r="E5463" t="inlineStr">
        <is>
          <t>2024Q1</t>
        </is>
      </c>
      <c r="F5463" s="2" t="n">
        <v>979100</v>
      </c>
      <c r="G5463" t="inlineStr"/>
      <c r="H5463" t="inlineStr"/>
      <c r="I5463" s="2" t="n">
        <v>53600</v>
      </c>
      <c r="J5463" t="inlineStr"/>
      <c r="K5463" t="inlineStr"/>
      <c r="L5463" s="2" t="n">
        <v>45800</v>
      </c>
      <c r="M5463" t="inlineStr"/>
      <c r="N5463" t="inlineStr">
        <is>
          <t>20240424800361</t>
        </is>
      </c>
      <c r="O5463">
        <f>HYPERLINK("https://dart.fss.or.kr/dsaf001/main.do?rcpNo=20240424800361", "공시열람")</f>
        <v/>
      </c>
    </row>
    <row r="5464">
      <c r="A5464" t="inlineStr">
        <is>
          <t>2024-04-24</t>
        </is>
      </c>
      <c r="B5464" t="inlineStr">
        <is>
          <t>칩스앤미디어</t>
        </is>
      </c>
      <c r="C5464" t="inlineStr">
        <is>
          <t>094360</t>
        </is>
      </c>
      <c r="D5464" t="inlineStr">
        <is>
          <t>연결</t>
        </is>
      </c>
      <c r="E5464" t="inlineStr">
        <is>
          <t>2024Q1</t>
        </is>
      </c>
      <c r="F5464" s="2" t="n">
        <v>4909</v>
      </c>
      <c r="G5464" t="inlineStr"/>
      <c r="H5464" t="inlineStr"/>
      <c r="I5464" s="2" t="n">
        <v>9</v>
      </c>
      <c r="J5464" t="inlineStr"/>
      <c r="K5464" t="inlineStr"/>
      <c r="L5464" s="2" t="n">
        <v>793</v>
      </c>
      <c r="M5464" t="inlineStr"/>
      <c r="N5464" t="inlineStr">
        <is>
          <t>20240424900274</t>
        </is>
      </c>
      <c r="O5464">
        <f>HYPERLINK("https://dart.fss.or.kr/dsaf001/main.do?rcpNo=20240424900274", "공시열람")</f>
        <v/>
      </c>
    </row>
    <row r="5465">
      <c r="A5465" t="inlineStr">
        <is>
          <t>2024-04-24</t>
        </is>
      </c>
      <c r="B5465" t="inlineStr">
        <is>
          <t>OCI</t>
        </is>
      </c>
      <c r="C5465" t="inlineStr">
        <is>
          <t>456040</t>
        </is>
      </c>
      <c r="D5465" t="inlineStr">
        <is>
          <t>연결</t>
        </is>
      </c>
      <c r="E5465" t="inlineStr">
        <is>
          <t>2024Q1</t>
        </is>
      </c>
      <c r="F5465" s="2" t="n">
        <v>540314</v>
      </c>
      <c r="G5465" t="n">
        <v>9.300000000000001</v>
      </c>
      <c r="H5465" t="inlineStr"/>
      <c r="I5465" s="2" t="n">
        <v>38833</v>
      </c>
      <c r="J5465" t="n">
        <v>92.09999999999999</v>
      </c>
      <c r="K5465" t="inlineStr"/>
      <c r="L5465" s="2" t="n">
        <v>38468</v>
      </c>
      <c r="M5465" t="inlineStr"/>
      <c r="N5465" t="inlineStr">
        <is>
          <t>20240424800249</t>
        </is>
      </c>
      <c r="O5465">
        <f>HYPERLINK("https://dart.fss.or.kr/dsaf001/main.do?rcpNo=20240424800249", "공시열람")</f>
        <v/>
      </c>
    </row>
    <row r="5466">
      <c r="A5466" t="inlineStr">
        <is>
          <t>2024-04-24</t>
        </is>
      </c>
      <c r="B5466" t="inlineStr">
        <is>
          <t>한화오션</t>
        </is>
      </c>
      <c r="C5466" t="inlineStr">
        <is>
          <t>042660</t>
        </is>
      </c>
      <c r="D5466" t="inlineStr">
        <is>
          <t>연결</t>
        </is>
      </c>
      <c r="E5466" t="inlineStr">
        <is>
          <t>2024Q1</t>
        </is>
      </c>
      <c r="F5466" s="2" t="n">
        <v>2283600</v>
      </c>
      <c r="G5466" t="n">
        <v>2.4</v>
      </c>
      <c r="H5466" t="n">
        <v>58.6</v>
      </c>
      <c r="I5466" s="2" t="n">
        <v>52900</v>
      </c>
      <c r="J5466" t="inlineStr"/>
      <c r="K5466" t="inlineStr"/>
      <c r="L5466" s="2" t="n">
        <v>51000</v>
      </c>
      <c r="M5466" t="inlineStr"/>
      <c r="N5466" t="inlineStr">
        <is>
          <t>20240424800237</t>
        </is>
      </c>
      <c r="O5466">
        <f>HYPERLINK("https://dart.fss.or.kr/dsaf001/main.do?rcpNo=20240424800237", "공시열람")</f>
        <v/>
      </c>
    </row>
    <row r="5467">
      <c r="A5467" t="inlineStr">
        <is>
          <t>2024-04-24</t>
        </is>
      </c>
      <c r="B5467" t="inlineStr">
        <is>
          <t>포스코스틸리온</t>
        </is>
      </c>
      <c r="C5467" t="inlineStr">
        <is>
          <t>058430</t>
        </is>
      </c>
      <c r="D5467" t="inlineStr">
        <is>
          <t>별도</t>
        </is>
      </c>
      <c r="E5467" t="inlineStr">
        <is>
          <t>2024Q1</t>
        </is>
      </c>
      <c r="F5467" s="2" t="n">
        <v>306200</v>
      </c>
      <c r="G5467" t="n">
        <v>10</v>
      </c>
      <c r="H5467" t="n">
        <v>10.9</v>
      </c>
      <c r="I5467" s="2" t="n">
        <v>10300</v>
      </c>
      <c r="J5467" t="n">
        <v>119.3</v>
      </c>
      <c r="K5467" t="n">
        <v>583</v>
      </c>
      <c r="L5467" s="2" t="n">
        <v>8400</v>
      </c>
      <c r="M5467" t="n">
        <v>162.7</v>
      </c>
      <c r="N5467" t="inlineStr">
        <is>
          <t>20240424800105</t>
        </is>
      </c>
      <c r="O5467">
        <f>HYPERLINK("https://dart.fss.or.kr/dsaf001/main.do?rcpNo=20240424800105", "공시열람")</f>
        <v/>
      </c>
    </row>
    <row r="5468">
      <c r="A5468" t="inlineStr">
        <is>
          <t>2024-04-24</t>
        </is>
      </c>
      <c r="B5468" t="inlineStr">
        <is>
          <t>포스코스틸리온</t>
        </is>
      </c>
      <c r="C5468" t="inlineStr">
        <is>
          <t>058430</t>
        </is>
      </c>
      <c r="D5468" t="inlineStr">
        <is>
          <t>연결</t>
        </is>
      </c>
      <c r="E5468" t="inlineStr">
        <is>
          <t>2024Q1</t>
        </is>
      </c>
      <c r="F5468" s="2" t="n">
        <v>312300</v>
      </c>
      <c r="G5468" t="n">
        <v>10.7</v>
      </c>
      <c r="H5468" t="n">
        <v>10.7</v>
      </c>
      <c r="I5468" s="2" t="n">
        <v>12500</v>
      </c>
      <c r="J5468" t="n">
        <v>119.6</v>
      </c>
      <c r="K5468" t="n">
        <v>536.6</v>
      </c>
      <c r="L5468" s="2" t="n">
        <v>8700</v>
      </c>
      <c r="M5468" t="n">
        <v>127.5</v>
      </c>
      <c r="N5468" t="inlineStr">
        <is>
          <t>20240424800108</t>
        </is>
      </c>
      <c r="O5468">
        <f>HYPERLINK("https://dart.fss.or.kr/dsaf001/main.do?rcpNo=20240424800108", "공시열람")</f>
        <v/>
      </c>
    </row>
    <row r="5469">
      <c r="A5469" t="inlineStr">
        <is>
          <t>2024-04-24</t>
        </is>
      </c>
      <c r="B5469" t="inlineStr">
        <is>
          <t>솔루스첨단소재</t>
        </is>
      </c>
      <c r="C5469" t="inlineStr">
        <is>
          <t>336370</t>
        </is>
      </c>
      <c r="D5469" t="inlineStr">
        <is>
          <t>연결</t>
        </is>
      </c>
      <c r="E5469" t="inlineStr">
        <is>
          <t>2024Q1</t>
        </is>
      </c>
      <c r="F5469" s="2" t="n">
        <v>121300</v>
      </c>
      <c r="G5469" t="n">
        <v>16.3</v>
      </c>
      <c r="H5469" t="n">
        <v>7.54</v>
      </c>
      <c r="I5469" s="2" t="n">
        <v>-14000</v>
      </c>
      <c r="J5469" t="n">
        <v>-39.8</v>
      </c>
      <c r="K5469" t="n">
        <v>26.42</v>
      </c>
      <c r="L5469" s="2" t="n">
        <v>-9100</v>
      </c>
      <c r="M5469" t="n">
        <v>57.48</v>
      </c>
      <c r="N5469" t="inlineStr">
        <is>
          <t>20240424800178</t>
        </is>
      </c>
      <c r="O5469">
        <f>HYPERLINK("https://dart.fss.or.kr/dsaf001/main.do?rcpNo=20240424800178", "공시열람")</f>
        <v/>
      </c>
    </row>
    <row r="5470">
      <c r="A5470" t="inlineStr">
        <is>
          <t>2024-04-24</t>
        </is>
      </c>
      <c r="B5470" t="inlineStr">
        <is>
          <t>유니드</t>
        </is>
      </c>
      <c r="C5470" t="inlineStr">
        <is>
          <t>014830</t>
        </is>
      </c>
      <c r="D5470" t="inlineStr">
        <is>
          <t>연결</t>
        </is>
      </c>
      <c r="E5470" t="inlineStr">
        <is>
          <t>2024Q1</t>
        </is>
      </c>
      <c r="F5470" s="2" t="n">
        <v>254703</v>
      </c>
      <c r="G5470" t="inlineStr"/>
      <c r="H5470" t="inlineStr"/>
      <c r="I5470" s="2" t="n">
        <v>27497</v>
      </c>
      <c r="J5470" t="inlineStr"/>
      <c r="K5470" t="inlineStr"/>
      <c r="L5470" s="2" t="n">
        <v>21659</v>
      </c>
      <c r="M5470" t="inlineStr"/>
      <c r="N5470" t="inlineStr">
        <is>
          <t>20240424800184</t>
        </is>
      </c>
      <c r="O5470">
        <f>HYPERLINK("https://dart.fss.or.kr/dsaf001/main.do?rcpNo=20240424800184", "공시열람")</f>
        <v/>
      </c>
    </row>
    <row r="5471">
      <c r="A5471" t="inlineStr">
        <is>
          <t>2024-04-24</t>
        </is>
      </c>
      <c r="B5471" t="inlineStr">
        <is>
          <t>LS에코에너지</t>
        </is>
      </c>
      <c r="C5471" t="inlineStr">
        <is>
          <t>229640</t>
        </is>
      </c>
      <c r="D5471" t="inlineStr">
        <is>
          <t>연결</t>
        </is>
      </c>
      <c r="E5471" t="inlineStr">
        <is>
          <t>2024Q1</t>
        </is>
      </c>
      <c r="F5471" s="2" t="n">
        <v>179887</v>
      </c>
      <c r="G5471" t="n">
        <v>-10</v>
      </c>
      <c r="H5471" t="n">
        <v>2</v>
      </c>
      <c r="I5471" s="2" t="n">
        <v>9700</v>
      </c>
      <c r="J5471" t="n">
        <v>34.4</v>
      </c>
      <c r="K5471" t="n">
        <v>84</v>
      </c>
      <c r="L5471" s="2" t="n">
        <v>7969</v>
      </c>
      <c r="M5471" t="n">
        <v>1239.6</v>
      </c>
      <c r="N5471" t="inlineStr">
        <is>
          <t>20240424800209</t>
        </is>
      </c>
      <c r="O5471">
        <f>HYPERLINK("https://dart.fss.or.kr/dsaf001/main.do?rcpNo=20240424800209", "공시열람")</f>
        <v/>
      </c>
    </row>
    <row r="5472">
      <c r="A5472" t="inlineStr">
        <is>
          <t>2024-04-24</t>
        </is>
      </c>
      <c r="B5472" t="inlineStr">
        <is>
          <t>동국씨엠</t>
        </is>
      </c>
      <c r="C5472" t="inlineStr">
        <is>
          <t>460850</t>
        </is>
      </c>
      <c r="D5472" t="inlineStr">
        <is>
          <t>별도</t>
        </is>
      </c>
      <c r="E5472" t="inlineStr">
        <is>
          <t>2024Q1</t>
        </is>
      </c>
      <c r="F5472" s="2" t="n">
        <v>556456</v>
      </c>
      <c r="G5472" t="n">
        <v>6.11</v>
      </c>
      <c r="H5472" t="inlineStr"/>
      <c r="I5472" s="2" t="n">
        <v>23840</v>
      </c>
      <c r="J5472" t="inlineStr"/>
      <c r="K5472" t="inlineStr"/>
      <c r="L5472" s="2" t="n">
        <v>21326</v>
      </c>
      <c r="M5472" t="inlineStr"/>
      <c r="N5472" t="inlineStr">
        <is>
          <t>20240424800217</t>
        </is>
      </c>
      <c r="O5472">
        <f>HYPERLINK("https://dart.fss.or.kr/dsaf001/main.do?rcpNo=20240424800217", "공시열람")</f>
        <v/>
      </c>
    </row>
    <row r="5473">
      <c r="A5473" t="inlineStr">
        <is>
          <t>2024-04-24</t>
        </is>
      </c>
      <c r="B5473" t="inlineStr">
        <is>
          <t>SNT다이내믹스</t>
        </is>
      </c>
      <c r="C5473" t="inlineStr">
        <is>
          <t>003570</t>
        </is>
      </c>
      <c r="D5473" t="inlineStr">
        <is>
          <t>연결</t>
        </is>
      </c>
      <c r="E5473" t="inlineStr">
        <is>
          <t>2024Q1</t>
        </is>
      </c>
      <c r="F5473" s="2" t="n">
        <v>114055</v>
      </c>
      <c r="G5473" t="n">
        <v>-22.3</v>
      </c>
      <c r="H5473" t="n">
        <v>10.9</v>
      </c>
      <c r="I5473" s="2" t="n">
        <v>11035</v>
      </c>
      <c r="J5473" t="n">
        <v>46.1</v>
      </c>
      <c r="K5473" t="n">
        <v>21.8</v>
      </c>
      <c r="L5473" s="2" t="n">
        <v>12880</v>
      </c>
      <c r="M5473" t="n">
        <v>18.5</v>
      </c>
      <c r="N5473" t="inlineStr">
        <is>
          <t>20240424800049</t>
        </is>
      </c>
      <c r="O5473">
        <f>HYPERLINK("https://dart.fss.or.kr/dsaf001/main.do?rcpNo=20240424800049", "공시열람")</f>
        <v/>
      </c>
    </row>
    <row r="5474">
      <c r="A5474" t="inlineStr">
        <is>
          <t>2024-04-23</t>
        </is>
      </c>
      <c r="B5474" t="inlineStr">
        <is>
          <t>한화엔진</t>
        </is>
      </c>
      <c r="C5474" t="inlineStr">
        <is>
          <t>082740</t>
        </is>
      </c>
      <c r="D5474" t="inlineStr">
        <is>
          <t>별도</t>
        </is>
      </c>
      <c r="E5474" t="inlineStr">
        <is>
          <t>2024Q1</t>
        </is>
      </c>
      <c r="F5474" s="2" t="n">
        <v>293365</v>
      </c>
      <c r="G5474" t="n">
        <v>5.4</v>
      </c>
      <c r="H5474" t="n">
        <v>47.2</v>
      </c>
      <c r="I5474" s="2" t="n">
        <v>19427</v>
      </c>
      <c r="J5474" t="n">
        <v>19981</v>
      </c>
      <c r="K5474" t="n">
        <v>376.8</v>
      </c>
      <c r="L5474" s="2" t="n">
        <v>14870</v>
      </c>
      <c r="M5474" t="n">
        <v>162.7</v>
      </c>
      <c r="N5474" t="inlineStr">
        <is>
          <t>20240423800376</t>
        </is>
      </c>
      <c r="O5474">
        <f>HYPERLINK("https://dart.fss.or.kr/dsaf001/main.do?rcpNo=20240423800376", "공시열람")</f>
        <v/>
      </c>
    </row>
    <row r="5475">
      <c r="A5475" t="inlineStr">
        <is>
          <t>2024-04-23</t>
        </is>
      </c>
      <c r="B5475" t="inlineStr">
        <is>
          <t>부광약품</t>
        </is>
      </c>
      <c r="C5475" t="inlineStr">
        <is>
          <t>003000</t>
        </is>
      </c>
      <c r="D5475" t="inlineStr">
        <is>
          <t>연결</t>
        </is>
      </c>
      <c r="E5475" t="inlineStr">
        <is>
          <t>2024Q1</t>
        </is>
      </c>
      <c r="F5475" s="2" t="n">
        <v>34393</v>
      </c>
      <c r="G5475" t="inlineStr"/>
      <c r="H5475" t="inlineStr"/>
      <c r="I5475" s="2" t="n">
        <v>-1628</v>
      </c>
      <c r="J5475" t="inlineStr"/>
      <c r="K5475" t="inlineStr"/>
      <c r="L5475" s="2" t="n">
        <v>-2558</v>
      </c>
      <c r="M5475" t="inlineStr"/>
      <c r="N5475" t="inlineStr">
        <is>
          <t>20240423800236</t>
        </is>
      </c>
      <c r="O5475">
        <f>HYPERLINK("https://dart.fss.or.kr/dsaf001/main.do?rcpNo=20240423800236", "공시열람")</f>
        <v/>
      </c>
    </row>
    <row r="5476">
      <c r="A5476" t="inlineStr">
        <is>
          <t>2024-04-23</t>
        </is>
      </c>
      <c r="B5476" t="inlineStr">
        <is>
          <t>LS마린솔루션</t>
        </is>
      </c>
      <c r="C5476" t="inlineStr">
        <is>
          <t>060370</t>
        </is>
      </c>
      <c r="D5476" t="inlineStr">
        <is>
          <t>별도</t>
        </is>
      </c>
      <c r="E5476" t="inlineStr">
        <is>
          <t>2024Q1</t>
        </is>
      </c>
      <c r="F5476" s="2" t="n">
        <v>13676</v>
      </c>
      <c r="G5476" t="inlineStr"/>
      <c r="H5476" t="inlineStr"/>
      <c r="I5476" s="2" t="n">
        <v>-2841</v>
      </c>
      <c r="J5476" t="inlineStr"/>
      <c r="K5476" t="inlineStr"/>
      <c r="L5476" s="2" t="n">
        <v>-1867</v>
      </c>
      <c r="M5476" t="inlineStr"/>
      <c r="N5476" t="inlineStr">
        <is>
          <t>20240423900413</t>
        </is>
      </c>
      <c r="O5476">
        <f>HYPERLINK("https://dart.fss.or.kr/dsaf001/main.do?rcpNo=20240423900413", "공시열람")</f>
        <v/>
      </c>
    </row>
    <row r="5477">
      <c r="A5477" t="inlineStr">
        <is>
          <t>2024-04-23</t>
        </is>
      </c>
      <c r="B5477" t="inlineStr">
        <is>
          <t>HD현대에너지솔루션</t>
        </is>
      </c>
      <c r="C5477" t="inlineStr">
        <is>
          <t>322000</t>
        </is>
      </c>
      <c r="D5477" t="inlineStr">
        <is>
          <t>연결</t>
        </is>
      </c>
      <c r="E5477" t="inlineStr">
        <is>
          <t>2024Q1</t>
        </is>
      </c>
      <c r="F5477" s="2" t="n">
        <v>97590</v>
      </c>
      <c r="G5477" t="n">
        <v>-13.9</v>
      </c>
      <c r="H5477" t="n">
        <v>-30.7</v>
      </c>
      <c r="I5477" s="2" t="n">
        <v>-14239</v>
      </c>
      <c r="J5477" t="n">
        <v>-192</v>
      </c>
      <c r="K5477" t="inlineStr"/>
      <c r="L5477" s="2" t="n">
        <v>-19403</v>
      </c>
      <c r="M5477" t="inlineStr"/>
      <c r="N5477" t="inlineStr">
        <is>
          <t>20240423800501</t>
        </is>
      </c>
      <c r="O5477">
        <f>HYPERLINK("https://dart.fss.or.kr/dsaf001/main.do?rcpNo=20240423800501", "공시열람")</f>
        <v/>
      </c>
    </row>
    <row r="5478">
      <c r="A5478" t="inlineStr">
        <is>
          <t>2024-04-23</t>
        </is>
      </c>
      <c r="B5478" t="inlineStr">
        <is>
          <t>HD현대일렉트릭</t>
        </is>
      </c>
      <c r="C5478" t="inlineStr">
        <is>
          <t>267260</t>
        </is>
      </c>
      <c r="D5478" t="inlineStr">
        <is>
          <t>연결</t>
        </is>
      </c>
      <c r="E5478" t="inlineStr">
        <is>
          <t>2024Q1</t>
        </is>
      </c>
      <c r="F5478" s="2" t="n">
        <v>801000</v>
      </c>
      <c r="G5478" t="n">
        <v>0.5</v>
      </c>
      <c r="H5478" t="n">
        <v>40.9</v>
      </c>
      <c r="I5478" s="2" t="n">
        <v>128800</v>
      </c>
      <c r="J5478" t="n">
        <v>3.3</v>
      </c>
      <c r="K5478" t="n">
        <v>178.2</v>
      </c>
      <c r="L5478" s="2" t="n">
        <v>93400</v>
      </c>
      <c r="M5478" t="n">
        <v>224.3</v>
      </c>
      <c r="N5478" t="inlineStr">
        <is>
          <t>20240423800177</t>
        </is>
      </c>
      <c r="O5478">
        <f>HYPERLINK("https://dart.fss.or.kr/dsaf001/main.do?rcpNo=20240423800177", "공시열람")</f>
        <v/>
      </c>
    </row>
    <row r="5479">
      <c r="A5479" t="inlineStr">
        <is>
          <t>2024-04-23</t>
        </is>
      </c>
      <c r="B5479" t="inlineStr">
        <is>
          <t>SGC에너지</t>
        </is>
      </c>
      <c r="C5479" t="inlineStr">
        <is>
          <t>005090</t>
        </is>
      </c>
      <c r="D5479" t="inlineStr">
        <is>
          <t>연결</t>
        </is>
      </c>
      <c r="E5479" t="inlineStr">
        <is>
          <t>2024Q1</t>
        </is>
      </c>
      <c r="F5479" s="2" t="n">
        <v>559200</v>
      </c>
      <c r="G5479" t="inlineStr"/>
      <c r="H5479" t="inlineStr"/>
      <c r="I5479" s="2" t="n">
        <v>51400</v>
      </c>
      <c r="J5479" t="inlineStr"/>
      <c r="K5479" t="inlineStr"/>
      <c r="L5479" s="2" t="n">
        <v>22700</v>
      </c>
      <c r="M5479" t="inlineStr"/>
      <c r="N5479" t="inlineStr">
        <is>
          <t>20240423800069</t>
        </is>
      </c>
      <c r="O5479">
        <f>HYPERLINK("https://dart.fss.or.kr/dsaf001/main.do?rcpNo=20240423800069", "공시열람")</f>
        <v/>
      </c>
    </row>
    <row r="5480">
      <c r="A5480" t="inlineStr">
        <is>
          <t>2024-04-23</t>
        </is>
      </c>
      <c r="B5480" t="inlineStr">
        <is>
          <t>SGC E&amp;C</t>
        </is>
      </c>
      <c r="C5480" t="inlineStr">
        <is>
          <t>016250</t>
        </is>
      </c>
      <c r="D5480" t="inlineStr">
        <is>
          <t>연결</t>
        </is>
      </c>
      <c r="E5480" t="inlineStr">
        <is>
          <t>2024Q1</t>
        </is>
      </c>
      <c r="F5480" s="2" t="n">
        <v>274444</v>
      </c>
      <c r="G5480" t="inlineStr"/>
      <c r="H5480" t="inlineStr"/>
      <c r="I5480" s="2" t="n">
        <v>1212</v>
      </c>
      <c r="J5480" t="inlineStr"/>
      <c r="K5480" t="inlineStr"/>
      <c r="L5480" s="2" t="inlineStr"/>
      <c r="M5480" t="inlineStr"/>
      <c r="N5480" t="inlineStr">
        <is>
          <t>20240423900056</t>
        </is>
      </c>
      <c r="O5480">
        <f>HYPERLINK("https://dart.fss.or.kr/dsaf001/main.do?rcpNo=20240423900056", "공시열람")</f>
        <v/>
      </c>
    </row>
    <row r="5481">
      <c r="A5481" t="inlineStr">
        <is>
          <t>2024-04-22</t>
        </is>
      </c>
      <c r="B5481" t="inlineStr">
        <is>
          <t>KG모빌리티</t>
        </is>
      </c>
      <c r="C5481" t="inlineStr">
        <is>
          <t>003620</t>
        </is>
      </c>
      <c r="D5481" t="inlineStr">
        <is>
          <t>연결</t>
        </is>
      </c>
      <c r="E5481" t="inlineStr">
        <is>
          <t>2024Q1</t>
        </is>
      </c>
      <c r="F5481" s="2" t="n">
        <v>1001788</v>
      </c>
      <c r="G5481" t="n">
        <v>35.15</v>
      </c>
      <c r="H5481" t="n">
        <v>-7.67</v>
      </c>
      <c r="I5481" s="2" t="n">
        <v>15117</v>
      </c>
      <c r="J5481" t="inlineStr"/>
      <c r="K5481" t="n">
        <v>61.09</v>
      </c>
      <c r="L5481" s="2" t="n">
        <v>53880</v>
      </c>
      <c r="M5481" t="n">
        <v>226.11</v>
      </c>
      <c r="N5481" t="inlineStr">
        <is>
          <t>20240422800255</t>
        </is>
      </c>
      <c r="O5481">
        <f>HYPERLINK("https://dart.fss.or.kr/dsaf001/main.do?rcpNo=20240422800255", "공시열람")</f>
        <v/>
      </c>
    </row>
    <row r="5482">
      <c r="A5482" t="inlineStr">
        <is>
          <t>2024-04-22</t>
        </is>
      </c>
      <c r="B5482" t="inlineStr">
        <is>
          <t>액트로</t>
        </is>
      </c>
      <c r="C5482" t="inlineStr">
        <is>
          <t>290740</t>
        </is>
      </c>
      <c r="D5482" t="inlineStr">
        <is>
          <t>연결</t>
        </is>
      </c>
      <c r="E5482" t="inlineStr">
        <is>
          <t>2024Q1</t>
        </is>
      </c>
      <c r="F5482" s="2" t="n">
        <v>55188</v>
      </c>
      <c r="G5482" t="inlineStr"/>
      <c r="H5482" t="inlineStr"/>
      <c r="I5482" s="2" t="n">
        <v>582</v>
      </c>
      <c r="J5482" t="inlineStr"/>
      <c r="K5482" t="inlineStr"/>
      <c r="L5482" s="2" t="n">
        <v>2333</v>
      </c>
      <c r="M5482" t="inlineStr"/>
      <c r="N5482" t="inlineStr">
        <is>
          <t>20240422900188</t>
        </is>
      </c>
      <c r="O5482">
        <f>HYPERLINK("https://dart.fss.or.kr/dsaf001/main.do?rcpNo=20240422900188", "공시열람")</f>
        <v/>
      </c>
    </row>
    <row r="5483">
      <c r="A5483" t="inlineStr">
        <is>
          <t>2024-04-22</t>
        </is>
      </c>
      <c r="B5483" t="inlineStr">
        <is>
          <t>LX세미콘</t>
        </is>
      </c>
      <c r="C5483" t="inlineStr">
        <is>
          <t>108320</t>
        </is>
      </c>
      <c r="D5483" t="inlineStr">
        <is>
          <t>연결</t>
        </is>
      </c>
      <c r="E5483" t="inlineStr">
        <is>
          <t>2024Q1</t>
        </is>
      </c>
      <c r="F5483" s="2" t="n">
        <v>458322</v>
      </c>
      <c r="G5483" t="n">
        <v>-10.6</v>
      </c>
      <c r="H5483" t="n">
        <v>-12.1</v>
      </c>
      <c r="I5483" s="2" t="n">
        <v>46236</v>
      </c>
      <c r="J5483" t="n">
        <v>-31.1</v>
      </c>
      <c r="K5483" t="n">
        <v>18.1</v>
      </c>
      <c r="L5483" s="2" t="n">
        <v>40074</v>
      </c>
      <c r="M5483" t="n">
        <v>12.3</v>
      </c>
      <c r="N5483" t="inlineStr">
        <is>
          <t>20240422800620</t>
        </is>
      </c>
      <c r="O5483">
        <f>HYPERLINK("https://dart.fss.or.kr/dsaf001/main.do?rcpNo=20240422800620", "공시열람")</f>
        <v/>
      </c>
    </row>
    <row r="5484">
      <c r="A5484" t="inlineStr">
        <is>
          <t>2024-04-22</t>
        </is>
      </c>
      <c r="B5484" t="inlineStr">
        <is>
          <t>JB금융지주</t>
        </is>
      </c>
      <c r="C5484" t="inlineStr">
        <is>
          <t>175330</t>
        </is>
      </c>
      <c r="D5484" t="inlineStr">
        <is>
          <t>연결</t>
        </is>
      </c>
      <c r="E5484" t="inlineStr">
        <is>
          <t>2024Q1</t>
        </is>
      </c>
      <c r="F5484" s="2" t="n">
        <v>270019</v>
      </c>
      <c r="G5484" t="n">
        <v>6.8</v>
      </c>
      <c r="H5484" t="n">
        <v>26.7</v>
      </c>
      <c r="I5484" s="2" t="n">
        <v>73691</v>
      </c>
      <c r="J5484" t="n">
        <v>47.4</v>
      </c>
      <c r="K5484" t="n">
        <v>14</v>
      </c>
      <c r="L5484" s="2" t="n">
        <v>56502</v>
      </c>
      <c r="M5484" t="n">
        <v>15.3</v>
      </c>
      <c r="N5484" t="inlineStr">
        <is>
          <t>20240422800314</t>
        </is>
      </c>
      <c r="O5484">
        <f>HYPERLINK("https://dart.fss.or.kr/dsaf001/main.do?rcpNo=20240422800314", "공시열람")</f>
        <v/>
      </c>
    </row>
    <row r="5485">
      <c r="A5485" t="inlineStr">
        <is>
          <t>2024-04-22</t>
        </is>
      </c>
      <c r="B5485" t="inlineStr">
        <is>
          <t>JB금융지주</t>
        </is>
      </c>
      <c r="C5485" t="inlineStr">
        <is>
          <t>175330</t>
        </is>
      </c>
      <c r="D5485" t="inlineStr">
        <is>
          <t>연결</t>
        </is>
      </c>
      <c r="E5485" t="inlineStr">
        <is>
          <t>2024Q1</t>
        </is>
      </c>
      <c r="F5485" s="2" t="n">
        <v>456433</v>
      </c>
      <c r="G5485" t="n">
        <v>3.6</v>
      </c>
      <c r="H5485" t="n">
        <v>11.1</v>
      </c>
      <c r="I5485" s="2" t="n">
        <v>95265</v>
      </c>
      <c r="J5485" t="n">
        <v>223</v>
      </c>
      <c r="K5485" t="n">
        <v>-1.9</v>
      </c>
      <c r="L5485" s="2" t="n">
        <v>73339</v>
      </c>
      <c r="M5485" t="n">
        <v>0.1</v>
      </c>
      <c r="N5485" t="inlineStr">
        <is>
          <t>20240422800307</t>
        </is>
      </c>
      <c r="O5485">
        <f>HYPERLINK("https://dart.fss.or.kr/dsaf001/main.do?rcpNo=20240422800307", "공시열람")</f>
        <v/>
      </c>
    </row>
    <row r="5486">
      <c r="A5486" t="inlineStr">
        <is>
          <t>2024-04-22</t>
        </is>
      </c>
      <c r="B5486" t="inlineStr">
        <is>
          <t>JB금융지주</t>
        </is>
      </c>
      <c r="C5486" t="inlineStr">
        <is>
          <t>175330</t>
        </is>
      </c>
      <c r="D5486" t="inlineStr">
        <is>
          <t>연결</t>
        </is>
      </c>
      <c r="E5486" t="inlineStr">
        <is>
          <t>2024Q1</t>
        </is>
      </c>
      <c r="F5486" s="2" t="n">
        <v>394410</v>
      </c>
      <c r="G5486" t="n">
        <v>-1.3</v>
      </c>
      <c r="H5486" t="n">
        <v>6.5</v>
      </c>
      <c r="I5486" s="2" t="n">
        <v>73651</v>
      </c>
      <c r="J5486" t="n">
        <v>23.7</v>
      </c>
      <c r="K5486" t="n">
        <v>4.1</v>
      </c>
      <c r="L5486" s="2" t="n">
        <v>56339</v>
      </c>
      <c r="M5486" t="n">
        <v>5.5</v>
      </c>
      <c r="N5486" t="inlineStr">
        <is>
          <t>20240422800301</t>
        </is>
      </c>
      <c r="O5486">
        <f>HYPERLINK("https://dart.fss.or.kr/dsaf001/main.do?rcpNo=20240422800301", "공시열람")</f>
        <v/>
      </c>
    </row>
    <row r="5487">
      <c r="A5487" t="inlineStr">
        <is>
          <t>2024-04-22</t>
        </is>
      </c>
      <c r="B5487" t="inlineStr">
        <is>
          <t>JB금융지주</t>
        </is>
      </c>
      <c r="C5487" t="inlineStr">
        <is>
          <t>175330</t>
        </is>
      </c>
      <c r="D5487" t="inlineStr">
        <is>
          <t>연결</t>
        </is>
      </c>
      <c r="E5487" t="inlineStr">
        <is>
          <t>2024Q1</t>
        </is>
      </c>
      <c r="F5487" s="2" t="n">
        <v>1140187</v>
      </c>
      <c r="G5487" t="n">
        <v>2.4</v>
      </c>
      <c r="H5487" t="n">
        <v>13.1</v>
      </c>
      <c r="I5487" s="2" t="n">
        <v>227963</v>
      </c>
      <c r="J5487" t="n">
        <v>80.5</v>
      </c>
      <c r="K5487" t="n">
        <v>2.1</v>
      </c>
      <c r="L5487" s="2" t="n">
        <v>176058</v>
      </c>
      <c r="M5487" t="n">
        <v>5.2</v>
      </c>
      <c r="N5487" t="inlineStr">
        <is>
          <t>20240422800291</t>
        </is>
      </c>
      <c r="O5487">
        <f>HYPERLINK("https://dart.fss.or.kr/dsaf001/main.do?rcpNo=20240422800291", "공시열람")</f>
        <v/>
      </c>
    </row>
    <row r="5488">
      <c r="A5488" t="inlineStr">
        <is>
          <t>2024-04-22</t>
        </is>
      </c>
      <c r="B5488" t="inlineStr">
        <is>
          <t>화천기계</t>
        </is>
      </c>
      <c r="C5488" t="inlineStr">
        <is>
          <t>010660</t>
        </is>
      </c>
      <c r="D5488" t="inlineStr">
        <is>
          <t>별도</t>
        </is>
      </c>
      <c r="E5488" t="inlineStr">
        <is>
          <t>2024Q1</t>
        </is>
      </c>
      <c r="F5488" s="2" t="n">
        <v>46497</v>
      </c>
      <c r="G5488" t="n">
        <v>3.9</v>
      </c>
      <c r="H5488" t="n">
        <v>19.9</v>
      </c>
      <c r="I5488" s="2" t="n">
        <v>68</v>
      </c>
      <c r="J5488" t="inlineStr"/>
      <c r="K5488" t="inlineStr"/>
      <c r="L5488" s="2" t="n">
        <v>1138</v>
      </c>
      <c r="M5488" t="inlineStr"/>
      <c r="N5488" t="inlineStr">
        <is>
          <t>20240422800252</t>
        </is>
      </c>
      <c r="O5488">
        <f>HYPERLINK("https://dart.fss.or.kr/dsaf001/main.do?rcpNo=20240422800252", "공시열람")</f>
        <v/>
      </c>
    </row>
    <row r="5489">
      <c r="A5489" t="inlineStr">
        <is>
          <t>2024-04-19</t>
        </is>
      </c>
      <c r="B5489" t="inlineStr">
        <is>
          <t>한미반도체</t>
        </is>
      </c>
      <c r="C5489" t="inlineStr">
        <is>
          <t>042700</t>
        </is>
      </c>
      <c r="D5489" t="inlineStr">
        <is>
          <t>연결</t>
        </is>
      </c>
      <c r="E5489" t="inlineStr">
        <is>
          <t>2024Q1</t>
        </is>
      </c>
      <c r="F5489" s="2" t="n">
        <v>77318</v>
      </c>
      <c r="G5489" t="inlineStr"/>
      <c r="H5489" t="inlineStr"/>
      <c r="I5489" s="2" t="n">
        <v>28706</v>
      </c>
      <c r="J5489" t="inlineStr"/>
      <c r="K5489" t="inlineStr"/>
      <c r="L5489" s="2" t="inlineStr"/>
      <c r="M5489" t="inlineStr"/>
      <c r="N5489" t="inlineStr">
        <is>
          <t>20240419800050</t>
        </is>
      </c>
      <c r="O5489">
        <f>HYPERLINK("https://dart.fss.or.kr/dsaf001/main.do?rcpNo=20240419800050", "공시열람")</f>
        <v/>
      </c>
    </row>
    <row r="5490">
      <c r="A5490" t="inlineStr">
        <is>
          <t>2024-04-19</t>
        </is>
      </c>
      <c r="B5490" t="inlineStr">
        <is>
          <t>티씨케이</t>
        </is>
      </c>
      <c r="C5490" t="inlineStr">
        <is>
          <t>064760</t>
        </is>
      </c>
      <c r="D5490" t="inlineStr">
        <is>
          <t>별도</t>
        </is>
      </c>
      <c r="E5490" t="inlineStr">
        <is>
          <t>2024Q1</t>
        </is>
      </c>
      <c r="F5490" s="2" t="n">
        <v>58983</v>
      </c>
      <c r="G5490" t="inlineStr"/>
      <c r="H5490" t="inlineStr"/>
      <c r="I5490" s="2" t="n">
        <v>17369</v>
      </c>
      <c r="J5490" t="inlineStr"/>
      <c r="K5490" t="inlineStr"/>
      <c r="L5490" s="2" t="n">
        <v>15592</v>
      </c>
      <c r="M5490" t="inlineStr"/>
      <c r="N5490" t="inlineStr">
        <is>
          <t>20240419900191</t>
        </is>
      </c>
      <c r="O5490">
        <f>HYPERLINK("https://dart.fss.or.kr/dsaf001/main.do?rcpNo=20240419900191", "공시열람")</f>
        <v/>
      </c>
    </row>
    <row r="5491">
      <c r="A5491" t="inlineStr">
        <is>
          <t>2024-04-19</t>
        </is>
      </c>
      <c r="B5491" t="inlineStr">
        <is>
          <t>현대건설</t>
        </is>
      </c>
      <c r="C5491" t="inlineStr">
        <is>
          <t>000720</t>
        </is>
      </c>
      <c r="D5491" t="inlineStr">
        <is>
          <t>연결</t>
        </is>
      </c>
      <c r="E5491" t="inlineStr">
        <is>
          <t>2024Q1</t>
        </is>
      </c>
      <c r="F5491" s="2" t="n">
        <v>8545258</v>
      </c>
      <c r="G5491" t="n">
        <v>-0.6</v>
      </c>
      <c r="H5491" t="n">
        <v>41.7</v>
      </c>
      <c r="I5491" s="2" t="n">
        <v>250912</v>
      </c>
      <c r="J5491" t="n">
        <v>73.59999999999999</v>
      </c>
      <c r="K5491" t="n">
        <v>44.6</v>
      </c>
      <c r="L5491" s="2" t="n">
        <v>208363</v>
      </c>
      <c r="M5491" t="n">
        <v>38.4</v>
      </c>
      <c r="N5491" t="inlineStr">
        <is>
          <t>20240419800265</t>
        </is>
      </c>
      <c r="O5491">
        <f>HYPERLINK("https://dart.fss.or.kr/dsaf001/main.do?rcpNo=20240419800265", "공시열람")</f>
        <v/>
      </c>
    </row>
    <row r="5492">
      <c r="A5492" t="inlineStr">
        <is>
          <t>2024-04-19</t>
        </is>
      </c>
      <c r="B5492" t="inlineStr">
        <is>
          <t>국도화학</t>
        </is>
      </c>
      <c r="C5492" t="inlineStr">
        <is>
          <t>007690</t>
        </is>
      </c>
      <c r="D5492" t="inlineStr">
        <is>
          <t>연결</t>
        </is>
      </c>
      <c r="E5492" t="inlineStr">
        <is>
          <t>2024Q1</t>
        </is>
      </c>
      <c r="F5492" s="2" t="n">
        <v>296146</v>
      </c>
      <c r="G5492" t="n">
        <v>-3.1</v>
      </c>
      <c r="H5492" t="n">
        <v>-13.8</v>
      </c>
      <c r="I5492" s="2" t="n">
        <v>1737</v>
      </c>
      <c r="J5492" t="inlineStr"/>
      <c r="K5492" t="n">
        <v>-83.40000000000001</v>
      </c>
      <c r="L5492" s="2" t="n">
        <v>-999</v>
      </c>
      <c r="M5492" t="inlineStr"/>
      <c r="N5492" t="inlineStr">
        <is>
          <t>20240419800282</t>
        </is>
      </c>
      <c r="O5492">
        <f>HYPERLINK("https://dart.fss.or.kr/dsaf001/main.do?rcpNo=20240419800282", "공시열람")</f>
        <v/>
      </c>
    </row>
    <row r="5493">
      <c r="A5493" t="inlineStr">
        <is>
          <t>2024-04-18</t>
        </is>
      </c>
      <c r="B5493" t="inlineStr">
        <is>
          <t>지역난방공사</t>
        </is>
      </c>
      <c r="C5493" t="inlineStr">
        <is>
          <t>071320</t>
        </is>
      </c>
      <c r="D5493" t="inlineStr">
        <is>
          <t>별도</t>
        </is>
      </c>
      <c r="E5493" t="inlineStr">
        <is>
          <t>2024Q1</t>
        </is>
      </c>
      <c r="F5493" s="2" t="inlineStr"/>
      <c r="G5493" t="inlineStr"/>
      <c r="H5493" t="inlineStr"/>
      <c r="I5493" s="2" t="inlineStr"/>
      <c r="J5493" t="inlineStr"/>
      <c r="K5493" t="inlineStr"/>
      <c r="L5493" s="2" t="inlineStr"/>
      <c r="M5493" t="inlineStr"/>
      <c r="N5493" t="inlineStr">
        <is>
          <t>20240418800361</t>
        </is>
      </c>
      <c r="O5493">
        <f>HYPERLINK("https://dart.fss.or.kr/dsaf001/main.do?rcpNo=20240418800361", "공시열람")</f>
        <v/>
      </c>
    </row>
    <row r="5494">
      <c r="A5494" t="inlineStr">
        <is>
          <t>2024-04-18</t>
        </is>
      </c>
      <c r="B5494" t="inlineStr">
        <is>
          <t>한솔아이원스</t>
        </is>
      </c>
      <c r="C5494" t="inlineStr">
        <is>
          <t>114810</t>
        </is>
      </c>
      <c r="D5494" t="inlineStr">
        <is>
          <t>연결</t>
        </is>
      </c>
      <c r="E5494" t="inlineStr">
        <is>
          <t>2024Q1</t>
        </is>
      </c>
      <c r="F5494" s="2" t="n">
        <v>37337</v>
      </c>
      <c r="G5494" t="inlineStr"/>
      <c r="H5494" t="inlineStr"/>
      <c r="I5494" s="2" t="n">
        <v>4894</v>
      </c>
      <c r="J5494" t="inlineStr"/>
      <c r="K5494" t="inlineStr"/>
      <c r="L5494" s="2" t="n">
        <v>8333</v>
      </c>
      <c r="M5494" t="inlineStr"/>
      <c r="N5494" t="inlineStr">
        <is>
          <t>20240418900548</t>
        </is>
      </c>
      <c r="O5494">
        <f>HYPERLINK("https://dart.fss.or.kr/dsaf001/main.do?rcpNo=20240418900548", "공시열람")</f>
        <v/>
      </c>
    </row>
    <row r="5495">
      <c r="A5495" t="inlineStr">
        <is>
          <t>2024-04-17</t>
        </is>
      </c>
      <c r="B5495" t="inlineStr">
        <is>
          <t>KZ정밀</t>
        </is>
      </c>
      <c r="C5495" t="inlineStr">
        <is>
          <t>036560</t>
        </is>
      </c>
      <c r="D5495" t="inlineStr">
        <is>
          <t>별도</t>
        </is>
      </c>
      <c r="E5495" t="inlineStr">
        <is>
          <t>2024Q1</t>
        </is>
      </c>
      <c r="F5495" s="2" t="n">
        <v>31842</v>
      </c>
      <c r="G5495" t="inlineStr"/>
      <c r="H5495" t="inlineStr"/>
      <c r="I5495" s="2" t="n">
        <v>7227</v>
      </c>
      <c r="J5495" t="inlineStr"/>
      <c r="K5495" t="inlineStr"/>
      <c r="L5495" s="2" t="n">
        <v>8734</v>
      </c>
      <c r="M5495" t="inlineStr"/>
      <c r="N5495" t="inlineStr">
        <is>
          <t>20240417900116</t>
        </is>
      </c>
      <c r="O5495">
        <f>HYPERLINK("https://dart.fss.or.kr/dsaf001/main.do?rcpNo=20240417900116", "공시열람")</f>
        <v/>
      </c>
    </row>
    <row r="5496">
      <c r="A5496" t="inlineStr">
        <is>
          <t>2024-04-17</t>
        </is>
      </c>
      <c r="B5496" t="inlineStr">
        <is>
          <t>HD현대중공업</t>
        </is>
      </c>
      <c r="C5496" t="inlineStr">
        <is>
          <t>329180</t>
        </is>
      </c>
      <c r="D5496" t="inlineStr">
        <is>
          <t>별도</t>
        </is>
      </c>
      <c r="E5496" t="inlineStr">
        <is>
          <t>2024Q1</t>
        </is>
      </c>
      <c r="F5496" s="2" t="inlineStr"/>
      <c r="G5496" t="inlineStr"/>
      <c r="H5496" t="inlineStr"/>
      <c r="I5496" s="2" t="inlineStr"/>
      <c r="J5496" t="inlineStr"/>
      <c r="K5496" t="inlineStr"/>
      <c r="L5496" s="2" t="inlineStr"/>
      <c r="M5496" t="inlineStr"/>
      <c r="N5496" t="inlineStr">
        <is>
          <t>20240417800473</t>
        </is>
      </c>
      <c r="O5496">
        <f>HYPERLINK("https://dart.fss.or.kr/dsaf001/main.do?rcpNo=20240417800473", "공시열람")</f>
        <v/>
      </c>
    </row>
    <row r="5497">
      <c r="A5497" t="inlineStr">
        <is>
          <t>2024-04-17</t>
        </is>
      </c>
      <c r="B5497" t="inlineStr">
        <is>
          <t>HD한국조선해양</t>
        </is>
      </c>
      <c r="C5497" t="inlineStr">
        <is>
          <t>009540</t>
        </is>
      </c>
      <c r="D5497" t="inlineStr">
        <is>
          <t>별도</t>
        </is>
      </c>
      <c r="E5497" t="inlineStr">
        <is>
          <t>2024Q1</t>
        </is>
      </c>
      <c r="F5497" s="2" t="inlineStr"/>
      <c r="G5497" t="inlineStr"/>
      <c r="H5497" t="inlineStr"/>
      <c r="I5497" s="2" t="inlineStr"/>
      <c r="J5497" t="inlineStr"/>
      <c r="K5497" t="inlineStr"/>
      <c r="L5497" s="2" t="inlineStr"/>
      <c r="M5497" t="inlineStr"/>
      <c r="N5497" t="inlineStr">
        <is>
          <t>20240417800467</t>
        </is>
      </c>
      <c r="O5497">
        <f>HYPERLINK("https://dart.fss.or.kr/dsaf001/main.do?rcpNo=20240417800467", "공시열람")</f>
        <v/>
      </c>
    </row>
    <row r="5498">
      <c r="A5498" t="inlineStr">
        <is>
          <t>2024-04-16</t>
        </is>
      </c>
      <c r="B5498" t="inlineStr">
        <is>
          <t>오리온</t>
        </is>
      </c>
      <c r="C5498" t="inlineStr">
        <is>
          <t>271560</t>
        </is>
      </c>
      <c r="D5498" t="inlineStr">
        <is>
          <t>연결</t>
        </is>
      </c>
      <c r="E5498" t="inlineStr">
        <is>
          <t>2024Q1</t>
        </is>
      </c>
      <c r="F5498" s="2" t="inlineStr"/>
      <c r="G5498" t="inlineStr"/>
      <c r="H5498" t="inlineStr"/>
      <c r="I5498" s="2" t="inlineStr"/>
      <c r="J5498" t="inlineStr"/>
      <c r="K5498" t="inlineStr"/>
      <c r="L5498" s="2" t="inlineStr"/>
      <c r="M5498" t="inlineStr"/>
      <c r="N5498" t="inlineStr">
        <is>
          <t>20240416800137</t>
        </is>
      </c>
      <c r="O5498">
        <f>HYPERLINK("https://dart.fss.or.kr/dsaf001/main.do?rcpNo=20240416800137", "공시열람")</f>
        <v/>
      </c>
    </row>
    <row r="5499">
      <c r="A5499" t="inlineStr">
        <is>
          <t>2024-04-15</t>
        </is>
      </c>
      <c r="B5499" t="inlineStr">
        <is>
          <t>서울바이오시스</t>
        </is>
      </c>
      <c r="C5499" t="inlineStr">
        <is>
          <t>092190</t>
        </is>
      </c>
      <c r="D5499" t="inlineStr">
        <is>
          <t>연결</t>
        </is>
      </c>
      <c r="E5499" t="inlineStr">
        <is>
          <t>2024Q1</t>
        </is>
      </c>
      <c r="F5499" s="2" t="n">
        <v>140777</v>
      </c>
      <c r="G5499" t="inlineStr"/>
      <c r="H5499" t="inlineStr"/>
      <c r="I5499" s="2" t="inlineStr"/>
      <c r="J5499" t="inlineStr"/>
      <c r="K5499" t="inlineStr"/>
      <c r="L5499" s="2" t="inlineStr"/>
      <c r="M5499" t="inlineStr"/>
      <c r="N5499" t="inlineStr">
        <is>
          <t>20240415900514</t>
        </is>
      </c>
      <c r="O5499">
        <f>HYPERLINK("https://dart.fss.or.kr/dsaf001/main.do?rcpNo=20240415900514", "공시열람")</f>
        <v/>
      </c>
    </row>
    <row r="5500">
      <c r="A5500" t="inlineStr">
        <is>
          <t>2024-04-15</t>
        </is>
      </c>
      <c r="B5500" t="inlineStr">
        <is>
          <t>서울반도체</t>
        </is>
      </c>
      <c r="C5500" t="inlineStr">
        <is>
          <t>046890</t>
        </is>
      </c>
      <c r="D5500" t="inlineStr">
        <is>
          <t>연결</t>
        </is>
      </c>
      <c r="E5500" t="inlineStr">
        <is>
          <t>2024Q1</t>
        </is>
      </c>
      <c r="F5500" s="2" t="n">
        <v>243046</v>
      </c>
      <c r="G5500" t="inlineStr"/>
      <c r="H5500" t="inlineStr"/>
      <c r="I5500" s="2" t="inlineStr"/>
      <c r="J5500" t="inlineStr"/>
      <c r="K5500" t="inlineStr"/>
      <c r="L5500" s="2" t="inlineStr"/>
      <c r="M5500" t="inlineStr"/>
      <c r="N5500" t="inlineStr">
        <is>
          <t>20240415900517</t>
        </is>
      </c>
      <c r="O5500">
        <f>HYPERLINK("https://dart.fss.or.kr/dsaf001/main.do?rcpNo=20240415900517", "공시열람")</f>
        <v/>
      </c>
    </row>
    <row r="5501">
      <c r="A5501" t="inlineStr">
        <is>
          <t>2024-04-12</t>
        </is>
      </c>
      <c r="B5501" t="inlineStr">
        <is>
          <t>테크윙</t>
        </is>
      </c>
      <c r="C5501" t="inlineStr">
        <is>
          <t>089030</t>
        </is>
      </c>
      <c r="D5501" t="inlineStr">
        <is>
          <t>연결</t>
        </is>
      </c>
      <c r="E5501" t="inlineStr">
        <is>
          <t>2024Q1</t>
        </is>
      </c>
      <c r="F5501" s="2" t="n">
        <v>40339</v>
      </c>
      <c r="G5501" t="inlineStr"/>
      <c r="H5501" t="inlineStr"/>
      <c r="I5501" s="2" t="n">
        <v>5571</v>
      </c>
      <c r="J5501" t="inlineStr"/>
      <c r="K5501" t="inlineStr"/>
      <c r="L5501" s="2" t="inlineStr"/>
      <c r="M5501" t="inlineStr"/>
      <c r="N5501" t="inlineStr">
        <is>
          <t>20240412900130</t>
        </is>
      </c>
      <c r="O5501">
        <f>HYPERLINK("https://dart.fss.or.kr/dsaf001/main.do?rcpNo=20240412900130", "공시열람")</f>
        <v/>
      </c>
    </row>
    <row r="5502">
      <c r="A5502" t="inlineStr">
        <is>
          <t>2024-04-11</t>
        </is>
      </c>
      <c r="B5502" t="inlineStr">
        <is>
          <t>한국가스공사</t>
        </is>
      </c>
      <c r="C5502" t="inlineStr">
        <is>
          <t>036460</t>
        </is>
      </c>
      <c r="D5502" t="inlineStr">
        <is>
          <t>별도</t>
        </is>
      </c>
      <c r="E5502" t="inlineStr">
        <is>
          <t>2024Q1</t>
        </is>
      </c>
      <c r="F5502" s="2" t="inlineStr"/>
      <c r="G5502" t="inlineStr"/>
      <c r="H5502" t="inlineStr"/>
      <c r="I5502" s="2" t="inlineStr"/>
      <c r="J5502" t="inlineStr"/>
      <c r="K5502" t="inlineStr"/>
      <c r="L5502" s="2" t="inlineStr"/>
      <c r="M5502" t="inlineStr"/>
      <c r="N5502" t="inlineStr">
        <is>
          <t>20240411800568</t>
        </is>
      </c>
      <c r="O5502">
        <f>HYPERLINK("https://dart.fss.or.kr/dsaf001/main.do?rcpNo=20240411800568", "공시열람")</f>
        <v/>
      </c>
    </row>
    <row r="5503">
      <c r="A5503" t="inlineStr">
        <is>
          <t>2024-04-05</t>
        </is>
      </c>
      <c r="B5503" t="inlineStr">
        <is>
          <t>신세계</t>
        </is>
      </c>
      <c r="C5503" t="inlineStr">
        <is>
          <t>004170</t>
        </is>
      </c>
      <c r="D5503" t="inlineStr">
        <is>
          <t>별도</t>
        </is>
      </c>
      <c r="E5503" t="inlineStr">
        <is>
          <t>2024Q1</t>
        </is>
      </c>
      <c r="F5503" s="2" t="n">
        <v>177177</v>
      </c>
      <c r="G5503" t="n">
        <v>8.619999999999999</v>
      </c>
      <c r="H5503" t="n">
        <v>13.82</v>
      </c>
      <c r="I5503" s="2" t="inlineStr"/>
      <c r="J5503" t="inlineStr"/>
      <c r="K5503" t="inlineStr"/>
      <c r="L5503" s="2" t="inlineStr"/>
      <c r="M5503" t="inlineStr"/>
      <c r="N5503" t="inlineStr">
        <is>
          <t>20240405800538</t>
        </is>
      </c>
      <c r="O5503">
        <f>HYPERLINK("https://dart.fss.or.kr/dsaf001/main.do?rcpNo=20240405800538", "공시열람")</f>
        <v/>
      </c>
    </row>
    <row r="5504">
      <c r="A5504" t="inlineStr">
        <is>
          <t>2024-04-05</t>
        </is>
      </c>
      <c r="B5504" t="inlineStr">
        <is>
          <t>광주신세계</t>
        </is>
      </c>
      <c r="C5504" t="inlineStr">
        <is>
          <t>037710</t>
        </is>
      </c>
      <c r="D5504" t="inlineStr">
        <is>
          <t>별도</t>
        </is>
      </c>
      <c r="E5504" t="inlineStr">
        <is>
          <t>2024Q1</t>
        </is>
      </c>
      <c r="F5504" s="2" t="n">
        <v>16072</v>
      </c>
      <c r="G5504" t="n">
        <v>12.1</v>
      </c>
      <c r="H5504" t="n">
        <v>4.6</v>
      </c>
      <c r="I5504" s="2" t="inlineStr"/>
      <c r="J5504" t="inlineStr"/>
      <c r="K5504" t="inlineStr"/>
      <c r="L5504" s="2" t="inlineStr"/>
      <c r="M5504" t="inlineStr"/>
      <c r="N5504" t="inlineStr">
        <is>
          <t>20240405800563</t>
        </is>
      </c>
      <c r="O5504">
        <f>HYPERLINK("https://dart.fss.or.kr/dsaf001/main.do?rcpNo=20240405800563", "공시열람")</f>
        <v/>
      </c>
    </row>
    <row r="5505">
      <c r="A5505" t="inlineStr">
        <is>
          <t>2024-04-05</t>
        </is>
      </c>
      <c r="B5505" t="inlineStr">
        <is>
          <t>한진</t>
        </is>
      </c>
      <c r="C5505" t="inlineStr">
        <is>
          <t>002320</t>
        </is>
      </c>
      <c r="D5505" t="inlineStr">
        <is>
          <t>연결</t>
        </is>
      </c>
      <c r="E5505" t="inlineStr">
        <is>
          <t>2024Q1</t>
        </is>
      </c>
      <c r="F5505" s="2" t="n">
        <v>713900</v>
      </c>
      <c r="G5505" t="n">
        <v>-4.6</v>
      </c>
      <c r="H5505" t="n">
        <v>5.7</v>
      </c>
      <c r="I5505" s="2" t="n">
        <v>23100</v>
      </c>
      <c r="J5505" t="n">
        <v>-22</v>
      </c>
      <c r="K5505" t="n">
        <v>-1.7</v>
      </c>
      <c r="L5505" s="2" t="inlineStr"/>
      <c r="M5505" t="inlineStr"/>
      <c r="N5505" t="inlineStr">
        <is>
          <t>20240405800934</t>
        </is>
      </c>
      <c r="O5505">
        <f>HYPERLINK("https://dart.fss.or.kr/dsaf001/main.do?rcpNo=20240405800934", "공시열람")</f>
        <v/>
      </c>
    </row>
    <row r="5506">
      <c r="A5506" t="inlineStr">
        <is>
          <t>2024-04-05</t>
        </is>
      </c>
      <c r="B5506" t="inlineStr">
        <is>
          <t>LG에너지솔루션</t>
        </is>
      </c>
      <c r="C5506" t="inlineStr">
        <is>
          <t>373220</t>
        </is>
      </c>
      <c r="D5506" t="inlineStr">
        <is>
          <t>연결</t>
        </is>
      </c>
      <c r="E5506" t="inlineStr">
        <is>
          <t>2024Q1</t>
        </is>
      </c>
      <c r="F5506" s="2" t="n">
        <v>6128700</v>
      </c>
      <c r="G5506" t="n">
        <v>-23.4</v>
      </c>
      <c r="H5506" t="n">
        <v>-29.9</v>
      </c>
      <c r="I5506" s="2" t="n">
        <v>157300</v>
      </c>
      <c r="J5506" t="n">
        <v>-53.5</v>
      </c>
      <c r="K5506" t="n">
        <v>-75.2</v>
      </c>
      <c r="L5506" s="2" t="inlineStr"/>
      <c r="M5506" t="inlineStr"/>
      <c r="N5506" t="inlineStr">
        <is>
          <t>20240405800498</t>
        </is>
      </c>
      <c r="O5506">
        <f>HYPERLINK("https://dart.fss.or.kr/dsaf001/main.do?rcpNo=20240405800498", "공시열람")</f>
        <v/>
      </c>
    </row>
    <row r="5507">
      <c r="A5507" t="inlineStr">
        <is>
          <t>2024-04-05</t>
        </is>
      </c>
      <c r="B5507" t="inlineStr">
        <is>
          <t>LG전자</t>
        </is>
      </c>
      <c r="C5507" t="inlineStr">
        <is>
          <t>066570</t>
        </is>
      </c>
      <c r="D5507" t="inlineStr">
        <is>
          <t>연결</t>
        </is>
      </c>
      <c r="E5507" t="inlineStr">
        <is>
          <t>2024Q1</t>
        </is>
      </c>
      <c r="F5507" s="2" t="n">
        <v>21095900</v>
      </c>
      <c r="G5507" t="inlineStr"/>
      <c r="H5507" t="inlineStr"/>
      <c r="I5507" s="2" t="n">
        <v>1332900</v>
      </c>
      <c r="J5507" t="inlineStr"/>
      <c r="K5507" t="inlineStr"/>
      <c r="L5507" s="2" t="inlineStr"/>
      <c r="M5507" t="inlineStr"/>
      <c r="N5507" t="inlineStr">
        <is>
          <t>20240405800174</t>
        </is>
      </c>
      <c r="O5507">
        <f>HYPERLINK("https://dart.fss.or.kr/dsaf001/main.do?rcpNo=20240405800174", "공시열람")</f>
        <v/>
      </c>
    </row>
    <row r="5508">
      <c r="A5508" t="inlineStr">
        <is>
          <t>2024-04-05</t>
        </is>
      </c>
      <c r="B5508" t="inlineStr">
        <is>
          <t>삼성전자</t>
        </is>
      </c>
      <c r="C5508" t="inlineStr">
        <is>
          <t>005930</t>
        </is>
      </c>
      <c r="D5508" t="inlineStr">
        <is>
          <t>연결</t>
        </is>
      </c>
      <c r="E5508" t="inlineStr">
        <is>
          <t>2024Q1</t>
        </is>
      </c>
      <c r="F5508" s="2" t="n">
        <v>71</v>
      </c>
      <c r="G5508" t="n">
        <v>4.75</v>
      </c>
      <c r="H5508" t="n">
        <v>11.37</v>
      </c>
      <c r="I5508" s="2" t="n">
        <v>7</v>
      </c>
      <c r="J5508" t="n">
        <v>134.04</v>
      </c>
      <c r="K5508" t="n">
        <v>931.25</v>
      </c>
      <c r="L5508" s="2" t="inlineStr"/>
      <c r="M5508" t="inlineStr"/>
      <c r="N5508" t="inlineStr">
        <is>
          <t>20240405800040</t>
        </is>
      </c>
      <c r="O5508">
        <f>HYPERLINK("https://dart.fss.or.kr/dsaf001/main.do?rcpNo=20240405800040", "공시열람")</f>
        <v/>
      </c>
    </row>
    <row r="5509">
      <c r="A5509" t="inlineStr">
        <is>
          <t>2024-04-05</t>
        </is>
      </c>
      <c r="B5509" t="inlineStr">
        <is>
          <t>이마트</t>
        </is>
      </c>
      <c r="C5509" t="inlineStr">
        <is>
          <t>139480</t>
        </is>
      </c>
      <c r="D5509" t="inlineStr">
        <is>
          <t>별도</t>
        </is>
      </c>
      <c r="E5509" t="inlineStr">
        <is>
          <t>2024Q1</t>
        </is>
      </c>
      <c r="F5509" s="2" t="n">
        <v>1197200</v>
      </c>
      <c r="G5509" t="n">
        <v>-8.5</v>
      </c>
      <c r="H5509" t="n">
        <v>3.3</v>
      </c>
      <c r="I5509" s="2" t="inlineStr"/>
      <c r="J5509" t="inlineStr"/>
      <c r="K5509" t="inlineStr"/>
      <c r="L5509" s="2" t="inlineStr"/>
      <c r="M5509" t="inlineStr"/>
      <c r="N5509" t="inlineStr">
        <is>
          <t>20240405800493</t>
        </is>
      </c>
      <c r="O5509">
        <f>HYPERLINK("https://dart.fss.or.kr/dsaf001/main.do?rcpNo=20240405800493", "공시열람")</f>
        <v/>
      </c>
    </row>
    <row r="5510">
      <c r="A5510" t="inlineStr">
        <is>
          <t>2024-04-02</t>
        </is>
      </c>
      <c r="B5510" t="inlineStr">
        <is>
          <t>파라다이스</t>
        </is>
      </c>
      <c r="C5510" t="inlineStr">
        <is>
          <t>034230</t>
        </is>
      </c>
      <c r="D5510" t="inlineStr">
        <is>
          <t>연결</t>
        </is>
      </c>
      <c r="E5510" t="inlineStr">
        <is>
          <t>2024Q1</t>
        </is>
      </c>
      <c r="F5510" s="2" t="inlineStr"/>
      <c r="G5510" t="inlineStr"/>
      <c r="H5510" t="inlineStr"/>
      <c r="I5510" s="2" t="inlineStr"/>
      <c r="J5510" t="inlineStr"/>
      <c r="K5510" t="inlineStr"/>
      <c r="L5510" s="2" t="inlineStr"/>
      <c r="M5510" t="inlineStr"/>
      <c r="N5510" t="inlineStr">
        <is>
          <t>20240402900566</t>
        </is>
      </c>
      <c r="O5510">
        <f>HYPERLINK("https://dart.fss.or.kr/dsaf001/main.do?rcpNo=20240402900566", "공시열람")</f>
        <v/>
      </c>
    </row>
    <row r="5511">
      <c r="A5511" t="inlineStr">
        <is>
          <t>2024-04-02</t>
        </is>
      </c>
      <c r="B5511" t="inlineStr">
        <is>
          <t>롯데관광개발</t>
        </is>
      </c>
      <c r="C5511" t="inlineStr">
        <is>
          <t>032350</t>
        </is>
      </c>
      <c r="D5511" t="inlineStr">
        <is>
          <t>연결</t>
        </is>
      </c>
      <c r="E5511" t="inlineStr">
        <is>
          <t>2024Q1</t>
        </is>
      </c>
      <c r="F5511" s="2" t="inlineStr"/>
      <c r="G5511" t="inlineStr"/>
      <c r="H5511" t="inlineStr"/>
      <c r="I5511" s="2" t="inlineStr"/>
      <c r="J5511" t="inlineStr"/>
      <c r="K5511" t="inlineStr"/>
      <c r="L5511" s="2" t="inlineStr"/>
      <c r="M5511" t="inlineStr"/>
      <c r="N5511" t="inlineStr">
        <is>
          <t>20240402800055</t>
        </is>
      </c>
      <c r="O5511">
        <f>HYPERLINK("https://dart.fss.or.kr/dsaf001/main.do?rcpNo=20240402800055", "공시열람")</f>
        <v/>
      </c>
    </row>
    <row r="5512">
      <c r="A5512" t="inlineStr">
        <is>
          <t>2024-04-02</t>
        </is>
      </c>
      <c r="B5512" t="inlineStr">
        <is>
          <t>GKL</t>
        </is>
      </c>
      <c r="C5512" t="inlineStr">
        <is>
          <t>114090</t>
        </is>
      </c>
      <c r="D5512" t="inlineStr">
        <is>
          <t>별도</t>
        </is>
      </c>
      <c r="E5512" t="inlineStr">
        <is>
          <t>2024Q1</t>
        </is>
      </c>
      <c r="F5512" s="2" t="inlineStr"/>
      <c r="G5512" t="inlineStr"/>
      <c r="H5512" t="inlineStr"/>
      <c r="I5512" s="2" t="inlineStr"/>
      <c r="J5512" t="inlineStr"/>
      <c r="K5512" t="inlineStr"/>
      <c r="L5512" s="2" t="inlineStr"/>
      <c r="M5512" t="inlineStr"/>
      <c r="N5512" t="inlineStr">
        <is>
          <t>20240402800093</t>
        </is>
      </c>
      <c r="O5512">
        <f>HYPERLINK("https://dart.fss.or.kr/dsaf001/main.do?rcpNo=20240402800093", "공시열람")</f>
        <v/>
      </c>
    </row>
    <row r="5513">
      <c r="A5513" t="inlineStr">
        <is>
          <t>2024-04-01</t>
        </is>
      </c>
      <c r="B5513" t="inlineStr">
        <is>
          <t>KG모빌리티</t>
        </is>
      </c>
      <c r="C5513" t="inlineStr">
        <is>
          <t>003620</t>
        </is>
      </c>
      <c r="D5513" t="inlineStr">
        <is>
          <t>별도</t>
        </is>
      </c>
      <c r="E5513" t="inlineStr">
        <is>
          <t>2024Q1</t>
        </is>
      </c>
      <c r="F5513" s="2" t="inlineStr"/>
      <c r="G5513" t="inlineStr"/>
      <c r="H5513" t="inlineStr"/>
      <c r="I5513" s="2" t="inlineStr"/>
      <c r="J5513" t="inlineStr"/>
      <c r="K5513" t="inlineStr"/>
      <c r="L5513" s="2" t="inlineStr"/>
      <c r="M5513" t="inlineStr"/>
      <c r="N5513" t="inlineStr">
        <is>
          <t>20240401800732</t>
        </is>
      </c>
      <c r="O5513">
        <f>HYPERLINK("https://dart.fss.or.kr/dsaf001/main.do?rcpNo=20240401800732", "공시열람")</f>
        <v/>
      </c>
    </row>
    <row r="5514">
      <c r="A5514" t="inlineStr">
        <is>
          <t>2024-04-01</t>
        </is>
      </c>
      <c r="B5514" t="inlineStr">
        <is>
          <t>기아</t>
        </is>
      </c>
      <c r="C5514" t="inlineStr">
        <is>
          <t>000270</t>
        </is>
      </c>
      <c r="D5514" t="inlineStr">
        <is>
          <t>별도</t>
        </is>
      </c>
      <c r="E5514" t="inlineStr">
        <is>
          <t>2024Q1</t>
        </is>
      </c>
      <c r="F5514" s="2" t="inlineStr"/>
      <c r="G5514" t="inlineStr"/>
      <c r="H5514" t="inlineStr"/>
      <c r="I5514" s="2" t="inlineStr"/>
      <c r="J5514" t="inlineStr"/>
      <c r="K5514" t="inlineStr"/>
      <c r="L5514" s="2" t="inlineStr"/>
      <c r="M5514" t="inlineStr"/>
      <c r="N5514" t="inlineStr">
        <is>
          <t>20240401800849</t>
        </is>
      </c>
      <c r="O5514">
        <f>HYPERLINK("https://dart.fss.or.kr/dsaf001/main.do?rcpNo=20240401800849", "공시열람")</f>
        <v/>
      </c>
    </row>
    <row r="5515">
      <c r="A5515" t="inlineStr">
        <is>
          <t>2024-04-01</t>
        </is>
      </c>
      <c r="B5515" t="inlineStr">
        <is>
          <t>현대자동차</t>
        </is>
      </c>
      <c r="C5515" t="inlineStr">
        <is>
          <t>005380</t>
        </is>
      </c>
      <c r="D5515" t="inlineStr">
        <is>
          <t>별도</t>
        </is>
      </c>
      <c r="E5515" t="inlineStr">
        <is>
          <t>2024Q1</t>
        </is>
      </c>
      <c r="F5515" s="2" t="inlineStr"/>
      <c r="G5515" t="inlineStr"/>
      <c r="H5515" t="inlineStr"/>
      <c r="I5515" s="2" t="inlineStr"/>
      <c r="J5515" t="inlineStr"/>
      <c r="K5515" t="inlineStr"/>
      <c r="L5515" s="2" t="inlineStr"/>
      <c r="M5515" t="inlineStr"/>
      <c r="N5515" t="inlineStr">
        <is>
          <t>20240401801284</t>
        </is>
      </c>
      <c r="O5515">
        <f>HYPERLINK("https://dart.fss.or.kr/dsaf001/main.do?rcpNo=20240401801284", "공시열람")</f>
        <v/>
      </c>
    </row>
    <row r="5516">
      <c r="A5516" t="inlineStr">
        <is>
          <t>2024-03-21</t>
        </is>
      </c>
      <c r="B5516" t="inlineStr">
        <is>
          <t>HD현대중공업</t>
        </is>
      </c>
      <c r="C5516" t="inlineStr">
        <is>
          <t>329180</t>
        </is>
      </c>
      <c r="D5516" t="inlineStr">
        <is>
          <t>별도</t>
        </is>
      </c>
      <c r="E5516" t="inlineStr">
        <is>
          <t>2023Q4</t>
        </is>
      </c>
      <c r="F5516" s="2" t="n">
        <v>920348</v>
      </c>
      <c r="G5516" t="n">
        <v>4.88</v>
      </c>
      <c r="H5516" t="n">
        <v>13.47</v>
      </c>
      <c r="I5516" s="2" t="inlineStr"/>
      <c r="J5516" t="inlineStr"/>
      <c r="K5516" t="inlineStr"/>
      <c r="L5516" s="2" t="inlineStr"/>
      <c r="M5516" t="inlineStr"/>
      <c r="N5516" t="inlineStr">
        <is>
          <t>20240321801691</t>
        </is>
      </c>
      <c r="O5516">
        <f>HYPERLINK("https://dart.fss.or.kr/dsaf001/main.do?rcpNo=20240321801691", "공시열람")</f>
        <v/>
      </c>
    </row>
    <row r="5517">
      <c r="A5517" t="inlineStr">
        <is>
          <t>2024-03-21</t>
        </is>
      </c>
      <c r="B5517" t="inlineStr">
        <is>
          <t>HD한국조선해양</t>
        </is>
      </c>
      <c r="C5517" t="inlineStr">
        <is>
          <t>009540</t>
        </is>
      </c>
      <c r="D5517" t="inlineStr">
        <is>
          <t>별도</t>
        </is>
      </c>
      <c r="E5517" t="inlineStr">
        <is>
          <t>2023Q4</t>
        </is>
      </c>
      <c r="F5517" s="2" t="n">
        <v>507690</v>
      </c>
      <c r="G5517" t="n">
        <v>-12.38</v>
      </c>
      <c r="H5517" t="n">
        <v>11.81</v>
      </c>
      <c r="I5517" s="2" t="inlineStr"/>
      <c r="J5517" t="inlineStr"/>
      <c r="K5517" t="inlineStr"/>
      <c r="L5517" s="2" t="inlineStr"/>
      <c r="M5517" t="inlineStr"/>
      <c r="N5517" t="inlineStr">
        <is>
          <t>20240321801709</t>
        </is>
      </c>
      <c r="O5517">
        <f>HYPERLINK("https://dart.fss.or.kr/dsaf001/main.do?rcpNo=20240321801709", "공시열람")</f>
        <v/>
      </c>
    </row>
    <row r="5518">
      <c r="A5518" t="inlineStr">
        <is>
          <t>2024-03-21</t>
        </is>
      </c>
      <c r="B5518" t="inlineStr">
        <is>
          <t>서진시스템</t>
        </is>
      </c>
      <c r="C5518" t="inlineStr">
        <is>
          <t>178320</t>
        </is>
      </c>
      <c r="D5518" t="inlineStr">
        <is>
          <t>연결</t>
        </is>
      </c>
      <c r="E5518" t="inlineStr">
        <is>
          <t>2023Q4</t>
        </is>
      </c>
      <c r="F5518" s="2" t="inlineStr"/>
      <c r="G5518" t="inlineStr"/>
      <c r="H5518" t="inlineStr"/>
      <c r="I5518" s="2" t="inlineStr"/>
      <c r="J5518" t="inlineStr"/>
      <c r="K5518" t="inlineStr"/>
      <c r="L5518" s="2" t="inlineStr"/>
      <c r="M5518" t="inlineStr"/>
      <c r="N5518" t="inlineStr">
        <is>
          <t>20240321902353</t>
        </is>
      </c>
      <c r="O5518">
        <f>HYPERLINK("https://dart.fss.or.kr/dsaf001/main.do?rcpNo=20240321902353", "공시열람")</f>
        <v/>
      </c>
    </row>
    <row r="5519">
      <c r="A5519" t="inlineStr">
        <is>
          <t>2024-03-20</t>
        </is>
      </c>
      <c r="B5519" t="inlineStr">
        <is>
          <t>지역난방공사</t>
        </is>
      </c>
      <c r="C5519" t="inlineStr">
        <is>
          <t>071320</t>
        </is>
      </c>
      <c r="D5519" t="inlineStr">
        <is>
          <t>별도</t>
        </is>
      </c>
      <c r="E5519" t="inlineStr">
        <is>
          <t>2023Q4</t>
        </is>
      </c>
      <c r="F5519" s="2" t="inlineStr"/>
      <c r="G5519" t="inlineStr"/>
      <c r="H5519" t="inlineStr"/>
      <c r="I5519" s="2" t="inlineStr"/>
      <c r="J5519" t="inlineStr"/>
      <c r="K5519" t="inlineStr"/>
      <c r="L5519" s="2" t="inlineStr"/>
      <c r="M5519" t="inlineStr"/>
      <c r="N5519" t="inlineStr">
        <is>
          <t>20240320800080</t>
        </is>
      </c>
      <c r="O5519">
        <f>HYPERLINK("https://dart.fss.or.kr/dsaf001/main.do?rcpNo=20240320800080", "공시열람")</f>
        <v/>
      </c>
    </row>
    <row r="5520">
      <c r="A5520" t="inlineStr">
        <is>
          <t>2024-03-13</t>
        </is>
      </c>
      <c r="B5520" t="inlineStr">
        <is>
          <t>한국가스공사</t>
        </is>
      </c>
      <c r="C5520" t="inlineStr">
        <is>
          <t>036460</t>
        </is>
      </c>
      <c r="D5520" t="inlineStr">
        <is>
          <t>별도</t>
        </is>
      </c>
      <c r="E5520" t="inlineStr">
        <is>
          <t>2023Q4</t>
        </is>
      </c>
      <c r="F5520" s="2" t="inlineStr"/>
      <c r="G5520" t="inlineStr"/>
      <c r="H5520" t="inlineStr"/>
      <c r="I5520" s="2" t="inlineStr"/>
      <c r="J5520" t="inlineStr"/>
      <c r="K5520" t="inlineStr"/>
      <c r="L5520" s="2" t="inlineStr"/>
      <c r="M5520" t="inlineStr"/>
      <c r="N5520" t="inlineStr">
        <is>
          <t>20240313800066</t>
        </is>
      </c>
      <c r="O5520">
        <f>HYPERLINK("https://dart.fss.or.kr/dsaf001/main.do?rcpNo=20240313800066", "공시열람")</f>
        <v/>
      </c>
    </row>
    <row r="5521">
      <c r="A5521" t="inlineStr">
        <is>
          <t>2024-03-12</t>
        </is>
      </c>
      <c r="B5521" t="inlineStr">
        <is>
          <t>오리온</t>
        </is>
      </c>
      <c r="C5521" t="inlineStr">
        <is>
          <t>271560</t>
        </is>
      </c>
      <c r="D5521" t="inlineStr">
        <is>
          <t>연결</t>
        </is>
      </c>
      <c r="E5521" t="inlineStr">
        <is>
          <t>2023Q4</t>
        </is>
      </c>
      <c r="F5521" s="2" t="inlineStr"/>
      <c r="G5521" t="inlineStr"/>
      <c r="H5521" t="inlineStr"/>
      <c r="I5521" s="2" t="inlineStr"/>
      <c r="J5521" t="inlineStr"/>
      <c r="K5521" t="inlineStr"/>
      <c r="L5521" s="2" t="inlineStr"/>
      <c r="M5521" t="inlineStr"/>
      <c r="N5521" t="inlineStr">
        <is>
          <t>20240312800132</t>
        </is>
      </c>
      <c r="O5521">
        <f>HYPERLINK("https://dart.fss.or.kr/dsaf001/main.do?rcpNo=20240312800132", "공시열람")</f>
        <v/>
      </c>
    </row>
    <row r="5522">
      <c r="A5522" t="inlineStr">
        <is>
          <t>2024-03-12</t>
        </is>
      </c>
      <c r="B5522" t="inlineStr">
        <is>
          <t>이마트</t>
        </is>
      </c>
      <c r="C5522" t="inlineStr">
        <is>
          <t>139480</t>
        </is>
      </c>
      <c r="D5522" t="inlineStr">
        <is>
          <t>별도</t>
        </is>
      </c>
      <c r="E5522" t="inlineStr">
        <is>
          <t>2023Q4</t>
        </is>
      </c>
      <c r="F5522" s="2" t="n">
        <v>1308800</v>
      </c>
      <c r="G5522" t="n">
        <v>-2.5</v>
      </c>
      <c r="H5522" t="n">
        <v>19.3</v>
      </c>
      <c r="I5522" s="2" t="inlineStr"/>
      <c r="J5522" t="inlineStr"/>
      <c r="K5522" t="inlineStr"/>
      <c r="L5522" s="2" t="inlineStr"/>
      <c r="M5522" t="inlineStr"/>
      <c r="N5522" t="inlineStr">
        <is>
          <t>20240312800253</t>
        </is>
      </c>
      <c r="O5522">
        <f>HYPERLINK("https://dart.fss.or.kr/dsaf001/main.do?rcpNo=20240312800253", "공시열람")</f>
        <v/>
      </c>
    </row>
    <row r="5523">
      <c r="A5523" t="inlineStr">
        <is>
          <t>2024-03-12</t>
        </is>
      </c>
      <c r="B5523" t="inlineStr">
        <is>
          <t>원익머트리얼즈</t>
        </is>
      </c>
      <c r="C5523" t="inlineStr">
        <is>
          <t>104830</t>
        </is>
      </c>
      <c r="D5523" t="inlineStr">
        <is>
          <t>연결</t>
        </is>
      </c>
      <c r="E5523" t="inlineStr">
        <is>
          <t>2023Q4</t>
        </is>
      </c>
      <c r="F5523" s="2" t="n">
        <v>92143</v>
      </c>
      <c r="G5523" t="inlineStr"/>
      <c r="H5523" t="inlineStr"/>
      <c r="I5523" s="2" t="n">
        <v>6941</v>
      </c>
      <c r="J5523" t="inlineStr"/>
      <c r="K5523" t="inlineStr"/>
      <c r="L5523" s="2" t="n">
        <v>-3700</v>
      </c>
      <c r="M5523" t="inlineStr"/>
      <c r="N5523" t="inlineStr">
        <is>
          <t>20240312900733</t>
        </is>
      </c>
      <c r="O5523">
        <f>HYPERLINK("https://dart.fss.or.kr/dsaf001/main.do?rcpNo=20240312900733", "공시열람")</f>
        <v/>
      </c>
    </row>
    <row r="5524">
      <c r="A5524" t="inlineStr">
        <is>
          <t>2024-03-12</t>
        </is>
      </c>
      <c r="B5524" t="inlineStr">
        <is>
          <t>인지소프트</t>
        </is>
      </c>
      <c r="C5524" t="inlineStr">
        <is>
          <t>100030</t>
        </is>
      </c>
      <c r="D5524" t="inlineStr">
        <is>
          <t>연결</t>
        </is>
      </c>
      <c r="E5524" t="inlineStr">
        <is>
          <t>2023Q4</t>
        </is>
      </c>
      <c r="F5524" s="2" t="n">
        <v>6621</v>
      </c>
      <c r="G5524" t="inlineStr"/>
      <c r="H5524" t="inlineStr"/>
      <c r="I5524" s="2" t="n">
        <v>1333</v>
      </c>
      <c r="J5524" t="inlineStr"/>
      <c r="K5524" t="inlineStr"/>
      <c r="L5524" s="2" t="n">
        <v>-1089</v>
      </c>
      <c r="M5524" t="inlineStr"/>
      <c r="N5524" t="inlineStr">
        <is>
          <t>20240312900502</t>
        </is>
      </c>
      <c r="O5524">
        <f>HYPERLINK("https://dart.fss.or.kr/dsaf001/main.do?rcpNo=20240312900502", "공시열람")</f>
        <v/>
      </c>
    </row>
    <row r="5525">
      <c r="A5525" t="inlineStr">
        <is>
          <t>2024-03-11</t>
        </is>
      </c>
      <c r="B5525" t="inlineStr">
        <is>
          <t>넥센타이어</t>
        </is>
      </c>
      <c r="C5525" t="inlineStr">
        <is>
          <t>002350</t>
        </is>
      </c>
      <c r="D5525" t="inlineStr">
        <is>
          <t>연결</t>
        </is>
      </c>
      <c r="E5525" t="inlineStr">
        <is>
          <t>2023Q4</t>
        </is>
      </c>
      <c r="F5525" s="2" t="n">
        <v>678135</v>
      </c>
      <c r="G5525" t="inlineStr"/>
      <c r="H5525" t="inlineStr"/>
      <c r="I5525" s="2" t="n">
        <v>64110</v>
      </c>
      <c r="J5525" t="inlineStr"/>
      <c r="K5525" t="inlineStr"/>
      <c r="L5525" s="2" t="n">
        <v>10568</v>
      </c>
      <c r="M5525" t="inlineStr"/>
      <c r="N5525" t="inlineStr">
        <is>
          <t>20240311800753</t>
        </is>
      </c>
      <c r="O5525">
        <f>HYPERLINK("https://dart.fss.or.kr/dsaf001/main.do?rcpNo=20240311800753", "공시열람")</f>
        <v/>
      </c>
    </row>
    <row r="5526">
      <c r="A5526" t="inlineStr">
        <is>
          <t>2024-03-11</t>
        </is>
      </c>
      <c r="B5526" t="inlineStr">
        <is>
          <t>HL만도</t>
        </is>
      </c>
      <c r="C5526" t="inlineStr">
        <is>
          <t>204320</t>
        </is>
      </c>
      <c r="D5526" t="inlineStr">
        <is>
          <t>연결</t>
        </is>
      </c>
      <c r="E5526" t="inlineStr">
        <is>
          <t>2023Q4</t>
        </is>
      </c>
      <c r="F5526" s="2" t="n">
        <v>2190435</v>
      </c>
      <c r="G5526" t="n">
        <v>3.4</v>
      </c>
      <c r="H5526" t="n">
        <v>0.4</v>
      </c>
      <c r="I5526" s="2" t="n">
        <v>50591</v>
      </c>
      <c r="J5526" t="n">
        <v>-37.9</v>
      </c>
      <c r="K5526" t="n">
        <v>-11</v>
      </c>
      <c r="L5526" s="2" t="n">
        <v>40629</v>
      </c>
      <c r="M5526" t="inlineStr"/>
      <c r="N5526" t="inlineStr">
        <is>
          <t>20240311800644</t>
        </is>
      </c>
      <c r="O5526">
        <f>HYPERLINK("https://dart.fss.or.kr/dsaf001/main.do?rcpNo=20240311800644", "공시열람")</f>
        <v/>
      </c>
    </row>
    <row r="5527">
      <c r="A5527" t="inlineStr">
        <is>
          <t>2024-03-11</t>
        </is>
      </c>
      <c r="B5527" t="inlineStr">
        <is>
          <t>성광벤드</t>
        </is>
      </c>
      <c r="C5527" t="inlineStr">
        <is>
          <t>014620</t>
        </is>
      </c>
      <c r="D5527" t="inlineStr">
        <is>
          <t>연결</t>
        </is>
      </c>
      <c r="E5527" t="inlineStr">
        <is>
          <t>2023Q4</t>
        </is>
      </c>
      <c r="F5527" s="2" t="n">
        <v>63368</v>
      </c>
      <c r="G5527" t="inlineStr"/>
      <c r="H5527" t="inlineStr"/>
      <c r="I5527" s="2" t="n">
        <v>7133</v>
      </c>
      <c r="J5527" t="inlineStr"/>
      <c r="K5527" t="inlineStr"/>
      <c r="L5527" s="2" t="n">
        <v>5406</v>
      </c>
      <c r="M5527" t="inlineStr"/>
      <c r="N5527" t="inlineStr">
        <is>
          <t>20240311900220</t>
        </is>
      </c>
      <c r="O5527">
        <f>HYPERLINK("https://dart.fss.or.kr/dsaf001/main.do?rcpNo=20240311900220", "공시열람")</f>
        <v/>
      </c>
    </row>
    <row r="5528">
      <c r="A5528" t="inlineStr">
        <is>
          <t>2024-03-08</t>
        </is>
      </c>
      <c r="B5528" t="inlineStr">
        <is>
          <t>신세계</t>
        </is>
      </c>
      <c r="C5528" t="inlineStr">
        <is>
          <t>004170</t>
        </is>
      </c>
      <c r="D5528" t="inlineStr">
        <is>
          <t>별도</t>
        </is>
      </c>
      <c r="E5528" t="inlineStr">
        <is>
          <t>2023Q4</t>
        </is>
      </c>
      <c r="F5528" s="2" t="n">
        <v>163108</v>
      </c>
      <c r="G5528" t="n">
        <v>1.59</v>
      </c>
      <c r="H5528" t="n">
        <v>15.49</v>
      </c>
      <c r="I5528" s="2" t="inlineStr"/>
      <c r="J5528" t="inlineStr"/>
      <c r="K5528" t="inlineStr"/>
      <c r="L5528" s="2" t="inlineStr"/>
      <c r="M5528" t="inlineStr"/>
      <c r="N5528" t="inlineStr">
        <is>
          <t>20240308800614</t>
        </is>
      </c>
      <c r="O5528">
        <f>HYPERLINK("https://dart.fss.or.kr/dsaf001/main.do?rcpNo=20240308800614", "공시열람")</f>
        <v/>
      </c>
    </row>
    <row r="5529">
      <c r="A5529" t="inlineStr">
        <is>
          <t>2024-03-08</t>
        </is>
      </c>
      <c r="B5529" t="inlineStr">
        <is>
          <t>광주신세계</t>
        </is>
      </c>
      <c r="C5529" t="inlineStr">
        <is>
          <t>037710</t>
        </is>
      </c>
      <c r="D5529" t="inlineStr">
        <is>
          <t>별도</t>
        </is>
      </c>
      <c r="E5529" t="inlineStr">
        <is>
          <t>2023Q4</t>
        </is>
      </c>
      <c r="F5529" s="2" t="n">
        <v>14338</v>
      </c>
      <c r="G5529" t="n">
        <v>4.6</v>
      </c>
      <c r="H5529" t="n">
        <v>4.5</v>
      </c>
      <c r="I5529" s="2" t="inlineStr"/>
      <c r="J5529" t="inlineStr"/>
      <c r="K5529" t="inlineStr"/>
      <c r="L5529" s="2" t="inlineStr"/>
      <c r="M5529" t="inlineStr"/>
      <c r="N5529" t="inlineStr">
        <is>
          <t>20240308800604</t>
        </is>
      </c>
      <c r="O5529">
        <f>HYPERLINK("https://dart.fss.or.kr/dsaf001/main.do?rcpNo=20240308800604", "공시열람")</f>
        <v/>
      </c>
    </row>
    <row r="5530">
      <c r="A5530" t="inlineStr">
        <is>
          <t>2024-03-07</t>
        </is>
      </c>
      <c r="B5530" t="inlineStr">
        <is>
          <t>스모트로닉</t>
        </is>
      </c>
      <c r="C5530" t="inlineStr">
        <is>
          <t>066590</t>
        </is>
      </c>
      <c r="D5530" t="inlineStr">
        <is>
          <t>연결</t>
        </is>
      </c>
      <c r="E5530" t="inlineStr">
        <is>
          <t>2023Q4</t>
        </is>
      </c>
      <c r="F5530" s="2" t="n">
        <v>63942</v>
      </c>
      <c r="G5530" t="inlineStr"/>
      <c r="H5530" t="inlineStr"/>
      <c r="I5530" s="2" t="n">
        <v>2338</v>
      </c>
      <c r="J5530" t="inlineStr"/>
      <c r="K5530" t="inlineStr"/>
      <c r="L5530" s="2" t="n">
        <v>5887</v>
      </c>
      <c r="M5530" t="inlineStr"/>
      <c r="N5530" t="inlineStr">
        <is>
          <t>20240307901275</t>
        </is>
      </c>
      <c r="O5530">
        <f>HYPERLINK("https://dart.fss.or.kr/dsaf001/main.do?rcpNo=20240307901275", "공시열람")</f>
        <v/>
      </c>
    </row>
    <row r="5531">
      <c r="A5531" t="inlineStr">
        <is>
          <t>2024-03-06</t>
        </is>
      </c>
      <c r="B5531" t="inlineStr">
        <is>
          <t>AP시스템</t>
        </is>
      </c>
      <c r="C5531" t="inlineStr">
        <is>
          <t>265520</t>
        </is>
      </c>
      <c r="D5531" t="inlineStr">
        <is>
          <t>연결</t>
        </is>
      </c>
      <c r="E5531" t="inlineStr">
        <is>
          <t>2023Q4</t>
        </is>
      </c>
      <c r="F5531" s="2" t="n">
        <v>159336</v>
      </c>
      <c r="G5531" t="inlineStr"/>
      <c r="H5531" t="inlineStr"/>
      <c r="I5531" s="2" t="n">
        <v>20684</v>
      </c>
      <c r="J5531" t="inlineStr"/>
      <c r="K5531" t="inlineStr"/>
      <c r="L5531" s="2" t="n">
        <v>20447</v>
      </c>
      <c r="M5531" t="inlineStr"/>
      <c r="N5531" t="inlineStr">
        <is>
          <t>20240306900434</t>
        </is>
      </c>
      <c r="O5531">
        <f>HYPERLINK("https://dart.fss.or.kr/dsaf001/main.do?rcpNo=20240306900434", "공시열람")</f>
        <v/>
      </c>
    </row>
    <row r="5532">
      <c r="A5532" t="inlineStr">
        <is>
          <t>2024-03-06</t>
        </is>
      </c>
      <c r="B5532" t="inlineStr">
        <is>
          <t>롯데케미칼</t>
        </is>
      </c>
      <c r="C5532" t="inlineStr">
        <is>
          <t>011170</t>
        </is>
      </c>
      <c r="D5532" t="inlineStr">
        <is>
          <t>연결</t>
        </is>
      </c>
      <c r="E5532" t="inlineStr">
        <is>
          <t>2023Q4</t>
        </is>
      </c>
      <c r="F5532" s="2" t="n">
        <v>4905274</v>
      </c>
      <c r="G5532" t="n">
        <v>-0.4</v>
      </c>
      <c r="H5532" t="n">
        <v>-10.7</v>
      </c>
      <c r="I5532" s="2" t="n">
        <v>-315829</v>
      </c>
      <c r="J5532" t="inlineStr"/>
      <c r="K5532" t="n">
        <v>21</v>
      </c>
      <c r="L5532" s="2" t="n">
        <v>-154010</v>
      </c>
      <c r="M5532" t="n">
        <v>-63.9</v>
      </c>
      <c r="N5532" t="inlineStr">
        <is>
          <t>20240306800487</t>
        </is>
      </c>
      <c r="O5532">
        <f>HYPERLINK("https://dart.fss.or.kr/dsaf001/main.do?rcpNo=20240306800487", "공시열람")</f>
        <v/>
      </c>
    </row>
    <row r="5533">
      <c r="A5533" t="inlineStr">
        <is>
          <t>2024-03-06</t>
        </is>
      </c>
      <c r="B5533" t="inlineStr">
        <is>
          <t>원익QnC</t>
        </is>
      </c>
      <c r="C5533" t="inlineStr">
        <is>
          <t>074600</t>
        </is>
      </c>
      <c r="D5533" t="inlineStr">
        <is>
          <t>연결</t>
        </is>
      </c>
      <c r="E5533" t="inlineStr">
        <is>
          <t>2023Q4</t>
        </is>
      </c>
      <c r="F5533" s="2" t="n">
        <v>202496</v>
      </c>
      <c r="G5533" t="inlineStr"/>
      <c r="H5533" t="inlineStr"/>
      <c r="I5533" s="2" t="n">
        <v>9110</v>
      </c>
      <c r="J5533" t="inlineStr"/>
      <c r="K5533" t="inlineStr"/>
      <c r="L5533" s="2" t="n">
        <v>2420</v>
      </c>
      <c r="M5533" t="inlineStr"/>
      <c r="N5533" t="inlineStr">
        <is>
          <t>20240306900597</t>
        </is>
      </c>
      <c r="O5533">
        <f>HYPERLINK("https://dart.fss.or.kr/dsaf001/main.do?rcpNo=20240306900597", "공시열람")</f>
        <v/>
      </c>
    </row>
    <row r="5534">
      <c r="A5534" t="inlineStr">
        <is>
          <t>2024-03-05</t>
        </is>
      </c>
      <c r="B5534" t="inlineStr">
        <is>
          <t>위메이드플레이</t>
        </is>
      </c>
      <c r="C5534" t="inlineStr">
        <is>
          <t>123420</t>
        </is>
      </c>
      <c r="D5534" t="inlineStr">
        <is>
          <t>연결</t>
        </is>
      </c>
      <c r="E5534" t="inlineStr">
        <is>
          <t>2023Q4</t>
        </is>
      </c>
      <c r="F5534" s="2" t="n">
        <v>31259</v>
      </c>
      <c r="G5534" t="inlineStr"/>
      <c r="H5534" t="inlineStr"/>
      <c r="I5534" s="2" t="n">
        <v>59</v>
      </c>
      <c r="J5534" t="inlineStr"/>
      <c r="K5534" t="inlineStr"/>
      <c r="L5534" s="2" t="n">
        <v>2208</v>
      </c>
      <c r="M5534" t="inlineStr"/>
      <c r="N5534" t="inlineStr">
        <is>
          <t>20240305900948</t>
        </is>
      </c>
      <c r="O5534">
        <f>HYPERLINK("https://dart.fss.or.kr/dsaf001/main.do?rcpNo=20240305900948", "공시열람")</f>
        <v/>
      </c>
    </row>
    <row r="5535">
      <c r="A5535" t="inlineStr">
        <is>
          <t>2024-03-05</t>
        </is>
      </c>
      <c r="B5535" t="inlineStr">
        <is>
          <t>GS리테일</t>
        </is>
      </c>
      <c r="C5535" t="inlineStr">
        <is>
          <t>007070</t>
        </is>
      </c>
      <c r="D5535" t="inlineStr">
        <is>
          <t>연결</t>
        </is>
      </c>
      <c r="E5535" t="inlineStr">
        <is>
          <t>2023Q4</t>
        </is>
      </c>
      <c r="F5535" s="2" t="n">
        <v>2931677</v>
      </c>
      <c r="G5535" t="inlineStr"/>
      <c r="H5535" t="inlineStr"/>
      <c r="I5535" s="2" t="n">
        <v>80358</v>
      </c>
      <c r="J5535" t="inlineStr"/>
      <c r="K5535" t="inlineStr"/>
      <c r="L5535" s="2" t="n">
        <v>-121170</v>
      </c>
      <c r="M5535" t="inlineStr"/>
      <c r="N5535" t="inlineStr">
        <is>
          <t>20240305800661</t>
        </is>
      </c>
      <c r="O5535">
        <f>HYPERLINK("https://dart.fss.or.kr/dsaf001/main.do?rcpNo=20240305800661", "공시열람")</f>
        <v/>
      </c>
    </row>
    <row r="5536">
      <c r="A5536" t="inlineStr">
        <is>
          <t>2024-03-05</t>
        </is>
      </c>
      <c r="B5536" t="inlineStr">
        <is>
          <t>롯데에너지머티리얼즈</t>
        </is>
      </c>
      <c r="C5536" t="inlineStr">
        <is>
          <t>020150</t>
        </is>
      </c>
      <c r="D5536" t="inlineStr">
        <is>
          <t>연결</t>
        </is>
      </c>
      <c r="E5536" t="inlineStr">
        <is>
          <t>2023Q4</t>
        </is>
      </c>
      <c r="F5536" s="2" t="n">
        <v>229500</v>
      </c>
      <c r="G5536" t="n">
        <v>5.5</v>
      </c>
      <c r="H5536" t="n">
        <v>34.1</v>
      </c>
      <c r="I5536" s="2" t="n">
        <v>1100</v>
      </c>
      <c r="J5536" t="n">
        <v>-62.7</v>
      </c>
      <c r="K5536" t="n">
        <v>-92.5</v>
      </c>
      <c r="L5536" s="2" t="n">
        <v>-1600</v>
      </c>
      <c r="M5536" t="inlineStr"/>
      <c r="N5536" t="inlineStr">
        <is>
          <t>20240305800429</t>
        </is>
      </c>
      <c r="O5536">
        <f>HYPERLINK("https://dart.fss.or.kr/dsaf001/main.do?rcpNo=20240305800429", "공시열람")</f>
        <v/>
      </c>
    </row>
    <row r="5537">
      <c r="A5537" t="inlineStr">
        <is>
          <t>2024-03-04</t>
        </is>
      </c>
      <c r="B5537" t="inlineStr">
        <is>
          <t>파라다이스</t>
        </is>
      </c>
      <c r="C5537" t="inlineStr">
        <is>
          <t>034230</t>
        </is>
      </c>
      <c r="D5537" t="inlineStr">
        <is>
          <t>연결</t>
        </is>
      </c>
      <c r="E5537" t="inlineStr">
        <is>
          <t>2023Q4</t>
        </is>
      </c>
      <c r="F5537" s="2" t="inlineStr"/>
      <c r="G5537" t="inlineStr"/>
      <c r="H5537" t="inlineStr"/>
      <c r="I5537" s="2" t="inlineStr"/>
      <c r="J5537" t="inlineStr"/>
      <c r="K5537" t="inlineStr"/>
      <c r="L5537" s="2" t="inlineStr"/>
      <c r="M5537" t="inlineStr"/>
      <c r="N5537" t="inlineStr">
        <is>
          <t>20240304900129</t>
        </is>
      </c>
      <c r="O5537">
        <f>HYPERLINK("https://dart.fss.or.kr/dsaf001/main.do?rcpNo=20240304900129", "공시열람")</f>
        <v/>
      </c>
    </row>
    <row r="5538">
      <c r="A5538" t="inlineStr">
        <is>
          <t>2024-03-04</t>
        </is>
      </c>
      <c r="B5538" t="inlineStr">
        <is>
          <t>KG모빌리티</t>
        </is>
      </c>
      <c r="C5538" t="inlineStr">
        <is>
          <t>003620</t>
        </is>
      </c>
      <c r="D5538" t="inlineStr">
        <is>
          <t>별도</t>
        </is>
      </c>
      <c r="E5538" t="inlineStr">
        <is>
          <t>2023Q4</t>
        </is>
      </c>
      <c r="F5538" s="2" t="inlineStr"/>
      <c r="G5538" t="inlineStr"/>
      <c r="H5538" t="inlineStr"/>
      <c r="I5538" s="2" t="inlineStr"/>
      <c r="J5538" t="inlineStr"/>
      <c r="K5538" t="inlineStr"/>
      <c r="L5538" s="2" t="inlineStr"/>
      <c r="M5538" t="inlineStr"/>
      <c r="N5538" t="inlineStr">
        <is>
          <t>20240304800315</t>
        </is>
      </c>
      <c r="O5538">
        <f>HYPERLINK("https://dart.fss.or.kr/dsaf001/main.do?rcpNo=20240304800315", "공시열람")</f>
        <v/>
      </c>
    </row>
    <row r="5539">
      <c r="A5539" t="inlineStr">
        <is>
          <t>2024-03-04</t>
        </is>
      </c>
      <c r="B5539" t="inlineStr">
        <is>
          <t>GKL</t>
        </is>
      </c>
      <c r="C5539" t="inlineStr">
        <is>
          <t>114090</t>
        </is>
      </c>
      <c r="D5539" t="inlineStr">
        <is>
          <t>별도</t>
        </is>
      </c>
      <c r="E5539" t="inlineStr">
        <is>
          <t>2023Q4</t>
        </is>
      </c>
      <c r="F5539" s="2" t="inlineStr"/>
      <c r="G5539" t="inlineStr"/>
      <c r="H5539" t="inlineStr"/>
      <c r="I5539" s="2" t="inlineStr"/>
      <c r="J5539" t="inlineStr"/>
      <c r="K5539" t="inlineStr"/>
      <c r="L5539" s="2" t="inlineStr"/>
      <c r="M5539" t="inlineStr"/>
      <c r="N5539" t="inlineStr">
        <is>
          <t>20240304800318</t>
        </is>
      </c>
      <c r="O5539">
        <f>HYPERLINK("https://dart.fss.or.kr/dsaf001/main.do?rcpNo=20240304800318", "공시열람")</f>
        <v/>
      </c>
    </row>
    <row r="5540">
      <c r="A5540" t="inlineStr">
        <is>
          <t>2024-03-04</t>
        </is>
      </c>
      <c r="B5540" t="inlineStr">
        <is>
          <t>기아</t>
        </is>
      </c>
      <c r="C5540" t="inlineStr">
        <is>
          <t>000270</t>
        </is>
      </c>
      <c r="D5540" t="inlineStr">
        <is>
          <t>별도</t>
        </is>
      </c>
      <c r="E5540" t="inlineStr">
        <is>
          <t>2023Q4</t>
        </is>
      </c>
      <c r="F5540" s="2" t="inlineStr"/>
      <c r="G5540" t="inlineStr"/>
      <c r="H5540" t="inlineStr"/>
      <c r="I5540" s="2" t="inlineStr"/>
      <c r="J5540" t="inlineStr"/>
      <c r="K5540" t="inlineStr"/>
      <c r="L5540" s="2" t="inlineStr"/>
      <c r="M5540" t="inlineStr"/>
      <c r="N5540" t="inlineStr">
        <is>
          <t>20240304800387</t>
        </is>
      </c>
      <c r="O5540">
        <f>HYPERLINK("https://dart.fss.or.kr/dsaf001/main.do?rcpNo=20240304800387", "공시열람")</f>
        <v/>
      </c>
    </row>
    <row r="5541">
      <c r="A5541" t="inlineStr">
        <is>
          <t>2024-03-04</t>
        </is>
      </c>
      <c r="B5541" t="inlineStr">
        <is>
          <t>현대자동차</t>
        </is>
      </c>
      <c r="C5541" t="inlineStr">
        <is>
          <t>005380</t>
        </is>
      </c>
      <c r="D5541" t="inlineStr">
        <is>
          <t>별도</t>
        </is>
      </c>
      <c r="E5541" t="inlineStr">
        <is>
          <t>2023Q4</t>
        </is>
      </c>
      <c r="F5541" s="2" t="inlineStr"/>
      <c r="G5541" t="inlineStr"/>
      <c r="H5541" t="inlineStr"/>
      <c r="I5541" s="2" t="inlineStr"/>
      <c r="J5541" t="inlineStr"/>
      <c r="K5541" t="inlineStr"/>
      <c r="L5541" s="2" t="inlineStr"/>
      <c r="M5541" t="inlineStr"/>
      <c r="N5541" t="inlineStr">
        <is>
          <t>20240304800440</t>
        </is>
      </c>
      <c r="O5541">
        <f>HYPERLINK("https://dart.fss.or.kr/dsaf001/main.do?rcpNo=20240304800440", "공시열람")</f>
        <v/>
      </c>
    </row>
    <row r="5542">
      <c r="A5542" t="inlineStr">
        <is>
          <t>2024-03-04</t>
        </is>
      </c>
      <c r="B5542" t="inlineStr">
        <is>
          <t>롯데관광개발</t>
        </is>
      </c>
      <c r="C5542" t="inlineStr">
        <is>
          <t>032350</t>
        </is>
      </c>
      <c r="D5542" t="inlineStr">
        <is>
          <t>연결</t>
        </is>
      </c>
      <c r="E5542" t="inlineStr">
        <is>
          <t>2023Q4</t>
        </is>
      </c>
      <c r="F5542" s="2" t="inlineStr"/>
      <c r="G5542" t="inlineStr"/>
      <c r="H5542" t="inlineStr"/>
      <c r="I5542" s="2" t="inlineStr"/>
      <c r="J5542" t="inlineStr"/>
      <c r="K5542" t="inlineStr"/>
      <c r="L5542" s="2" t="inlineStr"/>
      <c r="M5542" t="inlineStr"/>
      <c r="N5542" t="inlineStr">
        <is>
          <t>20240304800003</t>
        </is>
      </c>
      <c r="O5542">
        <f>HYPERLINK("https://dart.fss.or.kr/dsaf001/main.do?rcpNo=20240304800003", "공시열람")</f>
        <v/>
      </c>
    </row>
    <row r="5543">
      <c r="A5543" t="inlineStr">
        <is>
          <t>2024-02-29</t>
        </is>
      </c>
      <c r="B5543" t="inlineStr">
        <is>
          <t>셀트리온</t>
        </is>
      </c>
      <c r="C5543" t="inlineStr">
        <is>
          <t>068270</t>
        </is>
      </c>
      <c r="D5543" t="inlineStr">
        <is>
          <t>연결</t>
        </is>
      </c>
      <c r="E5543" t="inlineStr">
        <is>
          <t>2022Q3</t>
        </is>
      </c>
      <c r="F5543" s="2" t="n">
        <v>382598</v>
      </c>
      <c r="G5543" t="n">
        <v>-43.09</v>
      </c>
      <c r="H5543" t="n">
        <v>-25.07</v>
      </c>
      <c r="I5543" s="2" t="n">
        <v>18423</v>
      </c>
      <c r="J5543" t="n">
        <v>-93.12</v>
      </c>
      <c r="K5543" t="n">
        <v>-81.69</v>
      </c>
      <c r="L5543" s="2" t="n">
        <v>453</v>
      </c>
      <c r="M5543" t="n">
        <v>-99.36</v>
      </c>
      <c r="N5543" t="inlineStr">
        <is>
          <t>20240229800685</t>
        </is>
      </c>
      <c r="O5543">
        <f>HYPERLINK("https://dart.fss.or.kr/dsaf001/main.do?rcpNo=20240229800685", "공시열람")</f>
        <v/>
      </c>
    </row>
    <row r="5544">
      <c r="A5544" t="inlineStr">
        <is>
          <t>2024-02-29</t>
        </is>
      </c>
      <c r="B5544" t="inlineStr">
        <is>
          <t>셀트리온</t>
        </is>
      </c>
      <c r="C5544" t="inlineStr">
        <is>
          <t>068270</t>
        </is>
      </c>
      <c r="D5544" t="inlineStr">
        <is>
          <t>별도</t>
        </is>
      </c>
      <c r="E5544" t="inlineStr">
        <is>
          <t>2023Q4</t>
        </is>
      </c>
      <c r="F5544" s="2" t="n">
        <v>314866</v>
      </c>
      <c r="G5544" t="n">
        <v>-47.52</v>
      </c>
      <c r="H5544" t="n">
        <v>-29.75</v>
      </c>
      <c r="I5544" s="2" t="n">
        <v>25843</v>
      </c>
      <c r="J5544" t="n">
        <v>-90.22</v>
      </c>
      <c r="K5544" t="n">
        <v>-72.64</v>
      </c>
      <c r="L5544" s="2" t="n">
        <v>28611</v>
      </c>
      <c r="M5544" t="n">
        <v>-48.27</v>
      </c>
      <c r="N5544" t="inlineStr">
        <is>
          <t>20240229800684</t>
        </is>
      </c>
      <c r="O5544">
        <f>HYPERLINK("https://dart.fss.or.kr/dsaf001/main.do?rcpNo=20240229800684", "공시열람")</f>
        <v/>
      </c>
    </row>
    <row r="5545">
      <c r="A5545" t="inlineStr">
        <is>
          <t>2024-02-29</t>
        </is>
      </c>
      <c r="B5545" t="inlineStr">
        <is>
          <t>한화</t>
        </is>
      </c>
      <c r="C5545" t="inlineStr">
        <is>
          <t>000880</t>
        </is>
      </c>
      <c r="D5545" t="inlineStr">
        <is>
          <t>연결</t>
        </is>
      </c>
      <c r="E5545" t="inlineStr">
        <is>
          <t>2023Q4</t>
        </is>
      </c>
      <c r="F5545" s="2" t="n">
        <v>14476040</v>
      </c>
      <c r="G5545" t="n">
        <v>21.25</v>
      </c>
      <c r="H5545" t="n">
        <v>32.87</v>
      </c>
      <c r="I5545" s="2" t="n">
        <v>231704</v>
      </c>
      <c r="J5545" t="n">
        <v>-39.39</v>
      </c>
      <c r="K5545" t="inlineStr"/>
      <c r="L5545" s="2" t="n">
        <v>10349</v>
      </c>
      <c r="M5545" t="inlineStr"/>
      <c r="N5545" t="inlineStr">
        <is>
          <t>20240229800059</t>
        </is>
      </c>
      <c r="O5545">
        <f>HYPERLINK("https://dart.fss.or.kr/dsaf001/main.do?rcpNo=20240229800059", "공시열람")</f>
        <v/>
      </c>
    </row>
    <row r="5546">
      <c r="A5546" t="inlineStr">
        <is>
          <t>2024-02-29</t>
        </is>
      </c>
      <c r="B5546" t="inlineStr">
        <is>
          <t>사람인</t>
        </is>
      </c>
      <c r="C5546" t="inlineStr">
        <is>
          <t>143240</t>
        </is>
      </c>
      <c r="D5546" t="inlineStr">
        <is>
          <t>연결</t>
        </is>
      </c>
      <c r="E5546" t="inlineStr">
        <is>
          <t>2023Q4</t>
        </is>
      </c>
      <c r="F5546" s="2" t="n">
        <v>31887</v>
      </c>
      <c r="G5546" t="inlineStr"/>
      <c r="H5546" t="inlineStr"/>
      <c r="I5546" s="2" t="n">
        <v>2925</v>
      </c>
      <c r="J5546" t="inlineStr"/>
      <c r="K5546" t="inlineStr"/>
      <c r="L5546" s="2" t="n">
        <v>42</v>
      </c>
      <c r="M5546" t="inlineStr"/>
      <c r="N5546" t="inlineStr">
        <is>
          <t>20240229901340</t>
        </is>
      </c>
      <c r="O5546">
        <f>HYPERLINK("https://dart.fss.or.kr/dsaf001/main.do?rcpNo=20240229901340", "공시열람")</f>
        <v/>
      </c>
    </row>
    <row r="5547">
      <c r="A5547" t="inlineStr">
        <is>
          <t>2024-02-29</t>
        </is>
      </c>
      <c r="B5547" t="inlineStr">
        <is>
          <t>핸즈코퍼레이션</t>
        </is>
      </c>
      <c r="C5547" t="inlineStr">
        <is>
          <t>143210</t>
        </is>
      </c>
      <c r="D5547" t="inlineStr">
        <is>
          <t>연결</t>
        </is>
      </c>
      <c r="E5547" t="inlineStr">
        <is>
          <t>2023Q4</t>
        </is>
      </c>
      <c r="F5547" s="2" t="n">
        <v>177122</v>
      </c>
      <c r="G5547" t="n">
        <v>-2.9</v>
      </c>
      <c r="H5547" t="n">
        <v>-8.300000000000001</v>
      </c>
      <c r="I5547" s="2" t="n">
        <v>-21296</v>
      </c>
      <c r="J5547" t="n">
        <v>-1276.6</v>
      </c>
      <c r="K5547" t="n">
        <v>2.8</v>
      </c>
      <c r="L5547" s="2" t="n">
        <v>-17871</v>
      </c>
      <c r="M5547" t="n">
        <v>-61.3</v>
      </c>
      <c r="N5547" t="inlineStr">
        <is>
          <t>20240229800610</t>
        </is>
      </c>
      <c r="O5547">
        <f>HYPERLINK("https://dart.fss.or.kr/dsaf001/main.do?rcpNo=20240229800610", "공시열람")</f>
        <v/>
      </c>
    </row>
    <row r="5548">
      <c r="A5548" t="inlineStr">
        <is>
          <t>2024-02-29</t>
        </is>
      </c>
      <c r="B5548" t="inlineStr">
        <is>
          <t>앤디포스</t>
        </is>
      </c>
      <c r="C5548" t="inlineStr">
        <is>
          <t>238090</t>
        </is>
      </c>
      <c r="D5548" t="inlineStr">
        <is>
          <t>별도</t>
        </is>
      </c>
      <c r="E5548" t="inlineStr">
        <is>
          <t>2023Q4</t>
        </is>
      </c>
      <c r="F5548" s="2" t="n">
        <v>44359</v>
      </c>
      <c r="G5548" t="inlineStr"/>
      <c r="H5548" t="inlineStr"/>
      <c r="I5548" s="2" t="n">
        <v>802</v>
      </c>
      <c r="J5548" t="inlineStr"/>
      <c r="K5548" t="inlineStr"/>
      <c r="L5548" s="2" t="n">
        <v>-10896</v>
      </c>
      <c r="M5548" t="inlineStr"/>
      <c r="N5548" t="inlineStr">
        <is>
          <t>20240229900652</t>
        </is>
      </c>
      <c r="O5548">
        <f>HYPERLINK("https://dart.fss.or.kr/dsaf001/main.do?rcpNo=20240229900652", "공시열람")</f>
        <v/>
      </c>
    </row>
    <row r="5549">
      <c r="A5549" t="inlineStr">
        <is>
          <t>2024-02-29</t>
        </is>
      </c>
      <c r="B5549" t="inlineStr">
        <is>
          <t>토니모리</t>
        </is>
      </c>
      <c r="C5549" t="inlineStr">
        <is>
          <t>214420</t>
        </is>
      </c>
      <c r="D5549" t="inlineStr">
        <is>
          <t>연결</t>
        </is>
      </c>
      <c r="E5549" t="inlineStr">
        <is>
          <t>2023Q4</t>
        </is>
      </c>
      <c r="F5549" s="2" t="n">
        <v>46802</v>
      </c>
      <c r="G5549" t="n">
        <v>27.1</v>
      </c>
      <c r="H5549" t="n">
        <v>35.2</v>
      </c>
      <c r="I5549" s="2" t="n">
        <v>4071</v>
      </c>
      <c r="J5549" t="n">
        <v>67.90000000000001</v>
      </c>
      <c r="K5549" t="inlineStr"/>
      <c r="L5549" s="2" t="n">
        <v>-356</v>
      </c>
      <c r="M5549" t="n">
        <v>62.6</v>
      </c>
      <c r="N5549" t="inlineStr">
        <is>
          <t>20240229800243</t>
        </is>
      </c>
      <c r="O5549">
        <f>HYPERLINK("https://dart.fss.or.kr/dsaf001/main.do?rcpNo=20240229800243", "공시열람")</f>
        <v/>
      </c>
    </row>
    <row r="5550">
      <c r="A5550" t="inlineStr">
        <is>
          <t>2024-02-29</t>
        </is>
      </c>
      <c r="B5550" t="inlineStr">
        <is>
          <t>고스트스튜디오</t>
        </is>
      </c>
      <c r="C5550" t="inlineStr">
        <is>
          <t>950190</t>
        </is>
      </c>
      <c r="D5550" t="inlineStr">
        <is>
          <t>연결</t>
        </is>
      </c>
      <c r="E5550" t="inlineStr">
        <is>
          <t>2023Q4</t>
        </is>
      </c>
      <c r="F5550" s="2" t="n">
        <v>25341</v>
      </c>
      <c r="G5550" t="inlineStr"/>
      <c r="H5550" t="inlineStr"/>
      <c r="I5550" s="2" t="n">
        <v>4162</v>
      </c>
      <c r="J5550" t="inlineStr"/>
      <c r="K5550" t="inlineStr"/>
      <c r="L5550" s="2" t="n">
        <v>2432</v>
      </c>
      <c r="M5550" t="inlineStr"/>
      <c r="N5550" t="inlineStr">
        <is>
          <t>20240229901333</t>
        </is>
      </c>
      <c r="O5550">
        <f>HYPERLINK("https://dart.fss.or.kr/dsaf001/main.do?rcpNo=20240229901333", "공시열람")</f>
        <v/>
      </c>
    </row>
    <row r="5551">
      <c r="A5551" t="inlineStr">
        <is>
          <t>2024-02-29</t>
        </is>
      </c>
      <c r="B5551" t="inlineStr">
        <is>
          <t>미투온</t>
        </is>
      </c>
      <c r="C5551" t="inlineStr">
        <is>
          <t>201490</t>
        </is>
      </c>
      <c r="D5551" t="inlineStr">
        <is>
          <t>연결</t>
        </is>
      </c>
      <c r="E5551" t="inlineStr">
        <is>
          <t>2023Q4</t>
        </is>
      </c>
      <c r="F5551" s="2" t="n">
        <v>27684</v>
      </c>
      <c r="G5551" t="inlineStr"/>
      <c r="H5551" t="inlineStr"/>
      <c r="I5551" s="2" t="n">
        <v>3365</v>
      </c>
      <c r="J5551" t="inlineStr"/>
      <c r="K5551" t="inlineStr"/>
      <c r="L5551" s="2" t="n">
        <v>1438</v>
      </c>
      <c r="M5551" t="inlineStr"/>
      <c r="N5551" t="inlineStr">
        <is>
          <t>20240229901329</t>
        </is>
      </c>
      <c r="O5551">
        <f>HYPERLINK("https://dart.fss.or.kr/dsaf001/main.do?rcpNo=20240229901329", "공시열람")</f>
        <v/>
      </c>
    </row>
    <row r="5552">
      <c r="A5552" t="inlineStr">
        <is>
          <t>2024-02-29</t>
        </is>
      </c>
      <c r="B5552" t="inlineStr">
        <is>
          <t>태광</t>
        </is>
      </c>
      <c r="C5552" t="inlineStr">
        <is>
          <t>023160</t>
        </is>
      </c>
      <c r="D5552" t="inlineStr">
        <is>
          <t>연결</t>
        </is>
      </c>
      <c r="E5552" t="inlineStr">
        <is>
          <t>2023Q4</t>
        </is>
      </c>
      <c r="F5552" s="2" t="n">
        <v>71340</v>
      </c>
      <c r="G5552" t="inlineStr"/>
      <c r="H5552" t="inlineStr"/>
      <c r="I5552" s="2" t="n">
        <v>7493</v>
      </c>
      <c r="J5552" t="inlineStr"/>
      <c r="K5552" t="inlineStr"/>
      <c r="L5552" s="2" t="n">
        <v>7009</v>
      </c>
      <c r="M5552" t="inlineStr"/>
      <c r="N5552" t="inlineStr">
        <is>
          <t>20240229900771</t>
        </is>
      </c>
      <c r="O5552">
        <f>HYPERLINK("https://dart.fss.or.kr/dsaf001/main.do?rcpNo=20240229900771", "공시열람")</f>
        <v/>
      </c>
    </row>
    <row r="5553">
      <c r="A5553" t="inlineStr">
        <is>
          <t>2024-02-28</t>
        </is>
      </c>
      <c r="B5553" t="inlineStr">
        <is>
          <t>제이에스코퍼레이션</t>
        </is>
      </c>
      <c r="C5553" t="inlineStr">
        <is>
          <t>194370</t>
        </is>
      </c>
      <c r="D5553" t="inlineStr">
        <is>
          <t>연결</t>
        </is>
      </c>
      <c r="E5553" t="inlineStr">
        <is>
          <t>2023Q4</t>
        </is>
      </c>
      <c r="F5553" s="2" t="n">
        <v>219339</v>
      </c>
      <c r="G5553" t="n">
        <v>-18.3</v>
      </c>
      <c r="H5553" t="n">
        <v>20.47</v>
      </c>
      <c r="I5553" s="2" t="n">
        <v>23537</v>
      </c>
      <c r="J5553" t="n">
        <v>-27.18</v>
      </c>
      <c r="K5553" t="n">
        <v>27.84</v>
      </c>
      <c r="L5553" s="2" t="n">
        <v>1242</v>
      </c>
      <c r="M5553" t="n">
        <v>-76.36</v>
      </c>
      <c r="N5553" t="inlineStr">
        <is>
          <t>20240228800631</t>
        </is>
      </c>
      <c r="O5553">
        <f>HYPERLINK("https://dart.fss.or.kr/dsaf001/main.do?rcpNo=20240228800631", "공시열람")</f>
        <v/>
      </c>
    </row>
    <row r="5554">
      <c r="A5554" t="inlineStr">
        <is>
          <t>2024-02-28</t>
        </is>
      </c>
      <c r="B5554" t="inlineStr">
        <is>
          <t>코아스</t>
        </is>
      </c>
      <c r="C5554" t="inlineStr">
        <is>
          <t>071950</t>
        </is>
      </c>
      <c r="D5554" t="inlineStr">
        <is>
          <t>연결</t>
        </is>
      </c>
      <c r="E5554" t="inlineStr">
        <is>
          <t>2023Q4</t>
        </is>
      </c>
      <c r="F5554" s="2" t="n">
        <v>21336</v>
      </c>
      <c r="G5554" t="n">
        <v>37.09</v>
      </c>
      <c r="H5554" t="n">
        <v>-13.06</v>
      </c>
      <c r="I5554" s="2" t="n">
        <v>-1613</v>
      </c>
      <c r="J5554" t="n">
        <v>-20062.5</v>
      </c>
      <c r="K5554" t="n">
        <v>-118.86</v>
      </c>
      <c r="L5554" s="2" t="n">
        <v>-3376</v>
      </c>
      <c r="M5554" t="n">
        <v>-162.93</v>
      </c>
      <c r="N5554" t="inlineStr">
        <is>
          <t>20240228800608</t>
        </is>
      </c>
      <c r="O5554">
        <f>HYPERLINK("https://dart.fss.or.kr/dsaf001/main.do?rcpNo=20240228800608", "공시열람")</f>
        <v/>
      </c>
    </row>
    <row r="5555">
      <c r="A5555" t="inlineStr">
        <is>
          <t>2024-02-28</t>
        </is>
      </c>
      <c r="B5555" t="inlineStr">
        <is>
          <t>카페24</t>
        </is>
      </c>
      <c r="C5555" t="inlineStr">
        <is>
          <t>042000</t>
        </is>
      </c>
      <c r="D5555" t="inlineStr">
        <is>
          <t>연결</t>
        </is>
      </c>
      <c r="E5555" t="inlineStr">
        <is>
          <t>2023Q4</t>
        </is>
      </c>
      <c r="F5555" s="2" t="n">
        <v>74507</v>
      </c>
      <c r="G5555" t="inlineStr"/>
      <c r="H5555" t="inlineStr"/>
      <c r="I5555" s="2" t="n">
        <v>3957</v>
      </c>
      <c r="J5555" t="inlineStr"/>
      <c r="K5555" t="inlineStr"/>
      <c r="L5555" s="2" t="n">
        <v>-12854</v>
      </c>
      <c r="M5555" t="inlineStr"/>
      <c r="N5555" t="inlineStr">
        <is>
          <t>20240228901211</t>
        </is>
      </c>
      <c r="O5555">
        <f>HYPERLINK("https://dart.fss.or.kr/dsaf001/main.do?rcpNo=20240228901211", "공시열람")</f>
        <v/>
      </c>
    </row>
    <row r="5556">
      <c r="A5556" t="inlineStr">
        <is>
          <t>2024-02-28</t>
        </is>
      </c>
      <c r="B5556" t="inlineStr">
        <is>
          <t>덴티움</t>
        </is>
      </c>
      <c r="C5556" t="inlineStr">
        <is>
          <t>145720</t>
        </is>
      </c>
      <c r="D5556" t="inlineStr">
        <is>
          <t>연결</t>
        </is>
      </c>
      <c r="E5556" t="inlineStr">
        <is>
          <t>2023Q4</t>
        </is>
      </c>
      <c r="F5556" s="2" t="n">
        <v>124810</v>
      </c>
      <c r="G5556" t="n">
        <v>33.1</v>
      </c>
      <c r="H5556" t="n">
        <v>32.8</v>
      </c>
      <c r="I5556" s="2" t="n">
        <v>47887</v>
      </c>
      <c r="J5556" t="n">
        <v>59.3</v>
      </c>
      <c r="K5556" t="n">
        <v>31.6</v>
      </c>
      <c r="L5556" s="2" t="n">
        <v>27023</v>
      </c>
      <c r="M5556" t="n">
        <v>178.1</v>
      </c>
      <c r="N5556" t="inlineStr">
        <is>
          <t>20240228801120</t>
        </is>
      </c>
      <c r="O5556">
        <f>HYPERLINK("https://dart.fss.or.kr/dsaf001/main.do?rcpNo=20240228801120", "공시열람")</f>
        <v/>
      </c>
    </row>
    <row r="5557">
      <c r="A5557" t="inlineStr">
        <is>
          <t>2024-02-28</t>
        </is>
      </c>
      <c r="B5557" t="inlineStr">
        <is>
          <t>한국타이어앤테크놀로지</t>
        </is>
      </c>
      <c r="C5557" t="inlineStr">
        <is>
          <t>161390</t>
        </is>
      </c>
      <c r="D5557" t="inlineStr">
        <is>
          <t>연결</t>
        </is>
      </c>
      <c r="E5557" t="inlineStr">
        <is>
          <t>2023Q4</t>
        </is>
      </c>
      <c r="F5557" s="2" t="n">
        <v>2232030</v>
      </c>
      <c r="G5557" t="n">
        <v>-4.6</v>
      </c>
      <c r="H5557" t="n">
        <v>-1.4</v>
      </c>
      <c r="I5557" s="2" t="n">
        <v>492409</v>
      </c>
      <c r="J5557" t="n">
        <v>24.2</v>
      </c>
      <c r="K5557" t="n">
        <v>132.2</v>
      </c>
      <c r="L5557" s="2" t="n">
        <v>191114</v>
      </c>
      <c r="M5557" t="n">
        <v>394.7</v>
      </c>
      <c r="N5557" t="inlineStr">
        <is>
          <t>20240228800685</t>
        </is>
      </c>
      <c r="O5557">
        <f>HYPERLINK("https://dart.fss.or.kr/dsaf001/main.do?rcpNo=20240228800685", "공시열람")</f>
        <v/>
      </c>
    </row>
    <row r="5558">
      <c r="A5558" t="inlineStr">
        <is>
          <t>2024-02-27</t>
        </is>
      </c>
      <c r="B5558" t="inlineStr">
        <is>
          <t>큐리언트</t>
        </is>
      </c>
      <c r="C5558" t="inlineStr">
        <is>
          <t>115180</t>
        </is>
      </c>
      <c r="D5558" t="inlineStr">
        <is>
          <t>연결</t>
        </is>
      </c>
      <c r="E5558" t="inlineStr">
        <is>
          <t>2023Q4</t>
        </is>
      </c>
      <c r="F5558" s="2" t="n">
        <v>2394</v>
      </c>
      <c r="G5558" t="n">
        <v>5.87</v>
      </c>
      <c r="H5558" t="n">
        <v>18.85</v>
      </c>
      <c r="I5558" s="2" t="n">
        <v>-4444</v>
      </c>
      <c r="J5558" t="n">
        <v>-13.53</v>
      </c>
      <c r="K5558" t="n">
        <v>-28.68</v>
      </c>
      <c r="L5558" s="2" t="n">
        <v>-4302</v>
      </c>
      <c r="M5558" t="n">
        <v>-32.14</v>
      </c>
      <c r="N5558" t="inlineStr">
        <is>
          <t>20240227900919</t>
        </is>
      </c>
      <c r="O5558">
        <f>HYPERLINK("https://dart.fss.or.kr/dsaf001/main.do?rcpNo=20240227900919", "공시열람")</f>
        <v/>
      </c>
    </row>
    <row r="5559">
      <c r="A5559" t="inlineStr">
        <is>
          <t>2024-02-27</t>
        </is>
      </c>
      <c r="B5559" t="inlineStr">
        <is>
          <t>바이오노트</t>
        </is>
      </c>
      <c r="C5559" t="inlineStr">
        <is>
          <t>377740</t>
        </is>
      </c>
      <c r="D5559" t="inlineStr">
        <is>
          <t>연결</t>
        </is>
      </c>
      <c r="E5559" t="inlineStr">
        <is>
          <t>2023Q4</t>
        </is>
      </c>
      <c r="F5559" s="2" t="n">
        <v>21769</v>
      </c>
      <c r="G5559" t="n">
        <v>0.2</v>
      </c>
      <c r="H5559" t="n">
        <v>-4.48</v>
      </c>
      <c r="I5559" s="2" t="n">
        <v>1846</v>
      </c>
      <c r="J5559" t="n">
        <v>-71.73</v>
      </c>
      <c r="K5559" t="inlineStr"/>
      <c r="L5559" s="2" t="n">
        <v>-2107</v>
      </c>
      <c r="M5559" t="n">
        <v>-98.48999999999999</v>
      </c>
      <c r="N5559" t="inlineStr">
        <is>
          <t>20240227801071</t>
        </is>
      </c>
      <c r="O5559">
        <f>HYPERLINK("https://dart.fss.or.kr/dsaf001/main.do?rcpNo=20240227801071", "공시열람")</f>
        <v/>
      </c>
    </row>
    <row r="5560">
      <c r="A5560" t="inlineStr">
        <is>
          <t>2024-02-27</t>
        </is>
      </c>
      <c r="B5560" t="inlineStr">
        <is>
          <t>케이씨씨</t>
        </is>
      </c>
      <c r="C5560" t="inlineStr">
        <is>
          <t>002380</t>
        </is>
      </c>
      <c r="D5560" t="inlineStr">
        <is>
          <t>연결</t>
        </is>
      </c>
      <c r="E5560" t="inlineStr">
        <is>
          <t>2023Q4</t>
        </is>
      </c>
      <c r="F5560" s="2" t="n">
        <v>1582430</v>
      </c>
      <c r="G5560" t="n">
        <v>1.9</v>
      </c>
      <c r="H5560" t="n">
        <v>-3.6</v>
      </c>
      <c r="I5560" s="2" t="n">
        <v>57889</v>
      </c>
      <c r="J5560" t="n">
        <v>-34.5</v>
      </c>
      <c r="K5560" t="n">
        <v>0.4</v>
      </c>
      <c r="L5560" s="2" t="n">
        <v>29393</v>
      </c>
      <c r="M5560" t="n">
        <v>-63.1</v>
      </c>
      <c r="N5560" t="inlineStr">
        <is>
          <t>20240227800713</t>
        </is>
      </c>
      <c r="O5560">
        <f>HYPERLINK("https://dart.fss.or.kr/dsaf001/main.do?rcpNo=20240227800713", "공시열람")</f>
        <v/>
      </c>
    </row>
    <row r="5561">
      <c r="A5561" t="inlineStr">
        <is>
          <t>2024-02-27</t>
        </is>
      </c>
      <c r="B5561" t="inlineStr">
        <is>
          <t>한국콜마</t>
        </is>
      </c>
      <c r="C5561" t="inlineStr">
        <is>
          <t>161890</t>
        </is>
      </c>
      <c r="D5561" t="inlineStr">
        <is>
          <t>연결</t>
        </is>
      </c>
      <c r="E5561" t="inlineStr">
        <is>
          <t>2023Q4</t>
        </is>
      </c>
      <c r="F5561" s="2" t="n">
        <v>551647</v>
      </c>
      <c r="G5561" t="n">
        <v>6.83</v>
      </c>
      <c r="H5561" t="n">
        <v>15.15</v>
      </c>
      <c r="I5561" s="2" t="n">
        <v>37823</v>
      </c>
      <c r="J5561" t="n">
        <v>21.87</v>
      </c>
      <c r="K5561" t="n">
        <v>337.94</v>
      </c>
      <c r="L5561" s="2" t="n">
        <v>-43281</v>
      </c>
      <c r="M5561" t="n">
        <v>8.58</v>
      </c>
      <c r="N5561" t="inlineStr">
        <is>
          <t>20240227800140</t>
        </is>
      </c>
      <c r="O5561">
        <f>HYPERLINK("https://dart.fss.or.kr/dsaf001/main.do?rcpNo=20240227800140", "공시열람")</f>
        <v/>
      </c>
    </row>
    <row r="5562">
      <c r="A5562" t="inlineStr">
        <is>
          <t>2024-02-27</t>
        </is>
      </c>
      <c r="B5562" t="inlineStr">
        <is>
          <t>한국콜마</t>
        </is>
      </c>
      <c r="C5562" t="inlineStr">
        <is>
          <t>161890</t>
        </is>
      </c>
      <c r="D5562" t="inlineStr">
        <is>
          <t>별도</t>
        </is>
      </c>
      <c r="E5562" t="inlineStr">
        <is>
          <t>2023Q4</t>
        </is>
      </c>
      <c r="F5562" s="2" t="n">
        <v>214257</v>
      </c>
      <c r="G5562" t="n">
        <v>15.14</v>
      </c>
      <c r="H5562" t="n">
        <v>30.71</v>
      </c>
      <c r="I5562" s="2" t="n">
        <v>18836</v>
      </c>
      <c r="J5562" t="n">
        <v>44.18</v>
      </c>
      <c r="K5562" t="n">
        <v>-12.03</v>
      </c>
      <c r="L5562" s="2" t="n">
        <v>-25919</v>
      </c>
      <c r="M5562" t="n">
        <v>56.7</v>
      </c>
      <c r="N5562" t="inlineStr">
        <is>
          <t>20240227800141</t>
        </is>
      </c>
      <c r="O5562">
        <f>HYPERLINK("https://dart.fss.or.kr/dsaf001/main.do?rcpNo=20240227800141", "공시열람")</f>
        <v/>
      </c>
    </row>
    <row r="5563">
      <c r="A5563" t="inlineStr">
        <is>
          <t>2024-02-27</t>
        </is>
      </c>
      <c r="B5563" t="inlineStr">
        <is>
          <t>동진쎄미켐</t>
        </is>
      </c>
      <c r="C5563" t="inlineStr">
        <is>
          <t>005290</t>
        </is>
      </c>
      <c r="D5563" t="inlineStr">
        <is>
          <t>연결</t>
        </is>
      </c>
      <c r="E5563" t="inlineStr">
        <is>
          <t>2023Q4</t>
        </is>
      </c>
      <c r="F5563" s="2" t="n">
        <v>322523</v>
      </c>
      <c r="G5563" t="inlineStr"/>
      <c r="H5563" t="inlineStr"/>
      <c r="I5563" s="2" t="n">
        <v>36565</v>
      </c>
      <c r="J5563" t="inlineStr"/>
      <c r="K5563" t="inlineStr"/>
      <c r="L5563" s="2" t="n">
        <v>24179</v>
      </c>
      <c r="M5563" t="inlineStr"/>
      <c r="N5563" t="inlineStr">
        <is>
          <t>20240227900208</t>
        </is>
      </c>
      <c r="O5563">
        <f>HYPERLINK("https://dart.fss.or.kr/dsaf001/main.do?rcpNo=20240227900208", "공시열람")</f>
        <v/>
      </c>
    </row>
    <row r="5564">
      <c r="A5564" t="inlineStr">
        <is>
          <t>2024-02-27</t>
        </is>
      </c>
      <c r="B5564" t="inlineStr">
        <is>
          <t>비엠티</t>
        </is>
      </c>
      <c r="C5564" t="inlineStr">
        <is>
          <t>086670</t>
        </is>
      </c>
      <c r="D5564" t="inlineStr">
        <is>
          <t>별도</t>
        </is>
      </c>
      <c r="E5564" t="inlineStr">
        <is>
          <t>2023Q4</t>
        </is>
      </c>
      <c r="F5564" s="2" t="n">
        <v>39909</v>
      </c>
      <c r="G5564" t="inlineStr"/>
      <c r="H5564" t="inlineStr"/>
      <c r="I5564" s="2" t="n">
        <v>1175</v>
      </c>
      <c r="J5564" t="inlineStr"/>
      <c r="K5564" t="inlineStr"/>
      <c r="L5564" s="2" t="n">
        <v>1148</v>
      </c>
      <c r="M5564" t="inlineStr"/>
      <c r="N5564" t="inlineStr">
        <is>
          <t>20240227900217</t>
        </is>
      </c>
      <c r="O5564">
        <f>HYPERLINK("https://dart.fss.or.kr/dsaf001/main.do?rcpNo=20240227900217", "공시열람")</f>
        <v/>
      </c>
    </row>
    <row r="5565">
      <c r="A5565" t="inlineStr">
        <is>
          <t>2024-02-27</t>
        </is>
      </c>
      <c r="B5565" t="inlineStr">
        <is>
          <t>비엠티</t>
        </is>
      </c>
      <c r="C5565" t="inlineStr">
        <is>
          <t>086670</t>
        </is>
      </c>
      <c r="D5565" t="inlineStr">
        <is>
          <t>연결</t>
        </is>
      </c>
      <c r="E5565" t="inlineStr">
        <is>
          <t>2023Q4</t>
        </is>
      </c>
      <c r="F5565" s="2" t="n">
        <v>39941</v>
      </c>
      <c r="G5565" t="inlineStr"/>
      <c r="H5565" t="inlineStr"/>
      <c r="I5565" s="2" t="n">
        <v>1026</v>
      </c>
      <c r="J5565" t="inlineStr"/>
      <c r="K5565" t="inlineStr"/>
      <c r="L5565" s="2" t="n">
        <v>973</v>
      </c>
      <c r="M5565" t="inlineStr"/>
      <c r="N5565" t="inlineStr">
        <is>
          <t>20240227900219</t>
        </is>
      </c>
      <c r="O5565">
        <f>HYPERLINK("https://dart.fss.or.kr/dsaf001/main.do?rcpNo=20240227900219", "공시열람")</f>
        <v/>
      </c>
    </row>
    <row r="5566">
      <c r="A5566" t="inlineStr">
        <is>
          <t>2024-02-27</t>
        </is>
      </c>
      <c r="B5566" t="inlineStr">
        <is>
          <t>한국가스공사</t>
        </is>
      </c>
      <c r="C5566" t="inlineStr">
        <is>
          <t>036460</t>
        </is>
      </c>
      <c r="D5566" t="inlineStr">
        <is>
          <t>연결</t>
        </is>
      </c>
      <c r="E5566" t="inlineStr">
        <is>
          <t>2023Q4</t>
        </is>
      </c>
      <c r="F5566" s="2" t="n">
        <v>10609167</v>
      </c>
      <c r="G5566" t="n">
        <v>34.5</v>
      </c>
      <c r="H5566" t="n">
        <v>-41.6</v>
      </c>
      <c r="I5566" s="2" t="n">
        <v>529639</v>
      </c>
      <c r="J5566" t="n">
        <v>129.9</v>
      </c>
      <c r="K5566" t="n">
        <v>-52.6</v>
      </c>
      <c r="L5566" s="2" t="n">
        <v>-657269</v>
      </c>
      <c r="M5566" t="inlineStr"/>
      <c r="N5566" t="inlineStr">
        <is>
          <t>20240227800603</t>
        </is>
      </c>
      <c r="O5566">
        <f>HYPERLINK("https://dart.fss.or.kr/dsaf001/main.do?rcpNo=20240227800603", "공시열람")</f>
        <v/>
      </c>
    </row>
    <row r="5567">
      <c r="A5567" t="inlineStr">
        <is>
          <t>2024-02-27</t>
        </is>
      </c>
      <c r="B5567" t="inlineStr">
        <is>
          <t>코오롱인더</t>
        </is>
      </c>
      <c r="C5567" t="inlineStr">
        <is>
          <t>120110</t>
        </is>
      </c>
      <c r="D5567" t="inlineStr">
        <is>
          <t>연결</t>
        </is>
      </c>
      <c r="E5567" t="inlineStr">
        <is>
          <t>2023Q4</t>
        </is>
      </c>
      <c r="F5567" s="2" t="n">
        <v>1301402</v>
      </c>
      <c r="G5567" t="n">
        <v>9.98</v>
      </c>
      <c r="H5567" t="n">
        <v>-9.789999999999999</v>
      </c>
      <c r="I5567" s="2" t="n">
        <v>40894</v>
      </c>
      <c r="J5567" t="n">
        <v>85.72</v>
      </c>
      <c r="K5567" t="n">
        <v>5.93</v>
      </c>
      <c r="L5567" s="2" t="n">
        <v>-7976</v>
      </c>
      <c r="M5567" t="inlineStr"/>
      <c r="N5567" t="inlineStr">
        <is>
          <t>20240227800657</t>
        </is>
      </c>
      <c r="O5567">
        <f>HYPERLINK("https://dart.fss.or.kr/dsaf001/main.do?rcpNo=20240227800657", "공시열람")</f>
        <v/>
      </c>
    </row>
    <row r="5568">
      <c r="A5568" t="inlineStr">
        <is>
          <t>2024-02-26</t>
        </is>
      </c>
      <c r="B5568" t="inlineStr">
        <is>
          <t>하이브</t>
        </is>
      </c>
      <c r="C5568" t="inlineStr">
        <is>
          <t>352820</t>
        </is>
      </c>
      <c r="D5568" t="inlineStr">
        <is>
          <t>연결</t>
        </is>
      </c>
      <c r="E5568" t="inlineStr">
        <is>
          <t>2023Q4</t>
        </is>
      </c>
      <c r="F5568" s="2" t="n">
        <v>608600</v>
      </c>
      <c r="G5568" t="n">
        <v>13.2</v>
      </c>
      <c r="H5568" t="n">
        <v>14.1</v>
      </c>
      <c r="I5568" s="2" t="n">
        <v>89300</v>
      </c>
      <c r="J5568" t="n">
        <v>23</v>
      </c>
      <c r="K5568" t="n">
        <v>75.5</v>
      </c>
      <c r="L5568" s="2" t="n">
        <v>-53600</v>
      </c>
      <c r="M5568" t="n">
        <v>69.40000000000001</v>
      </c>
      <c r="N5568" t="inlineStr">
        <is>
          <t>20240226800535</t>
        </is>
      </c>
      <c r="O5568">
        <f>HYPERLINK("https://dart.fss.or.kr/dsaf001/main.do?rcpNo=20240226800535", "공시열람")</f>
        <v/>
      </c>
    </row>
    <row r="5569">
      <c r="A5569" t="inlineStr">
        <is>
          <t>2024-02-26</t>
        </is>
      </c>
      <c r="B5569" t="inlineStr">
        <is>
          <t>현대리바트</t>
        </is>
      </c>
      <c r="C5569" t="inlineStr">
        <is>
          <t>079430</t>
        </is>
      </c>
      <c r="D5569" t="inlineStr">
        <is>
          <t>연결</t>
        </is>
      </c>
      <c r="E5569" t="inlineStr">
        <is>
          <t>2023Q4</t>
        </is>
      </c>
      <c r="F5569" s="2" t="n">
        <v>420200</v>
      </c>
      <c r="G5569" t="n">
        <v>5.9</v>
      </c>
      <c r="H5569" t="n">
        <v>4.4</v>
      </c>
      <c r="I5569" s="2" t="n">
        <v>-16972</v>
      </c>
      <c r="J5569" t="inlineStr"/>
      <c r="K5569" t="n">
        <v>45.3</v>
      </c>
      <c r="L5569" s="2" t="n">
        <v>-29187</v>
      </c>
      <c r="M5569" t="n">
        <v>44.8</v>
      </c>
      <c r="N5569" t="inlineStr">
        <is>
          <t>20240226800412</t>
        </is>
      </c>
      <c r="O5569">
        <f>HYPERLINK("https://dart.fss.or.kr/dsaf001/main.do?rcpNo=20240226800412", "공시열람")</f>
        <v/>
      </c>
    </row>
    <row r="5570">
      <c r="A5570" t="inlineStr">
        <is>
          <t>2024-02-26</t>
        </is>
      </c>
      <c r="B5570" t="inlineStr">
        <is>
          <t>원익머트리얼즈</t>
        </is>
      </c>
      <c r="C5570" t="inlineStr">
        <is>
          <t>104830</t>
        </is>
      </c>
      <c r="D5570" t="inlineStr">
        <is>
          <t>연결</t>
        </is>
      </c>
      <c r="E5570" t="inlineStr">
        <is>
          <t>2023Q4</t>
        </is>
      </c>
      <c r="F5570" s="2" t="n">
        <v>92143</v>
      </c>
      <c r="G5570" t="inlineStr"/>
      <c r="H5570" t="inlineStr"/>
      <c r="I5570" s="2" t="n">
        <v>6941</v>
      </c>
      <c r="J5570" t="inlineStr"/>
      <c r="K5570" t="inlineStr"/>
      <c r="L5570" s="2" t="n">
        <v>-144</v>
      </c>
      <c r="M5570" t="inlineStr"/>
      <c r="N5570" t="inlineStr">
        <is>
          <t>20240226901199</t>
        </is>
      </c>
      <c r="O5570">
        <f>HYPERLINK("https://dart.fss.or.kr/dsaf001/main.do?rcpNo=20240226901199", "공시열람")</f>
        <v/>
      </c>
    </row>
    <row r="5571">
      <c r="A5571" t="inlineStr">
        <is>
          <t>2024-02-26</t>
        </is>
      </c>
      <c r="B5571" t="inlineStr">
        <is>
          <t>다올투자증권</t>
        </is>
      </c>
      <c r="C5571" t="inlineStr">
        <is>
          <t>030210</t>
        </is>
      </c>
      <c r="D5571" t="inlineStr">
        <is>
          <t>연결</t>
        </is>
      </c>
      <c r="E5571" t="inlineStr">
        <is>
          <t>2023Q4</t>
        </is>
      </c>
      <c r="F5571" s="2" t="n">
        <v>384679</v>
      </c>
      <c r="G5571" t="n">
        <v>30.45</v>
      </c>
      <c r="H5571" t="n">
        <v>24.94</v>
      </c>
      <c r="I5571" s="2" t="n">
        <v>4723</v>
      </c>
      <c r="J5571" t="inlineStr"/>
      <c r="K5571" t="inlineStr"/>
      <c r="L5571" s="2" t="n">
        <v>1046</v>
      </c>
      <c r="M5571" t="inlineStr"/>
      <c r="N5571" t="inlineStr">
        <is>
          <t>20240226801108</t>
        </is>
      </c>
      <c r="O5571">
        <f>HYPERLINK("https://dart.fss.or.kr/dsaf001/main.do?rcpNo=20240226801108", "공시열람")</f>
        <v/>
      </c>
    </row>
    <row r="5572">
      <c r="A5572" t="inlineStr">
        <is>
          <t>2024-02-26</t>
        </is>
      </c>
      <c r="B5572" t="inlineStr">
        <is>
          <t>더네이쳐홀딩스</t>
        </is>
      </c>
      <c r="C5572" t="inlineStr">
        <is>
          <t>298540</t>
        </is>
      </c>
      <c r="D5572" t="inlineStr">
        <is>
          <t>연결</t>
        </is>
      </c>
      <c r="E5572" t="inlineStr">
        <is>
          <t>2023Q4</t>
        </is>
      </c>
      <c r="F5572" s="2" t="n">
        <v>203097</v>
      </c>
      <c r="G5572" t="inlineStr"/>
      <c r="H5572" t="inlineStr"/>
      <c r="I5572" s="2" t="n">
        <v>29072</v>
      </c>
      <c r="J5572" t="inlineStr"/>
      <c r="K5572" t="inlineStr"/>
      <c r="L5572" s="2" t="n">
        <v>24003</v>
      </c>
      <c r="M5572" t="inlineStr"/>
      <c r="N5572" t="inlineStr">
        <is>
          <t>20240226900751</t>
        </is>
      </c>
      <c r="O5572">
        <f>HYPERLINK("https://dart.fss.or.kr/dsaf001/main.do?rcpNo=20240226900751", "공시열람")</f>
        <v/>
      </c>
    </row>
    <row r="5573">
      <c r="A5573" t="inlineStr">
        <is>
          <t>2024-02-26</t>
        </is>
      </c>
      <c r="B5573" t="inlineStr">
        <is>
          <t>키다리스튜디오</t>
        </is>
      </c>
      <c r="C5573" t="inlineStr">
        <is>
          <t>020120</t>
        </is>
      </c>
      <c r="D5573" t="inlineStr">
        <is>
          <t>연결</t>
        </is>
      </c>
      <c r="E5573" t="inlineStr">
        <is>
          <t>2023Q4</t>
        </is>
      </c>
      <c r="F5573" s="2" t="n">
        <v>46031</v>
      </c>
      <c r="G5573" t="n">
        <v>8.27</v>
      </c>
      <c r="H5573" t="n">
        <v>20.12</v>
      </c>
      <c r="I5573" s="2" t="n">
        <v>227</v>
      </c>
      <c r="J5573" t="inlineStr"/>
      <c r="K5573" t="inlineStr"/>
      <c r="L5573" s="2" t="n">
        <v>-29734</v>
      </c>
      <c r="M5573" t="n">
        <v>-309.66</v>
      </c>
      <c r="N5573" t="inlineStr">
        <is>
          <t>20240226800609</t>
        </is>
      </c>
      <c r="O5573">
        <f>HYPERLINK("https://dart.fss.or.kr/dsaf001/main.do?rcpNo=20240226800609", "공시열람")</f>
        <v/>
      </c>
    </row>
    <row r="5574">
      <c r="A5574" t="inlineStr">
        <is>
          <t>2024-02-26</t>
        </is>
      </c>
      <c r="B5574" t="inlineStr">
        <is>
          <t>일성건설</t>
        </is>
      </c>
      <c r="C5574" t="inlineStr">
        <is>
          <t>013360</t>
        </is>
      </c>
      <c r="D5574" t="inlineStr">
        <is>
          <t>연결</t>
        </is>
      </c>
      <c r="E5574" t="inlineStr">
        <is>
          <t>2023Q4</t>
        </is>
      </c>
      <c r="F5574" s="2" t="n">
        <v>607715</v>
      </c>
      <c r="G5574" t="n">
        <v>31.37</v>
      </c>
      <c r="H5574" t="inlineStr"/>
      <c r="I5574" s="2" t="n">
        <v>7266</v>
      </c>
      <c r="J5574" t="n">
        <v>166.89</v>
      </c>
      <c r="K5574" t="inlineStr"/>
      <c r="L5574" s="2" t="n">
        <v>4081</v>
      </c>
      <c r="M5574" t="inlineStr"/>
      <c r="N5574" t="inlineStr">
        <is>
          <t>20240226800486</t>
        </is>
      </c>
      <c r="O5574">
        <f>HYPERLINK("https://dart.fss.or.kr/dsaf001/main.do?rcpNo=20240226800486", "공시열람")</f>
        <v/>
      </c>
    </row>
    <row r="5575">
      <c r="A5575" t="inlineStr">
        <is>
          <t>2024-02-26</t>
        </is>
      </c>
      <c r="B5575" t="inlineStr">
        <is>
          <t>지역난방공사</t>
        </is>
      </c>
      <c r="C5575" t="inlineStr">
        <is>
          <t>071320</t>
        </is>
      </c>
      <c r="D5575" t="inlineStr">
        <is>
          <t>연결</t>
        </is>
      </c>
      <c r="E5575" t="inlineStr">
        <is>
          <t>2023Q4</t>
        </is>
      </c>
      <c r="F5575" s="2" t="n">
        <v>1038471</v>
      </c>
      <c r="G5575" t="n">
        <v>71</v>
      </c>
      <c r="H5575" t="n">
        <v>-32.4</v>
      </c>
      <c r="I5575" s="2" t="n">
        <v>493336</v>
      </c>
      <c r="J5575" t="inlineStr"/>
      <c r="K5575" t="inlineStr"/>
      <c r="L5575" s="2" t="n">
        <v>380066</v>
      </c>
      <c r="M5575" t="n">
        <v>677.8</v>
      </c>
      <c r="N5575" t="inlineStr">
        <is>
          <t>20240226800256</t>
        </is>
      </c>
      <c r="O5575">
        <f>HYPERLINK("https://dart.fss.or.kr/dsaf001/main.do?rcpNo=20240226800256", "공시열람")</f>
        <v/>
      </c>
    </row>
    <row r="5576">
      <c r="A5576" t="inlineStr">
        <is>
          <t>2024-02-23</t>
        </is>
      </c>
      <c r="B5576" t="inlineStr">
        <is>
          <t>한화시스템</t>
        </is>
      </c>
      <c r="C5576" t="inlineStr">
        <is>
          <t>272210</t>
        </is>
      </c>
      <c r="D5576" t="inlineStr">
        <is>
          <t>연결</t>
        </is>
      </c>
      <c r="E5576" t="inlineStr">
        <is>
          <t>2023Q4</t>
        </is>
      </c>
      <c r="F5576" s="2" t="n">
        <v>782100</v>
      </c>
      <c r="G5576" t="n">
        <v>25.98</v>
      </c>
      <c r="H5576" t="n">
        <v>-0.83</v>
      </c>
      <c r="I5576" s="2" t="n">
        <v>10966</v>
      </c>
      <c r="J5576" t="n">
        <v>-72.36</v>
      </c>
      <c r="K5576" t="inlineStr"/>
      <c r="L5576" s="2" t="n">
        <v>42246</v>
      </c>
      <c r="M5576" t="inlineStr"/>
      <c r="N5576" t="inlineStr">
        <is>
          <t>20240223800136</t>
        </is>
      </c>
      <c r="O5576">
        <f>HYPERLINK("https://dart.fss.or.kr/dsaf001/main.do?rcpNo=20240223800136", "공시열람")</f>
        <v/>
      </c>
    </row>
    <row r="5577">
      <c r="A5577" t="inlineStr">
        <is>
          <t>2024-02-23</t>
        </is>
      </c>
      <c r="B5577" t="inlineStr">
        <is>
          <t>한국전력공사</t>
        </is>
      </c>
      <c r="C5577" t="inlineStr">
        <is>
          <t>015760</t>
        </is>
      </c>
      <c r="D5577" t="inlineStr">
        <is>
          <t>연결</t>
        </is>
      </c>
      <c r="E5577" t="inlineStr">
        <is>
          <t>2023Q4</t>
        </is>
      </c>
      <c r="F5577" s="2" t="n">
        <v>22518593</v>
      </c>
      <c r="G5577" t="n">
        <v>-8</v>
      </c>
      <c r="H5577" t="n">
        <v>15.5</v>
      </c>
      <c r="I5577" s="2" t="n">
        <v>1884248</v>
      </c>
      <c r="J5577" t="n">
        <v>-5.6</v>
      </c>
      <c r="K5577" t="inlineStr"/>
      <c r="L5577" s="2" t="n">
        <v>1325413</v>
      </c>
      <c r="M5577" t="inlineStr"/>
      <c r="N5577" t="inlineStr">
        <is>
          <t>20240223800746</t>
        </is>
      </c>
      <c r="O5577">
        <f>HYPERLINK("https://dart.fss.or.kr/dsaf001/main.do?rcpNo=20240223800746", "공시열람")</f>
        <v/>
      </c>
    </row>
    <row r="5578">
      <c r="A5578" t="inlineStr">
        <is>
          <t>2024-02-23</t>
        </is>
      </c>
      <c r="B5578" t="inlineStr">
        <is>
          <t>코스메카코리아</t>
        </is>
      </c>
      <c r="C5578" t="inlineStr">
        <is>
          <t>241710</t>
        </is>
      </c>
      <c r="D5578" t="inlineStr">
        <is>
          <t>연결</t>
        </is>
      </c>
      <c r="E5578" t="inlineStr">
        <is>
          <t>2023Q4</t>
        </is>
      </c>
      <c r="F5578" s="2" t="n">
        <v>122737</v>
      </c>
      <c r="G5578" t="inlineStr"/>
      <c r="H5578" t="inlineStr"/>
      <c r="I5578" s="2" t="n">
        <v>15044</v>
      </c>
      <c r="J5578" t="inlineStr"/>
      <c r="K5578" t="inlineStr"/>
      <c r="L5578" s="2" t="n">
        <v>5890</v>
      </c>
      <c r="M5578" t="inlineStr"/>
      <c r="N5578" t="inlineStr">
        <is>
          <t>20240223900620</t>
        </is>
      </c>
      <c r="O5578">
        <f>HYPERLINK("https://dart.fss.or.kr/dsaf001/main.do?rcpNo=20240223900620", "공시열람")</f>
        <v/>
      </c>
    </row>
    <row r="5579">
      <c r="A5579" t="inlineStr">
        <is>
          <t>2024-02-23</t>
        </is>
      </c>
      <c r="B5579" t="inlineStr">
        <is>
          <t>잉글우드랩</t>
        </is>
      </c>
      <c r="C5579" t="inlineStr">
        <is>
          <t>950140</t>
        </is>
      </c>
      <c r="D5579" t="inlineStr">
        <is>
          <t>연결</t>
        </is>
      </c>
      <c r="E5579" t="inlineStr">
        <is>
          <t>2023Q4</t>
        </is>
      </c>
      <c r="F5579" s="2" t="n">
        <v>57218</v>
      </c>
      <c r="G5579" t="inlineStr"/>
      <c r="H5579" t="inlineStr"/>
      <c r="I5579" s="2" t="n">
        <v>7959</v>
      </c>
      <c r="J5579" t="inlineStr"/>
      <c r="K5579" t="inlineStr"/>
      <c r="L5579" s="2" t="n">
        <v>3019</v>
      </c>
      <c r="M5579" t="inlineStr"/>
      <c r="N5579" t="inlineStr">
        <is>
          <t>20240223900524</t>
        </is>
      </c>
      <c r="O5579">
        <f>HYPERLINK("https://dart.fss.or.kr/dsaf001/main.do?rcpNo=20240223900524", "공시열람")</f>
        <v/>
      </c>
    </row>
    <row r="5580">
      <c r="A5580" t="inlineStr">
        <is>
          <t>2024-02-23</t>
        </is>
      </c>
      <c r="B5580" t="inlineStr">
        <is>
          <t>흥국에프엔비</t>
        </is>
      </c>
      <c r="C5580" t="inlineStr">
        <is>
          <t>189980</t>
        </is>
      </c>
      <c r="D5580" t="inlineStr">
        <is>
          <t>연결</t>
        </is>
      </c>
      <c r="E5580" t="inlineStr">
        <is>
          <t>2023Q4</t>
        </is>
      </c>
      <c r="F5580" s="2" t="n">
        <v>19748</v>
      </c>
      <c r="G5580" t="inlineStr"/>
      <c r="H5580" t="inlineStr"/>
      <c r="I5580" s="2" t="n">
        <v>669</v>
      </c>
      <c r="J5580" t="inlineStr"/>
      <c r="K5580" t="inlineStr"/>
      <c r="L5580" s="2" t="n">
        <v>1553</v>
      </c>
      <c r="M5580" t="inlineStr"/>
      <c r="N5580" t="inlineStr">
        <is>
          <t>20240223900362</t>
        </is>
      </c>
      <c r="O5580">
        <f>HYPERLINK("https://dart.fss.or.kr/dsaf001/main.do?rcpNo=20240223900362", "공시열람")</f>
        <v/>
      </c>
    </row>
    <row r="5581">
      <c r="A5581" t="inlineStr">
        <is>
          <t>2024-02-23</t>
        </is>
      </c>
      <c r="B5581" t="inlineStr">
        <is>
          <t>한화에어로스페이스</t>
        </is>
      </c>
      <c r="C5581" t="inlineStr">
        <is>
          <t>012450</t>
        </is>
      </c>
      <c r="D5581" t="inlineStr">
        <is>
          <t>연결</t>
        </is>
      </c>
      <c r="E5581" t="inlineStr">
        <is>
          <t>2023Q4</t>
        </is>
      </c>
      <c r="F5581" s="2" t="n">
        <v>3442400</v>
      </c>
      <c r="G5581" t="n">
        <v>73.7</v>
      </c>
      <c r="H5581" t="n">
        <v>32.6</v>
      </c>
      <c r="I5581" s="2" t="n">
        <v>289500</v>
      </c>
      <c r="J5581" t="n">
        <v>152.4</v>
      </c>
      <c r="K5581" t="n">
        <v>79.59999999999999</v>
      </c>
      <c r="L5581" s="2" t="n">
        <v>213200</v>
      </c>
      <c r="M5581" t="n">
        <v>2350.6</v>
      </c>
      <c r="N5581" t="inlineStr">
        <is>
          <t>20240223800314</t>
        </is>
      </c>
      <c r="O5581">
        <f>HYPERLINK("https://dart.fss.or.kr/dsaf001/main.do?rcpNo=20240223800314", "공시열람")</f>
        <v/>
      </c>
    </row>
    <row r="5582">
      <c r="A5582" t="inlineStr">
        <is>
          <t>2024-02-23</t>
        </is>
      </c>
      <c r="B5582" t="inlineStr">
        <is>
          <t>현대해상</t>
        </is>
      </c>
      <c r="C5582" t="inlineStr">
        <is>
          <t>001450</t>
        </is>
      </c>
      <c r="D5582" t="inlineStr">
        <is>
          <t>별도</t>
        </is>
      </c>
      <c r="E5582" t="inlineStr">
        <is>
          <t>2023Q4</t>
        </is>
      </c>
      <c r="F5582" s="2" t="n">
        <v>3847662</v>
      </c>
      <c r="G5582" t="n">
        <v>-3.2</v>
      </c>
      <c r="H5582" t="n">
        <v>23.7</v>
      </c>
      <c r="I5582" s="2" t="n">
        <v>-42767</v>
      </c>
      <c r="J5582" t="inlineStr"/>
      <c r="K5582" t="inlineStr"/>
      <c r="L5582" s="2" t="n">
        <v>19366</v>
      </c>
      <c r="M5582" t="n">
        <v>-95.5</v>
      </c>
      <c r="N5582" t="inlineStr">
        <is>
          <t>20240223800274</t>
        </is>
      </c>
      <c r="O5582">
        <f>HYPERLINK("https://dart.fss.or.kr/dsaf001/main.do?rcpNo=20240223800274", "공시열람")</f>
        <v/>
      </c>
    </row>
    <row r="5583">
      <c r="A5583" t="inlineStr">
        <is>
          <t>2024-02-22</t>
        </is>
      </c>
      <c r="B5583" t="inlineStr">
        <is>
          <t>인바디</t>
        </is>
      </c>
      <c r="C5583" t="inlineStr">
        <is>
          <t>041830</t>
        </is>
      </c>
      <c r="D5583" t="inlineStr">
        <is>
          <t>연결</t>
        </is>
      </c>
      <c r="E5583" t="inlineStr">
        <is>
          <t>2023Q4</t>
        </is>
      </c>
      <c r="F5583" s="2" t="n">
        <v>41912</v>
      </c>
      <c r="G5583" t="inlineStr"/>
      <c r="H5583" t="inlineStr"/>
      <c r="I5583" s="2" t="n">
        <v>6745</v>
      </c>
      <c r="J5583" t="inlineStr"/>
      <c r="K5583" t="inlineStr"/>
      <c r="L5583" s="2" t="n">
        <v>7862</v>
      </c>
      <c r="M5583" t="inlineStr"/>
      <c r="N5583" t="inlineStr">
        <is>
          <t>20240222900396</t>
        </is>
      </c>
      <c r="O5583">
        <f>HYPERLINK("https://dart.fss.or.kr/dsaf001/main.do?rcpNo=20240222900396", "공시열람")</f>
        <v/>
      </c>
    </row>
    <row r="5584">
      <c r="A5584" t="inlineStr">
        <is>
          <t>2024-02-22</t>
        </is>
      </c>
      <c r="B5584" t="inlineStr">
        <is>
          <t>삼성화재해상보험</t>
        </is>
      </c>
      <c r="C5584" t="inlineStr">
        <is>
          <t>000810</t>
        </is>
      </c>
      <c r="D5584" t="inlineStr">
        <is>
          <t>연결</t>
        </is>
      </c>
      <c r="E5584" t="inlineStr">
        <is>
          <t>2023Q4</t>
        </is>
      </c>
      <c r="F5584" s="2" t="n">
        <v>5110279</v>
      </c>
      <c r="G5584" t="n">
        <v>-3.6</v>
      </c>
      <c r="H5584" t="n">
        <v>11.5</v>
      </c>
      <c r="I5584" s="2" t="n">
        <v>203396</v>
      </c>
      <c r="J5584" t="n">
        <v>-64.59999999999999</v>
      </c>
      <c r="K5584" t="n">
        <v>-34.5</v>
      </c>
      <c r="L5584" s="2" t="n">
        <v>175533</v>
      </c>
      <c r="M5584" t="n">
        <v>-46.8</v>
      </c>
      <c r="N5584" t="inlineStr">
        <is>
          <t>20240222800003</t>
        </is>
      </c>
      <c r="O5584">
        <f>HYPERLINK("https://dart.fss.or.kr/dsaf001/main.do?rcpNo=20240222800003", "공시열람")</f>
        <v/>
      </c>
    </row>
    <row r="5585">
      <c r="A5585" t="inlineStr">
        <is>
          <t>2024-02-22</t>
        </is>
      </c>
      <c r="B5585" t="inlineStr">
        <is>
          <t>DB손해보험</t>
        </is>
      </c>
      <c r="C5585" t="inlineStr">
        <is>
          <t>005830</t>
        </is>
      </c>
      <c r="D5585" t="inlineStr">
        <is>
          <t>별도</t>
        </is>
      </c>
      <c r="E5585" t="inlineStr">
        <is>
          <t>2023Q4</t>
        </is>
      </c>
      <c r="F5585" s="2" t="n">
        <v>4265818</v>
      </c>
      <c r="G5585" t="n">
        <v>-10.2</v>
      </c>
      <c r="H5585" t="n">
        <v>17.2</v>
      </c>
      <c r="I5585" s="2" t="n">
        <v>334764</v>
      </c>
      <c r="J5585" t="n">
        <v>-29.4</v>
      </c>
      <c r="K5585" t="n">
        <v>-49.8</v>
      </c>
      <c r="L5585" s="2" t="n">
        <v>261044</v>
      </c>
      <c r="M5585" t="n">
        <v>-49.6</v>
      </c>
      <c r="N5585" t="inlineStr">
        <is>
          <t>20240222800211</t>
        </is>
      </c>
      <c r="O5585">
        <f>HYPERLINK("https://dart.fss.or.kr/dsaf001/main.do?rcpNo=20240222800211", "공시열람")</f>
        <v/>
      </c>
    </row>
    <row r="5586">
      <c r="A5586" t="inlineStr">
        <is>
          <t>2024-02-22</t>
        </is>
      </c>
      <c r="B5586" t="inlineStr">
        <is>
          <t>한화솔루션</t>
        </is>
      </c>
      <c r="C5586" t="inlineStr">
        <is>
          <t>009830</t>
        </is>
      </c>
      <c r="D5586" t="inlineStr">
        <is>
          <t>연결</t>
        </is>
      </c>
      <c r="E5586" t="inlineStr">
        <is>
          <t>2023Q4</t>
        </is>
      </c>
      <c r="F5586" s="2" t="n">
        <v>3869708</v>
      </c>
      <c r="G5586" t="n">
        <v>32.26</v>
      </c>
      <c r="H5586" t="n">
        <v>2.29</v>
      </c>
      <c r="I5586" s="2" t="n">
        <v>40687</v>
      </c>
      <c r="J5586" t="n">
        <v>-58.62</v>
      </c>
      <c r="K5586" t="n">
        <v>-75.77</v>
      </c>
      <c r="L5586" s="2" t="n">
        <v>-330110</v>
      </c>
      <c r="M5586" t="n">
        <v>-174.69</v>
      </c>
      <c r="N5586" t="inlineStr">
        <is>
          <t>20240222800229</t>
        </is>
      </c>
      <c r="O5586">
        <f>HYPERLINK("https://dart.fss.or.kr/dsaf001/main.do?rcpNo=20240222800229", "공시열람")</f>
        <v/>
      </c>
    </row>
    <row r="5587">
      <c r="A5587" t="inlineStr">
        <is>
          <t>2024-02-22</t>
        </is>
      </c>
      <c r="B5587" t="inlineStr">
        <is>
          <t>동아쏘시오홀딩스</t>
        </is>
      </c>
      <c r="C5587" t="inlineStr">
        <is>
          <t>000640</t>
        </is>
      </c>
      <c r="D5587" t="inlineStr">
        <is>
          <t>연결</t>
        </is>
      </c>
      <c r="E5587" t="inlineStr">
        <is>
          <t>2023Q4</t>
        </is>
      </c>
      <c r="F5587" s="2" t="n">
        <v>302347</v>
      </c>
      <c r="G5587" t="n">
        <v>4.54</v>
      </c>
      <c r="H5587" t="n">
        <v>15.79</v>
      </c>
      <c r="I5587" s="2" t="n">
        <v>16009</v>
      </c>
      <c r="J5587" t="n">
        <v>-35.38</v>
      </c>
      <c r="K5587" t="n">
        <v>401.09</v>
      </c>
      <c r="L5587" s="2" t="n">
        <v>15388</v>
      </c>
      <c r="M5587" t="n">
        <v>-172.01</v>
      </c>
      <c r="N5587" t="inlineStr">
        <is>
          <t>20240222800943</t>
        </is>
      </c>
      <c r="O5587">
        <f>HYPERLINK("https://dart.fss.or.kr/dsaf001/main.do?rcpNo=20240222800943", "공시열람")</f>
        <v/>
      </c>
    </row>
    <row r="5588">
      <c r="A5588" t="inlineStr">
        <is>
          <t>2024-02-22</t>
        </is>
      </c>
      <c r="B5588" t="inlineStr">
        <is>
          <t>메리츠금융지주</t>
        </is>
      </c>
      <c r="C5588" t="inlineStr">
        <is>
          <t>138040</t>
        </is>
      </c>
      <c r="D5588" t="inlineStr">
        <is>
          <t>별도</t>
        </is>
      </c>
      <c r="E5588" t="inlineStr">
        <is>
          <t>2023Q4</t>
        </is>
      </c>
      <c r="F5588" s="2" t="n">
        <v>2731373</v>
      </c>
      <c r="G5588" t="n">
        <v>-0.4</v>
      </c>
      <c r="H5588" t="n">
        <v>21.3</v>
      </c>
      <c r="I5588" s="2" t="n">
        <v>374220</v>
      </c>
      <c r="J5588" t="n">
        <v>-41.6</v>
      </c>
      <c r="K5588" t="n">
        <v>37.6</v>
      </c>
      <c r="L5588" s="2" t="n">
        <v>278713</v>
      </c>
      <c r="M5588" t="n">
        <v>33</v>
      </c>
      <c r="N5588" t="inlineStr">
        <is>
          <t>20240222800414</t>
        </is>
      </c>
      <c r="O5588">
        <f>HYPERLINK("https://dart.fss.or.kr/dsaf001/main.do?rcpNo=20240222800414", "공시열람")</f>
        <v/>
      </c>
    </row>
    <row r="5589">
      <c r="A5589" t="inlineStr">
        <is>
          <t>2024-02-22</t>
        </is>
      </c>
      <c r="B5589" t="inlineStr">
        <is>
          <t>HL D&amp;I</t>
        </is>
      </c>
      <c r="C5589" t="inlineStr">
        <is>
          <t>014790</t>
        </is>
      </c>
      <c r="D5589" t="inlineStr">
        <is>
          <t>연결</t>
        </is>
      </c>
      <c r="E5589" t="inlineStr">
        <is>
          <t>2023Q4</t>
        </is>
      </c>
      <c r="F5589" s="2" t="inlineStr"/>
      <c r="G5589" t="inlineStr"/>
      <c r="H5589" t="inlineStr"/>
      <c r="I5589" s="2" t="inlineStr"/>
      <c r="J5589" t="inlineStr"/>
      <c r="K5589" t="inlineStr"/>
      <c r="L5589" s="2" t="inlineStr"/>
      <c r="M5589" t="inlineStr"/>
      <c r="N5589" t="inlineStr">
        <is>
          <t>20240222800707</t>
        </is>
      </c>
      <c r="O5589">
        <f>HYPERLINK("https://dart.fss.or.kr/dsaf001/main.do?rcpNo=20240222800707", "공시열람")</f>
        <v/>
      </c>
    </row>
    <row r="5590">
      <c r="A5590" t="inlineStr">
        <is>
          <t>2024-02-22</t>
        </is>
      </c>
      <c r="B5590" t="inlineStr">
        <is>
          <t>한국쉘석유</t>
        </is>
      </c>
      <c r="C5590" t="inlineStr">
        <is>
          <t>002960</t>
        </is>
      </c>
      <c r="D5590" t="inlineStr">
        <is>
          <t>별도</t>
        </is>
      </c>
      <c r="E5590" t="inlineStr">
        <is>
          <t>2023Q4</t>
        </is>
      </c>
      <c r="F5590" s="2" t="n">
        <v>79918</v>
      </c>
      <c r="G5590" t="n">
        <v>-0.3</v>
      </c>
      <c r="H5590" t="n">
        <v>-1.3</v>
      </c>
      <c r="I5590" s="2" t="n">
        <v>7225</v>
      </c>
      <c r="J5590" t="n">
        <v>-40.7</v>
      </c>
      <c r="K5590" t="n">
        <v>6.5</v>
      </c>
      <c r="L5590" s="2" t="n">
        <v>6244</v>
      </c>
      <c r="M5590" t="n">
        <v>41.2</v>
      </c>
      <c r="N5590" t="inlineStr">
        <is>
          <t>20240222800655</t>
        </is>
      </c>
      <c r="O5590">
        <f>HYPERLINK("https://dart.fss.or.kr/dsaf001/main.do?rcpNo=20240222800655", "공시열람")</f>
        <v/>
      </c>
    </row>
    <row r="5591">
      <c r="A5591" t="inlineStr">
        <is>
          <t>2024-02-22</t>
        </is>
      </c>
      <c r="B5591" t="inlineStr">
        <is>
          <t>쎄트렉아이</t>
        </is>
      </c>
      <c r="C5591" t="inlineStr">
        <is>
          <t>099320</t>
        </is>
      </c>
      <c r="D5591" t="inlineStr">
        <is>
          <t>연결</t>
        </is>
      </c>
      <c r="E5591" t="inlineStr">
        <is>
          <t>2023Q4</t>
        </is>
      </c>
      <c r="F5591" s="2" t="n">
        <v>37692</v>
      </c>
      <c r="G5591" t="inlineStr"/>
      <c r="H5591" t="inlineStr"/>
      <c r="I5591" s="2" t="n">
        <v>-994</v>
      </c>
      <c r="J5591" t="inlineStr"/>
      <c r="K5591" t="inlineStr"/>
      <c r="L5591" s="2" t="n">
        <v>40019</v>
      </c>
      <c r="M5591" t="inlineStr"/>
      <c r="N5591" t="inlineStr">
        <is>
          <t>20240222900395</t>
        </is>
      </c>
      <c r="O5591">
        <f>HYPERLINK("https://dart.fss.or.kr/dsaf001/main.do?rcpNo=20240222900395", "공시열람")</f>
        <v/>
      </c>
    </row>
    <row r="5592">
      <c r="A5592" t="inlineStr">
        <is>
          <t>2024-02-22</t>
        </is>
      </c>
      <c r="B5592" t="inlineStr">
        <is>
          <t>HD현대중공업</t>
        </is>
      </c>
      <c r="C5592" t="inlineStr">
        <is>
          <t>329180</t>
        </is>
      </c>
      <c r="D5592" t="inlineStr">
        <is>
          <t>별도</t>
        </is>
      </c>
      <c r="E5592" t="inlineStr">
        <is>
          <t>2023Q4</t>
        </is>
      </c>
      <c r="F5592" s="2" t="n">
        <v>877525</v>
      </c>
      <c r="G5592" t="n">
        <v>-33.29</v>
      </c>
      <c r="H5592" t="n">
        <v>8.35</v>
      </c>
      <c r="I5592" s="2" t="inlineStr"/>
      <c r="J5592" t="inlineStr"/>
      <c r="K5592" t="inlineStr"/>
      <c r="L5592" s="2" t="inlineStr"/>
      <c r="M5592" t="inlineStr"/>
      <c r="N5592" t="inlineStr">
        <is>
          <t>20240222800499</t>
        </is>
      </c>
      <c r="O5592">
        <f>HYPERLINK("https://dart.fss.or.kr/dsaf001/main.do?rcpNo=20240222800499", "공시열람")</f>
        <v/>
      </c>
    </row>
    <row r="5593">
      <c r="A5593" t="inlineStr">
        <is>
          <t>2024-02-22</t>
        </is>
      </c>
      <c r="B5593" t="inlineStr">
        <is>
          <t>HD한국조선해양</t>
        </is>
      </c>
      <c r="C5593" t="inlineStr">
        <is>
          <t>009540</t>
        </is>
      </c>
      <c r="D5593" t="inlineStr">
        <is>
          <t>별도</t>
        </is>
      </c>
      <c r="E5593" t="inlineStr">
        <is>
          <t>2023Q4</t>
        </is>
      </c>
      <c r="F5593" s="2" t="n">
        <v>579418</v>
      </c>
      <c r="G5593" t="n">
        <v>5.12</v>
      </c>
      <c r="H5593" t="n">
        <v>45</v>
      </c>
      <c r="I5593" s="2" t="inlineStr"/>
      <c r="J5593" t="inlineStr"/>
      <c r="K5593" t="inlineStr"/>
      <c r="L5593" s="2" t="inlineStr"/>
      <c r="M5593" t="inlineStr"/>
      <c r="N5593" t="inlineStr">
        <is>
          <t>20240222800497</t>
        </is>
      </c>
      <c r="O5593">
        <f>HYPERLINK("https://dart.fss.or.kr/dsaf001/main.do?rcpNo=20240222800497", "공시열람")</f>
        <v/>
      </c>
    </row>
    <row r="5594">
      <c r="A5594" t="inlineStr">
        <is>
          <t>2024-02-22</t>
        </is>
      </c>
      <c r="B5594" t="inlineStr">
        <is>
          <t>메리츠금융지주</t>
        </is>
      </c>
      <c r="C5594" t="inlineStr">
        <is>
          <t>138040</t>
        </is>
      </c>
      <c r="D5594" t="inlineStr">
        <is>
          <t>연결</t>
        </is>
      </c>
      <c r="E5594" t="inlineStr">
        <is>
          <t>2023Q4</t>
        </is>
      </c>
      <c r="F5594" s="2" t="n">
        <v>13279696</v>
      </c>
      <c r="G5594" t="n">
        <v>28.61</v>
      </c>
      <c r="H5594" t="n">
        <v>-21.38</v>
      </c>
      <c r="I5594" s="2" t="n">
        <v>276457</v>
      </c>
      <c r="J5594" t="n">
        <v>70.95999999999999</v>
      </c>
      <c r="K5594" t="n">
        <v>2.74</v>
      </c>
      <c r="L5594" s="2" t="n">
        <v>110984</v>
      </c>
      <c r="M5594" t="n">
        <v>-34.64</v>
      </c>
      <c r="N5594" t="inlineStr">
        <is>
          <t>20240222800424</t>
        </is>
      </c>
      <c r="O5594">
        <f>HYPERLINK("https://dart.fss.or.kr/dsaf001/main.do?rcpNo=20240222800424", "공시열람")</f>
        <v/>
      </c>
    </row>
    <row r="5595">
      <c r="A5595" t="inlineStr">
        <is>
          <t>2024-02-22</t>
        </is>
      </c>
      <c r="B5595" t="inlineStr">
        <is>
          <t>한화손해보험</t>
        </is>
      </c>
      <c r="C5595" t="inlineStr">
        <is>
          <t>000370</t>
        </is>
      </c>
      <c r="D5595" t="inlineStr">
        <is>
          <t>별도</t>
        </is>
      </c>
      <c r="E5595" t="inlineStr">
        <is>
          <t>2023Q4</t>
        </is>
      </c>
      <c r="F5595" s="2" t="n">
        <v>1313748</v>
      </c>
      <c r="G5595" t="n">
        <v>-4.3</v>
      </c>
      <c r="H5595" t="n">
        <v>13.2</v>
      </c>
      <c r="I5595" s="2" t="n">
        <v>57952</v>
      </c>
      <c r="J5595" t="n">
        <v>-15</v>
      </c>
      <c r="K5595" t="inlineStr"/>
      <c r="L5595" s="2" t="n">
        <v>36969</v>
      </c>
      <c r="M5595" t="inlineStr"/>
      <c r="N5595" t="inlineStr">
        <is>
          <t>20240222800537</t>
        </is>
      </c>
      <c r="O5595">
        <f>HYPERLINK("https://dart.fss.or.kr/dsaf001/main.do?rcpNo=20240222800537", "공시열람")</f>
        <v/>
      </c>
    </row>
    <row r="5596">
      <c r="A5596" t="inlineStr">
        <is>
          <t>2024-02-22</t>
        </is>
      </c>
      <c r="B5596" t="inlineStr">
        <is>
          <t>현대차증권</t>
        </is>
      </c>
      <c r="C5596" t="inlineStr">
        <is>
          <t>001500</t>
        </is>
      </c>
      <c r="D5596" t="inlineStr">
        <is>
          <t>연결</t>
        </is>
      </c>
      <c r="E5596" t="inlineStr">
        <is>
          <t>2023Q4</t>
        </is>
      </c>
      <c r="F5596" s="2" t="n">
        <v>447956</v>
      </c>
      <c r="G5596" t="n">
        <v>37.5</v>
      </c>
      <c r="H5596" t="n">
        <v>154.6</v>
      </c>
      <c r="I5596" s="2" t="n">
        <v>242</v>
      </c>
      <c r="J5596" t="n">
        <v>-98</v>
      </c>
      <c r="K5596" t="n">
        <v>-82.2</v>
      </c>
      <c r="L5596" s="2" t="n">
        <v>456</v>
      </c>
      <c r="M5596" t="n">
        <v>-66.8</v>
      </c>
      <c r="N5596" t="inlineStr">
        <is>
          <t>20240222800466</t>
        </is>
      </c>
      <c r="O5596">
        <f>HYPERLINK("https://dart.fss.or.kr/dsaf001/main.do?rcpNo=20240222800466", "공시열람")</f>
        <v/>
      </c>
    </row>
    <row r="5597">
      <c r="A5597" t="inlineStr">
        <is>
          <t>2024-02-22</t>
        </is>
      </c>
      <c r="B5597" t="inlineStr">
        <is>
          <t>메리츠금융지주</t>
        </is>
      </c>
      <c r="C5597" t="inlineStr">
        <is>
          <t>138040</t>
        </is>
      </c>
      <c r="D5597" t="inlineStr">
        <is>
          <t>연결</t>
        </is>
      </c>
      <c r="E5597" t="inlineStr">
        <is>
          <t>2023Q4</t>
        </is>
      </c>
      <c r="F5597" s="2" t="n">
        <v>15213950</v>
      </c>
      <c r="G5597" t="n">
        <v>19.4</v>
      </c>
      <c r="H5597" t="n">
        <v>-8.300000000000001</v>
      </c>
      <c r="I5597" s="2" t="n">
        <v>568572</v>
      </c>
      <c r="J5597" t="n">
        <v>-29.7</v>
      </c>
      <c r="K5597" t="n">
        <v>0.1</v>
      </c>
      <c r="L5597" s="2" t="n">
        <v>372855</v>
      </c>
      <c r="M5597" t="n">
        <v>-4.8</v>
      </c>
      <c r="N5597" t="inlineStr">
        <is>
          <t>20240222800428</t>
        </is>
      </c>
      <c r="O5597">
        <f>HYPERLINK("https://dart.fss.or.kr/dsaf001/main.do?rcpNo=20240222800428", "공시열람")</f>
        <v/>
      </c>
    </row>
    <row r="5598">
      <c r="A5598" t="inlineStr">
        <is>
          <t>2024-02-21</t>
        </is>
      </c>
      <c r="B5598" t="inlineStr">
        <is>
          <t>원익IPS</t>
        </is>
      </c>
      <c r="C5598" t="inlineStr">
        <is>
          <t>240810</t>
        </is>
      </c>
      <c r="D5598" t="inlineStr">
        <is>
          <t>연결</t>
        </is>
      </c>
      <c r="E5598" t="inlineStr">
        <is>
          <t>2023Q4</t>
        </is>
      </c>
      <c r="F5598" s="2" t="n">
        <v>225418</v>
      </c>
      <c r="G5598" t="inlineStr"/>
      <c r="H5598" t="inlineStr"/>
      <c r="I5598" s="2" t="n">
        <v>12050</v>
      </c>
      <c r="J5598" t="inlineStr"/>
      <c r="K5598" t="inlineStr"/>
      <c r="L5598" s="2" t="n">
        <v>-3759</v>
      </c>
      <c r="M5598" t="inlineStr"/>
      <c r="N5598" t="inlineStr">
        <is>
          <t>20240221900577</t>
        </is>
      </c>
      <c r="O5598">
        <f>HYPERLINK("https://dart.fss.or.kr/dsaf001/main.do?rcpNo=20240221900577", "공시열람")</f>
        <v/>
      </c>
    </row>
    <row r="5599">
      <c r="A5599" t="inlineStr">
        <is>
          <t>2024-02-21</t>
        </is>
      </c>
      <c r="B5599" t="inlineStr">
        <is>
          <t>한화생명</t>
        </is>
      </c>
      <c r="C5599" t="inlineStr">
        <is>
          <t>088350</t>
        </is>
      </c>
      <c r="D5599" t="inlineStr">
        <is>
          <t>별도</t>
        </is>
      </c>
      <c r="E5599" t="inlineStr">
        <is>
          <t>2023Q4</t>
        </is>
      </c>
      <c r="F5599" s="2" t="n">
        <v>3361981</v>
      </c>
      <c r="G5599" t="n">
        <v>33.44</v>
      </c>
      <c r="H5599" t="n">
        <v>319.35</v>
      </c>
      <c r="I5599" s="2" t="n">
        <v>4854</v>
      </c>
      <c r="J5599" t="inlineStr"/>
      <c r="K5599" t="inlineStr"/>
      <c r="L5599" s="2" t="n">
        <v>38369</v>
      </c>
      <c r="M5599" t="n">
        <v>446.96</v>
      </c>
      <c r="N5599" t="inlineStr">
        <is>
          <t>20240221800055</t>
        </is>
      </c>
      <c r="O5599">
        <f>HYPERLINK("https://dart.fss.or.kr/dsaf001/main.do?rcpNo=20240221800055", "공시열람")</f>
        <v/>
      </c>
    </row>
    <row r="5600">
      <c r="A5600" t="inlineStr">
        <is>
          <t>2024-02-21</t>
        </is>
      </c>
      <c r="B5600" t="inlineStr">
        <is>
          <t>한화오션</t>
        </is>
      </c>
      <c r="C5600" t="inlineStr">
        <is>
          <t>042660</t>
        </is>
      </c>
      <c r="D5600" t="inlineStr">
        <is>
          <t>연결</t>
        </is>
      </c>
      <c r="E5600" t="inlineStr">
        <is>
          <t>2023Q4</t>
        </is>
      </c>
      <c r="F5600" s="2" t="n">
        <v>2230900</v>
      </c>
      <c r="G5600" t="n">
        <v>16.4</v>
      </c>
      <c r="H5600" t="n">
        <v>53.9</v>
      </c>
      <c r="I5600" s="2" t="n">
        <v>-48800</v>
      </c>
      <c r="J5600" t="inlineStr"/>
      <c r="K5600" t="n">
        <v>88.3</v>
      </c>
      <c r="L5600" s="2" t="n">
        <v>286000</v>
      </c>
      <c r="M5600" t="inlineStr"/>
      <c r="N5600" t="inlineStr">
        <is>
          <t>20240221800176</t>
        </is>
      </c>
      <c r="O5600">
        <f>HYPERLINK("https://dart.fss.or.kr/dsaf001/main.do?rcpNo=20240221800176", "공시열람")</f>
        <v/>
      </c>
    </row>
    <row r="5601">
      <c r="A5601" t="inlineStr">
        <is>
          <t>2024-02-21</t>
        </is>
      </c>
      <c r="B5601" t="inlineStr">
        <is>
          <t>스모트로닉</t>
        </is>
      </c>
      <c r="C5601" t="inlineStr">
        <is>
          <t>066590</t>
        </is>
      </c>
      <c r="D5601" t="inlineStr">
        <is>
          <t>연결</t>
        </is>
      </c>
      <c r="E5601" t="inlineStr">
        <is>
          <t>2023Q4</t>
        </is>
      </c>
      <c r="F5601" s="2" t="n">
        <v>63942</v>
      </c>
      <c r="G5601" t="inlineStr"/>
      <c r="H5601" t="inlineStr"/>
      <c r="I5601" s="2" t="n">
        <v>2338</v>
      </c>
      <c r="J5601" t="inlineStr"/>
      <c r="K5601" t="inlineStr"/>
      <c r="L5601" s="2" t="n">
        <v>4613</v>
      </c>
      <c r="M5601" t="inlineStr"/>
      <c r="N5601" t="inlineStr">
        <is>
          <t>20240221901000</t>
        </is>
      </c>
      <c r="O5601">
        <f>HYPERLINK("https://dart.fss.or.kr/dsaf001/main.do?rcpNo=20240221901000", "공시열람")</f>
        <v/>
      </c>
    </row>
    <row r="5602">
      <c r="A5602" t="inlineStr">
        <is>
          <t>2024-02-21</t>
        </is>
      </c>
      <c r="B5602" t="inlineStr">
        <is>
          <t>롯데에너지머티리얼즈</t>
        </is>
      </c>
      <c r="C5602" t="inlineStr">
        <is>
          <t>020150</t>
        </is>
      </c>
      <c r="D5602" t="inlineStr">
        <is>
          <t>연결</t>
        </is>
      </c>
      <c r="E5602" t="inlineStr">
        <is>
          <t>2023Q4</t>
        </is>
      </c>
      <c r="F5602" s="2" t="n">
        <v>229500</v>
      </c>
      <c r="G5602" t="n">
        <v>5.5</v>
      </c>
      <c r="H5602" t="n">
        <v>34.1</v>
      </c>
      <c r="I5602" s="2" t="n">
        <v>1300</v>
      </c>
      <c r="J5602" t="n">
        <v>-56.6</v>
      </c>
      <c r="K5602" t="n">
        <v>-91.3</v>
      </c>
      <c r="L5602" s="2" t="n">
        <v>-7600</v>
      </c>
      <c r="M5602" t="inlineStr"/>
      <c r="N5602" t="inlineStr">
        <is>
          <t>20240221800630</t>
        </is>
      </c>
      <c r="O5602">
        <f>HYPERLINK("https://dart.fss.or.kr/dsaf001/main.do?rcpNo=20240221800630", "공시열람")</f>
        <v/>
      </c>
    </row>
    <row r="5603">
      <c r="A5603" t="inlineStr">
        <is>
          <t>2024-02-20</t>
        </is>
      </c>
      <c r="B5603" t="inlineStr">
        <is>
          <t>픽셀플러스</t>
        </is>
      </c>
      <c r="C5603" t="inlineStr">
        <is>
          <t>087600</t>
        </is>
      </c>
      <c r="D5603" t="inlineStr">
        <is>
          <t>별도</t>
        </is>
      </c>
      <c r="E5603" t="inlineStr">
        <is>
          <t>2023Q4</t>
        </is>
      </c>
      <c r="F5603" s="2" t="n">
        <v>11570</v>
      </c>
      <c r="G5603" t="inlineStr"/>
      <c r="H5603" t="inlineStr"/>
      <c r="I5603" s="2" t="n">
        <v>-1703</v>
      </c>
      <c r="J5603" t="inlineStr"/>
      <c r="K5603" t="inlineStr"/>
      <c r="L5603" s="2" t="n">
        <v>266</v>
      </c>
      <c r="M5603" t="inlineStr"/>
      <c r="N5603" t="inlineStr">
        <is>
          <t>20240220900762</t>
        </is>
      </c>
      <c r="O5603">
        <f>HYPERLINK("https://dart.fss.or.kr/dsaf001/main.do?rcpNo=20240220900762", "공시열람")</f>
        <v/>
      </c>
    </row>
    <row r="5604">
      <c r="A5604" t="inlineStr">
        <is>
          <t>2024-02-20</t>
        </is>
      </c>
      <c r="B5604" t="inlineStr">
        <is>
          <t>쏘카</t>
        </is>
      </c>
      <c r="C5604" t="inlineStr">
        <is>
          <t>403550</t>
        </is>
      </c>
      <c r="D5604" t="inlineStr">
        <is>
          <t>연결</t>
        </is>
      </c>
      <c r="E5604" t="inlineStr">
        <is>
          <t>2023Q4</t>
        </is>
      </c>
      <c r="F5604" s="2" t="n">
        <v>96175</v>
      </c>
      <c r="G5604" t="n">
        <v>-14.7</v>
      </c>
      <c r="H5604" t="n">
        <v>-20.8</v>
      </c>
      <c r="I5604" s="2" t="n">
        <v>-2756</v>
      </c>
      <c r="J5604" t="n">
        <v>22.5</v>
      </c>
      <c r="K5604" t="inlineStr"/>
      <c r="L5604" s="2" t="n">
        <v>-14755</v>
      </c>
      <c r="M5604" t="n">
        <v>-425.6</v>
      </c>
      <c r="N5604" t="inlineStr">
        <is>
          <t>20240220800422</t>
        </is>
      </c>
      <c r="O5604">
        <f>HYPERLINK("https://dart.fss.or.kr/dsaf001/main.do?rcpNo=20240220800422", "공시열람")</f>
        <v/>
      </c>
    </row>
    <row r="5605">
      <c r="A5605" t="inlineStr">
        <is>
          <t>2024-02-20</t>
        </is>
      </c>
      <c r="B5605" t="inlineStr">
        <is>
          <t>지역난방공사</t>
        </is>
      </c>
      <c r="C5605" t="inlineStr">
        <is>
          <t>071320</t>
        </is>
      </c>
      <c r="D5605" t="inlineStr">
        <is>
          <t>별도</t>
        </is>
      </c>
      <c r="E5605" t="inlineStr">
        <is>
          <t>2023Q4</t>
        </is>
      </c>
      <c r="F5605" s="2" t="inlineStr"/>
      <c r="G5605" t="inlineStr"/>
      <c r="H5605" t="inlineStr"/>
      <c r="I5605" s="2" t="inlineStr"/>
      <c r="J5605" t="inlineStr"/>
      <c r="K5605" t="inlineStr"/>
      <c r="L5605" s="2" t="inlineStr"/>
      <c r="M5605" t="inlineStr"/>
      <c r="N5605" t="inlineStr">
        <is>
          <t>20240220800404</t>
        </is>
      </c>
      <c r="O5605">
        <f>HYPERLINK("https://dart.fss.or.kr/dsaf001/main.do?rcpNo=20240220800404", "공시열람")</f>
        <v/>
      </c>
    </row>
    <row r="5606">
      <c r="A5606" t="inlineStr">
        <is>
          <t>2024-02-19</t>
        </is>
      </c>
      <c r="B5606" t="inlineStr">
        <is>
          <t>레이언스</t>
        </is>
      </c>
      <c r="C5606" t="inlineStr">
        <is>
          <t>228850</t>
        </is>
      </c>
      <c r="D5606" t="inlineStr">
        <is>
          <t>연결</t>
        </is>
      </c>
      <c r="E5606" t="inlineStr">
        <is>
          <t>2023Q4</t>
        </is>
      </c>
      <c r="F5606" s="2" t="n">
        <v>30510</v>
      </c>
      <c r="G5606" t="inlineStr"/>
      <c r="H5606" t="inlineStr"/>
      <c r="I5606" s="2" t="n">
        <v>2780</v>
      </c>
      <c r="J5606" t="inlineStr"/>
      <c r="K5606" t="inlineStr"/>
      <c r="L5606" s="2" t="n">
        <v>2569</v>
      </c>
      <c r="M5606" t="inlineStr"/>
      <c r="N5606" t="inlineStr">
        <is>
          <t>20240219900708</t>
        </is>
      </c>
      <c r="O5606">
        <f>HYPERLINK("https://dart.fss.or.kr/dsaf001/main.do?rcpNo=20240219900708", "공시열람")</f>
        <v/>
      </c>
    </row>
    <row r="5607">
      <c r="A5607" t="inlineStr">
        <is>
          <t>2024-02-19</t>
        </is>
      </c>
      <c r="B5607" t="inlineStr">
        <is>
          <t>바디텍메드</t>
        </is>
      </c>
      <c r="C5607" t="inlineStr">
        <is>
          <t>206640</t>
        </is>
      </c>
      <c r="D5607" t="inlineStr">
        <is>
          <t>연결</t>
        </is>
      </c>
      <c r="E5607" t="inlineStr">
        <is>
          <t>2023Q4</t>
        </is>
      </c>
      <c r="F5607" s="2" t="n">
        <v>35892</v>
      </c>
      <c r="G5607" t="inlineStr"/>
      <c r="H5607" t="inlineStr"/>
      <c r="I5607" s="2" t="n">
        <v>6903</v>
      </c>
      <c r="J5607" t="inlineStr"/>
      <c r="K5607" t="inlineStr"/>
      <c r="L5607" s="2" t="n">
        <v>6481</v>
      </c>
      <c r="M5607" t="inlineStr"/>
      <c r="N5607" t="inlineStr">
        <is>
          <t>20240219900756</t>
        </is>
      </c>
      <c r="O5607">
        <f>HYPERLINK("https://dart.fss.or.kr/dsaf001/main.do?rcpNo=20240219900756", "공시열람")</f>
        <v/>
      </c>
    </row>
    <row r="5608">
      <c r="A5608" t="inlineStr">
        <is>
          <t>2024-02-19</t>
        </is>
      </c>
      <c r="B5608" t="inlineStr">
        <is>
          <t>한진</t>
        </is>
      </c>
      <c r="C5608" t="inlineStr">
        <is>
          <t>002320</t>
        </is>
      </c>
      <c r="D5608" t="inlineStr">
        <is>
          <t>연결</t>
        </is>
      </c>
      <c r="E5608" t="inlineStr">
        <is>
          <t>2023Q4</t>
        </is>
      </c>
      <c r="F5608" s="2" t="n">
        <v>748700</v>
      </c>
      <c r="G5608" t="n">
        <v>8.199999999999999</v>
      </c>
      <c r="H5608" t="n">
        <v>3.9</v>
      </c>
      <c r="I5608" s="2" t="n">
        <v>29600</v>
      </c>
      <c r="J5608" t="n">
        <v>-12.2</v>
      </c>
      <c r="K5608" t="n">
        <v>28.7</v>
      </c>
      <c r="L5608" s="2" t="n">
        <v>6800</v>
      </c>
      <c r="M5608" t="n">
        <v>54.5</v>
      </c>
      <c r="N5608" t="inlineStr">
        <is>
          <t>20240219800913</t>
        </is>
      </c>
      <c r="O5608">
        <f>HYPERLINK("https://dart.fss.or.kr/dsaf001/main.do?rcpNo=20240219800913", "공시열람")</f>
        <v/>
      </c>
    </row>
    <row r="5609">
      <c r="A5609" t="inlineStr">
        <is>
          <t>2024-02-19</t>
        </is>
      </c>
      <c r="B5609" t="inlineStr">
        <is>
          <t>오리온</t>
        </is>
      </c>
      <c r="C5609" t="inlineStr">
        <is>
          <t>271560</t>
        </is>
      </c>
      <c r="D5609" t="inlineStr">
        <is>
          <t>연결</t>
        </is>
      </c>
      <c r="E5609" t="inlineStr">
        <is>
          <t>2023Q4</t>
        </is>
      </c>
      <c r="F5609" s="2" t="inlineStr"/>
      <c r="G5609" t="inlineStr"/>
      <c r="H5609" t="inlineStr"/>
      <c r="I5609" s="2" t="inlineStr"/>
      <c r="J5609" t="inlineStr"/>
      <c r="K5609" t="inlineStr"/>
      <c r="L5609" s="2" t="inlineStr"/>
      <c r="M5609" t="inlineStr"/>
      <c r="N5609" t="inlineStr">
        <is>
          <t>20240219800375</t>
        </is>
      </c>
      <c r="O5609">
        <f>HYPERLINK("https://dart.fss.or.kr/dsaf001/main.do?rcpNo=20240219800375", "공시열람")</f>
        <v/>
      </c>
    </row>
    <row r="5610">
      <c r="A5610" t="inlineStr">
        <is>
          <t>2024-02-16</t>
        </is>
      </c>
      <c r="B5610" t="inlineStr">
        <is>
          <t>파수AI</t>
        </is>
      </c>
      <c r="C5610" t="inlineStr">
        <is>
          <t>150900</t>
        </is>
      </c>
      <c r="D5610" t="inlineStr">
        <is>
          <t>연결</t>
        </is>
      </c>
      <c r="E5610" t="inlineStr">
        <is>
          <t>2023Q4</t>
        </is>
      </c>
      <c r="F5610" s="2" t="n">
        <v>15662</v>
      </c>
      <c r="G5610" t="inlineStr"/>
      <c r="H5610" t="inlineStr"/>
      <c r="I5610" s="2" t="n">
        <v>4613</v>
      </c>
      <c r="J5610" t="inlineStr"/>
      <c r="K5610" t="inlineStr"/>
      <c r="L5610" s="2" t="n">
        <v>4397</v>
      </c>
      <c r="M5610" t="inlineStr"/>
      <c r="N5610" t="inlineStr">
        <is>
          <t>20240216900645</t>
        </is>
      </c>
      <c r="O5610">
        <f>HYPERLINK("https://dart.fss.or.kr/dsaf001/main.do?rcpNo=20240216900645", "공시열람")</f>
        <v/>
      </c>
    </row>
    <row r="5611">
      <c r="A5611" t="inlineStr">
        <is>
          <t>2024-02-16</t>
        </is>
      </c>
      <c r="B5611" t="inlineStr">
        <is>
          <t>메가스터디교육</t>
        </is>
      </c>
      <c r="C5611" t="inlineStr">
        <is>
          <t>215200</t>
        </is>
      </c>
      <c r="D5611" t="inlineStr">
        <is>
          <t>연결</t>
        </is>
      </c>
      <c r="E5611" t="inlineStr">
        <is>
          <t>2023Q4</t>
        </is>
      </c>
      <c r="F5611" s="2" t="n">
        <v>209222</v>
      </c>
      <c r="G5611" t="inlineStr"/>
      <c r="H5611" t="inlineStr"/>
      <c r="I5611" s="2" t="n">
        <v>1507</v>
      </c>
      <c r="J5611" t="inlineStr"/>
      <c r="K5611" t="inlineStr"/>
      <c r="L5611" s="2" t="n">
        <v>491</v>
      </c>
      <c r="M5611" t="inlineStr"/>
      <c r="N5611" t="inlineStr">
        <is>
          <t>20240216900488</t>
        </is>
      </c>
      <c r="O5611">
        <f>HYPERLINK("https://dart.fss.or.kr/dsaf001/main.do?rcpNo=20240216900488", "공시열람")</f>
        <v/>
      </c>
    </row>
    <row r="5612">
      <c r="A5612" t="inlineStr">
        <is>
          <t>2024-02-16</t>
        </is>
      </c>
      <c r="B5612" t="inlineStr">
        <is>
          <t>빅텍</t>
        </is>
      </c>
      <c r="C5612" t="inlineStr">
        <is>
          <t>065450</t>
        </is>
      </c>
      <c r="D5612" t="inlineStr">
        <is>
          <t>별도</t>
        </is>
      </c>
      <c r="E5612" t="inlineStr">
        <is>
          <t>2023Q4</t>
        </is>
      </c>
      <c r="F5612" s="2" t="n">
        <v>18954</v>
      </c>
      <c r="G5612" t="inlineStr"/>
      <c r="H5612" t="inlineStr"/>
      <c r="I5612" s="2" t="n">
        <v>-988</v>
      </c>
      <c r="J5612" t="inlineStr"/>
      <c r="K5612" t="inlineStr"/>
      <c r="L5612" s="2" t="n">
        <v>-149</v>
      </c>
      <c r="M5612" t="inlineStr"/>
      <c r="N5612" t="inlineStr">
        <is>
          <t>20240216900432</t>
        </is>
      </c>
      <c r="O5612">
        <f>HYPERLINK("https://dart.fss.or.kr/dsaf001/main.do?rcpNo=20240216900432", "공시열람")</f>
        <v/>
      </c>
    </row>
    <row r="5613">
      <c r="A5613" t="inlineStr">
        <is>
          <t>2024-02-16</t>
        </is>
      </c>
      <c r="B5613" t="inlineStr">
        <is>
          <t>씨젠</t>
        </is>
      </c>
      <c r="C5613" t="inlineStr">
        <is>
          <t>096530</t>
        </is>
      </c>
      <c r="D5613" t="inlineStr">
        <is>
          <t>연결</t>
        </is>
      </c>
      <c r="E5613" t="inlineStr">
        <is>
          <t>2023Q4</t>
        </is>
      </c>
      <c r="F5613" s="2" t="n">
        <v>100511</v>
      </c>
      <c r="G5613" t="inlineStr"/>
      <c r="H5613" t="inlineStr"/>
      <c r="I5613" s="2" t="n">
        <v>3477</v>
      </c>
      <c r="J5613" t="inlineStr"/>
      <c r="K5613" t="inlineStr"/>
      <c r="L5613" s="2" t="n">
        <v>5738</v>
      </c>
      <c r="M5613" t="inlineStr"/>
      <c r="N5613" t="inlineStr">
        <is>
          <t>20240216900364</t>
        </is>
      </c>
      <c r="O5613">
        <f>HYPERLINK("https://dart.fss.or.kr/dsaf001/main.do?rcpNo=20240216900364", "공시열람")</f>
        <v/>
      </c>
    </row>
    <row r="5614">
      <c r="A5614" t="inlineStr">
        <is>
          <t>2024-02-15</t>
        </is>
      </c>
      <c r="B5614" t="inlineStr">
        <is>
          <t>코나아이</t>
        </is>
      </c>
      <c r="C5614" t="inlineStr">
        <is>
          <t>052400</t>
        </is>
      </c>
      <c r="D5614" t="inlineStr">
        <is>
          <t>연결</t>
        </is>
      </c>
      <c r="E5614" t="inlineStr">
        <is>
          <t>2023Q4</t>
        </is>
      </c>
      <c r="F5614" s="2" t="n">
        <v>65307</v>
      </c>
      <c r="G5614" t="n">
        <v>-6.7</v>
      </c>
      <c r="H5614" t="n">
        <v>10.6</v>
      </c>
      <c r="I5614" s="2" t="n">
        <v>797</v>
      </c>
      <c r="J5614" t="n">
        <v>-90.5</v>
      </c>
      <c r="K5614" t="n">
        <v>-89.90000000000001</v>
      </c>
      <c r="L5614" s="2" t="n">
        <v>3858</v>
      </c>
      <c r="M5614" t="n">
        <v>754.7</v>
      </c>
      <c r="N5614" t="inlineStr">
        <is>
          <t>20240215900771</t>
        </is>
      </c>
      <c r="O5614">
        <f>HYPERLINK("https://dart.fss.or.kr/dsaf001/main.do?rcpNo=20240215900771", "공시열람")</f>
        <v/>
      </c>
    </row>
    <row r="5615">
      <c r="A5615" t="inlineStr">
        <is>
          <t>2024-02-15</t>
        </is>
      </c>
      <c r="B5615" t="inlineStr">
        <is>
          <t>카카오</t>
        </is>
      </c>
      <c r="C5615" t="inlineStr">
        <is>
          <t>035720</t>
        </is>
      </c>
      <c r="D5615" t="inlineStr">
        <is>
          <t>별도</t>
        </is>
      </c>
      <c r="E5615" t="inlineStr">
        <is>
          <t>2023Q4</t>
        </is>
      </c>
      <c r="F5615" s="2" t="n">
        <v>704331</v>
      </c>
      <c r="G5615" t="n">
        <v>8.6</v>
      </c>
      <c r="H5615" t="inlineStr"/>
      <c r="I5615" s="2" t="n">
        <v>197143</v>
      </c>
      <c r="J5615" t="n">
        <v>53.8</v>
      </c>
      <c r="K5615" t="inlineStr"/>
      <c r="L5615" s="2" t="n">
        <v>-14959</v>
      </c>
      <c r="M5615" t="inlineStr"/>
      <c r="N5615" t="inlineStr">
        <is>
          <t>20240215800006</t>
        </is>
      </c>
      <c r="O5615">
        <f>HYPERLINK("https://dart.fss.or.kr/dsaf001/main.do?rcpNo=20240215800006", "공시열람")</f>
        <v/>
      </c>
    </row>
    <row r="5616">
      <c r="A5616" t="inlineStr">
        <is>
          <t>2024-02-15</t>
        </is>
      </c>
      <c r="B5616" t="inlineStr">
        <is>
          <t>HPSP</t>
        </is>
      </c>
      <c r="C5616" t="inlineStr">
        <is>
          <t>403870</t>
        </is>
      </c>
      <c r="D5616" t="inlineStr">
        <is>
          <t>별도</t>
        </is>
      </c>
      <c r="E5616" t="inlineStr">
        <is>
          <t>2023Q4</t>
        </is>
      </c>
      <c r="F5616" s="2" t="n">
        <v>30476</v>
      </c>
      <c r="G5616" t="inlineStr"/>
      <c r="H5616" t="inlineStr"/>
      <c r="I5616" s="2" t="n">
        <v>12111</v>
      </c>
      <c r="J5616" t="inlineStr"/>
      <c r="K5616" t="inlineStr"/>
      <c r="L5616" s="2" t="n">
        <v>6425</v>
      </c>
      <c r="M5616" t="inlineStr"/>
      <c r="N5616" t="inlineStr">
        <is>
          <t>20240215901247</t>
        </is>
      </c>
      <c r="O5616">
        <f>HYPERLINK("https://dart.fss.or.kr/dsaf001/main.do?rcpNo=20240215901247", "공시열람")</f>
        <v/>
      </c>
    </row>
    <row r="5617">
      <c r="A5617" t="inlineStr">
        <is>
          <t>2024-02-15</t>
        </is>
      </c>
      <c r="B5617" t="inlineStr">
        <is>
          <t>폰드그룹</t>
        </is>
      </c>
      <c r="C5617" t="inlineStr">
        <is>
          <t>472850</t>
        </is>
      </c>
      <c r="D5617" t="inlineStr">
        <is>
          <t>연결</t>
        </is>
      </c>
      <c r="E5617" t="inlineStr">
        <is>
          <t>2023Q4</t>
        </is>
      </c>
      <c r="F5617" s="2" t="n">
        <v>3622</v>
      </c>
      <c r="G5617" t="inlineStr"/>
      <c r="H5617" t="inlineStr"/>
      <c r="I5617" s="2" t="n">
        <v>605</v>
      </c>
      <c r="J5617" t="inlineStr"/>
      <c r="K5617" t="inlineStr"/>
      <c r="L5617" s="2" t="n">
        <v>-186</v>
      </c>
      <c r="M5617" t="inlineStr"/>
      <c r="N5617" t="inlineStr">
        <is>
          <t>20240215901194</t>
        </is>
      </c>
      <c r="O5617">
        <f>HYPERLINK("https://dart.fss.or.kr/dsaf001/main.do?rcpNo=20240215901194", "공시열람")</f>
        <v/>
      </c>
    </row>
    <row r="5618">
      <c r="A5618" t="inlineStr">
        <is>
          <t>2024-02-15</t>
        </is>
      </c>
      <c r="B5618" t="inlineStr">
        <is>
          <t>카카오</t>
        </is>
      </c>
      <c r="C5618" t="inlineStr">
        <is>
          <t>035720</t>
        </is>
      </c>
      <c r="D5618" t="inlineStr">
        <is>
          <t>연결</t>
        </is>
      </c>
      <c r="E5618" t="inlineStr">
        <is>
          <t>2023Q4</t>
        </is>
      </c>
      <c r="F5618" s="2" t="n">
        <v>2171086</v>
      </c>
      <c r="G5618" t="n">
        <v>0.8</v>
      </c>
      <c r="H5618" t="inlineStr"/>
      <c r="I5618" s="2" t="n">
        <v>189176</v>
      </c>
      <c r="J5618" t="n">
        <v>42.3</v>
      </c>
      <c r="K5618" t="inlineStr"/>
      <c r="L5618" s="2" t="n">
        <v>-1657475</v>
      </c>
      <c r="M5618" t="inlineStr"/>
      <c r="N5618" t="inlineStr">
        <is>
          <t>20240215800005</t>
        </is>
      </c>
      <c r="O5618">
        <f>HYPERLINK("https://dart.fss.or.kr/dsaf001/main.do?rcpNo=20240215800005", "공시열람")</f>
        <v/>
      </c>
    </row>
    <row r="5619">
      <c r="A5619" t="inlineStr">
        <is>
          <t>2024-02-15</t>
        </is>
      </c>
      <c r="B5619" t="inlineStr">
        <is>
          <t>컴투스홀딩스</t>
        </is>
      </c>
      <c r="C5619" t="inlineStr">
        <is>
          <t>063080</t>
        </is>
      </c>
      <c r="D5619" t="inlineStr">
        <is>
          <t>연결</t>
        </is>
      </c>
      <c r="E5619" t="inlineStr">
        <is>
          <t>2023Q4</t>
        </is>
      </c>
      <c r="F5619" s="2" t="n">
        <v>21378</v>
      </c>
      <c r="G5619" t="inlineStr"/>
      <c r="H5619" t="inlineStr"/>
      <c r="I5619" s="2" t="n">
        <v>-16454</v>
      </c>
      <c r="J5619" t="inlineStr"/>
      <c r="K5619" t="inlineStr"/>
      <c r="L5619" s="2" t="n">
        <v>-8037</v>
      </c>
      <c r="M5619" t="inlineStr"/>
      <c r="N5619" t="inlineStr">
        <is>
          <t>20240215900040</t>
        </is>
      </c>
      <c r="O5619">
        <f>HYPERLINK("https://dart.fss.or.kr/dsaf001/main.do?rcpNo=20240215900040", "공시열람")</f>
        <v/>
      </c>
    </row>
    <row r="5620">
      <c r="A5620" t="inlineStr">
        <is>
          <t>2024-02-15</t>
        </is>
      </c>
      <c r="B5620" t="inlineStr">
        <is>
          <t>컴투스</t>
        </is>
      </c>
      <c r="C5620" t="inlineStr">
        <is>
          <t>078340</t>
        </is>
      </c>
      <c r="D5620" t="inlineStr">
        <is>
          <t>연결</t>
        </is>
      </c>
      <c r="E5620" t="inlineStr">
        <is>
          <t>2023Q4</t>
        </is>
      </c>
      <c r="F5620" s="2" t="n">
        <v>164472</v>
      </c>
      <c r="G5620" t="inlineStr"/>
      <c r="H5620" t="inlineStr"/>
      <c r="I5620" s="2" t="n">
        <v>-17593</v>
      </c>
      <c r="J5620" t="inlineStr"/>
      <c r="K5620" t="inlineStr"/>
      <c r="L5620" s="2" t="n">
        <v>-43001</v>
      </c>
      <c r="M5620" t="inlineStr"/>
      <c r="N5620" t="inlineStr">
        <is>
          <t>20240215900045</t>
        </is>
      </c>
      <c r="O5620">
        <f>HYPERLINK("https://dart.fss.or.kr/dsaf001/main.do?rcpNo=20240215900045", "공시열람")</f>
        <v/>
      </c>
    </row>
    <row r="5621">
      <c r="A5621" t="inlineStr">
        <is>
          <t>2024-02-15</t>
        </is>
      </c>
      <c r="B5621" t="inlineStr">
        <is>
          <t>아시아나항공</t>
        </is>
      </c>
      <c r="C5621" t="inlineStr">
        <is>
          <t>020560</t>
        </is>
      </c>
      <c r="D5621" t="inlineStr">
        <is>
          <t>별도</t>
        </is>
      </c>
      <c r="E5621" t="inlineStr">
        <is>
          <t>2023Q4</t>
        </is>
      </c>
      <c r="F5621" s="2" t="n">
        <v>1781711</v>
      </c>
      <c r="G5621" t="n">
        <v>3.3</v>
      </c>
      <c r="H5621" t="n">
        <v>15.1</v>
      </c>
      <c r="I5621" s="2" t="n">
        <v>72530</v>
      </c>
      <c r="J5621" t="n">
        <v>-42.7</v>
      </c>
      <c r="K5621" t="n">
        <v>-37.5</v>
      </c>
      <c r="L5621" s="2" t="n">
        <v>115233</v>
      </c>
      <c r="M5621" t="n">
        <v>-74.7</v>
      </c>
      <c r="N5621" t="inlineStr">
        <is>
          <t>20240215800960</t>
        </is>
      </c>
      <c r="O5621">
        <f>HYPERLINK("https://dart.fss.or.kr/dsaf001/main.do?rcpNo=20240215800960", "공시열람")</f>
        <v/>
      </c>
    </row>
    <row r="5622">
      <c r="A5622" t="inlineStr">
        <is>
          <t>2024-02-15</t>
        </is>
      </c>
      <c r="B5622" t="inlineStr">
        <is>
          <t>핸즈코퍼레이션</t>
        </is>
      </c>
      <c r="C5622" t="inlineStr">
        <is>
          <t>143210</t>
        </is>
      </c>
      <c r="D5622" t="inlineStr">
        <is>
          <t>별도</t>
        </is>
      </c>
      <c r="E5622" t="inlineStr">
        <is>
          <t>2023Q4</t>
        </is>
      </c>
      <c r="F5622" s="2" t="n">
        <v>121276</v>
      </c>
      <c r="G5622" t="n">
        <v>-0.04</v>
      </c>
      <c r="H5622" t="n">
        <v>-4.3</v>
      </c>
      <c r="I5622" s="2" t="n">
        <v>-3803</v>
      </c>
      <c r="J5622" t="inlineStr"/>
      <c r="K5622" t="n">
        <v>76.7</v>
      </c>
      <c r="L5622" s="2" t="n">
        <v>22674</v>
      </c>
      <c r="M5622" t="inlineStr"/>
      <c r="N5622" t="inlineStr">
        <is>
          <t>20240215800761</t>
        </is>
      </c>
      <c r="O5622">
        <f>HYPERLINK("https://dart.fss.or.kr/dsaf001/main.do?rcpNo=20240215800761", "공시열람")</f>
        <v/>
      </c>
    </row>
    <row r="5623">
      <c r="A5623" t="inlineStr">
        <is>
          <t>2024-02-15</t>
        </is>
      </c>
      <c r="B5623" t="inlineStr">
        <is>
          <t>넥스틸</t>
        </is>
      </c>
      <c r="C5623" t="inlineStr">
        <is>
          <t>092790</t>
        </is>
      </c>
      <c r="D5623" t="inlineStr">
        <is>
          <t>별도</t>
        </is>
      </c>
      <c r="E5623" t="inlineStr">
        <is>
          <t>2023Q4</t>
        </is>
      </c>
      <c r="F5623" s="2" t="n">
        <v>619052</v>
      </c>
      <c r="G5623" t="n">
        <v>-7.38</v>
      </c>
      <c r="H5623" t="inlineStr"/>
      <c r="I5623" s="2" t="n">
        <v>155957</v>
      </c>
      <c r="J5623" t="n">
        <v>-14.04</v>
      </c>
      <c r="K5623" t="inlineStr"/>
      <c r="L5623" s="2" t="n">
        <v>129633</v>
      </c>
      <c r="M5623" t="inlineStr"/>
      <c r="N5623" t="inlineStr">
        <is>
          <t>20240215800665</t>
        </is>
      </c>
      <c r="O5623">
        <f>HYPERLINK("https://dart.fss.or.kr/dsaf001/main.do?rcpNo=20240215800665", "공시열람")</f>
        <v/>
      </c>
    </row>
    <row r="5624">
      <c r="A5624" t="inlineStr">
        <is>
          <t>2024-02-15</t>
        </is>
      </c>
      <c r="B5624" t="inlineStr">
        <is>
          <t>SOOP</t>
        </is>
      </c>
      <c r="C5624" t="inlineStr">
        <is>
          <t>067160</t>
        </is>
      </c>
      <c r="D5624" t="inlineStr">
        <is>
          <t>연결</t>
        </is>
      </c>
      <c r="E5624" t="inlineStr">
        <is>
          <t>2023Q4</t>
        </is>
      </c>
      <c r="F5624" s="2" t="n">
        <v>100366</v>
      </c>
      <c r="G5624" t="inlineStr"/>
      <c r="H5624" t="inlineStr"/>
      <c r="I5624" s="2" t="n">
        <v>26396</v>
      </c>
      <c r="J5624" t="inlineStr"/>
      <c r="K5624" t="inlineStr"/>
      <c r="L5624" s="2" t="n">
        <v>16085</v>
      </c>
      <c r="M5624" t="inlineStr"/>
      <c r="N5624" t="inlineStr">
        <is>
          <t>20240215900050</t>
        </is>
      </c>
      <c r="O5624">
        <f>HYPERLINK("https://dart.fss.or.kr/dsaf001/main.do?rcpNo=20240215900050", "공시열람")</f>
        <v/>
      </c>
    </row>
    <row r="5625">
      <c r="A5625" t="inlineStr">
        <is>
          <t>2024-02-15</t>
        </is>
      </c>
      <c r="B5625" t="inlineStr">
        <is>
          <t>씨앤씨인터내셔널</t>
        </is>
      </c>
      <c r="C5625" t="inlineStr">
        <is>
          <t>352480</t>
        </is>
      </c>
      <c r="D5625" t="inlineStr">
        <is>
          <t>연결</t>
        </is>
      </c>
      <c r="E5625" t="inlineStr">
        <is>
          <t>2023Q4</t>
        </is>
      </c>
      <c r="F5625" s="2" t="n">
        <v>63149</v>
      </c>
      <c r="G5625" t="inlineStr"/>
      <c r="H5625" t="inlineStr"/>
      <c r="I5625" s="2" t="n">
        <v>9061</v>
      </c>
      <c r="J5625" t="inlineStr"/>
      <c r="K5625" t="inlineStr"/>
      <c r="L5625" s="2" t="n">
        <v>9099</v>
      </c>
      <c r="M5625" t="inlineStr"/>
      <c r="N5625" t="inlineStr">
        <is>
          <t>20240215900595</t>
        </is>
      </c>
      <c r="O5625">
        <f>HYPERLINK("https://dart.fss.or.kr/dsaf001/main.do?rcpNo=20240215900595", "공시열람")</f>
        <v/>
      </c>
    </row>
    <row r="5626">
      <c r="A5626" t="inlineStr">
        <is>
          <t>2024-02-15</t>
        </is>
      </c>
      <c r="B5626" t="inlineStr">
        <is>
          <t>클리오</t>
        </is>
      </c>
      <c r="C5626" t="inlineStr">
        <is>
          <t>237880</t>
        </is>
      </c>
      <c r="D5626" t="inlineStr">
        <is>
          <t>연결</t>
        </is>
      </c>
      <c r="E5626" t="inlineStr">
        <is>
          <t>2023Q4</t>
        </is>
      </c>
      <c r="F5626" s="2" t="n">
        <v>89695</v>
      </c>
      <c r="G5626" t="inlineStr"/>
      <c r="H5626" t="inlineStr"/>
      <c r="I5626" s="2" t="n">
        <v>11588</v>
      </c>
      <c r="J5626" t="inlineStr"/>
      <c r="K5626" t="inlineStr"/>
      <c r="L5626" s="2" t="n">
        <v>6500</v>
      </c>
      <c r="M5626" t="inlineStr"/>
      <c r="N5626" t="inlineStr">
        <is>
          <t>20240215900590</t>
        </is>
      </c>
      <c r="O5626">
        <f>HYPERLINK("https://dart.fss.or.kr/dsaf001/main.do?rcpNo=20240215900590", "공시열람")</f>
        <v/>
      </c>
    </row>
    <row r="5627">
      <c r="A5627" t="inlineStr">
        <is>
          <t>2024-02-15</t>
        </is>
      </c>
      <c r="B5627" t="inlineStr">
        <is>
          <t>티비에이치글로벌</t>
        </is>
      </c>
      <c r="C5627" t="inlineStr">
        <is>
          <t>084870</t>
        </is>
      </c>
      <c r="D5627" t="inlineStr">
        <is>
          <t>연결</t>
        </is>
      </c>
      <c r="E5627" t="inlineStr">
        <is>
          <t>2023Q4</t>
        </is>
      </c>
      <c r="F5627" s="2" t="n">
        <v>56873</v>
      </c>
      <c r="G5627" t="n">
        <v>44.9</v>
      </c>
      <c r="H5627" t="n">
        <v>-9.4</v>
      </c>
      <c r="I5627" s="2" t="n">
        <v>3999</v>
      </c>
      <c r="J5627" t="inlineStr"/>
      <c r="K5627" t="n">
        <v>288.6</v>
      </c>
      <c r="L5627" s="2" t="n">
        <v>2788</v>
      </c>
      <c r="M5627" t="n">
        <v>171.4</v>
      </c>
      <c r="N5627" t="inlineStr">
        <is>
          <t>20240215800414</t>
        </is>
      </c>
      <c r="O5627">
        <f>HYPERLINK("https://dart.fss.or.kr/dsaf001/main.do?rcpNo=20240215800414", "공시열람")</f>
        <v/>
      </c>
    </row>
    <row r="5628">
      <c r="A5628" t="inlineStr">
        <is>
          <t>2024-02-15</t>
        </is>
      </c>
      <c r="B5628" t="inlineStr">
        <is>
          <t>SFA넥셀</t>
        </is>
      </c>
      <c r="C5628" t="inlineStr">
        <is>
          <t>222080</t>
        </is>
      </c>
      <c r="D5628" t="inlineStr">
        <is>
          <t>연결</t>
        </is>
      </c>
      <c r="E5628" t="inlineStr">
        <is>
          <t>2023Q4</t>
        </is>
      </c>
      <c r="F5628" s="2" t="n">
        <v>221360</v>
      </c>
      <c r="G5628" t="inlineStr"/>
      <c r="H5628" t="inlineStr"/>
      <c r="I5628" s="2" t="n">
        <v>30269</v>
      </c>
      <c r="J5628" t="inlineStr"/>
      <c r="K5628" t="inlineStr"/>
      <c r="L5628" s="2" t="n">
        <v>23335</v>
      </c>
      <c r="M5628" t="inlineStr"/>
      <c r="N5628" t="inlineStr">
        <is>
          <t>20240215900383</t>
        </is>
      </c>
      <c r="O5628">
        <f>HYPERLINK("https://dart.fss.or.kr/dsaf001/main.do?rcpNo=20240215900383", "공시열람")</f>
        <v/>
      </c>
    </row>
    <row r="5629">
      <c r="A5629" t="inlineStr">
        <is>
          <t>2024-02-15</t>
        </is>
      </c>
      <c r="B5629" t="inlineStr">
        <is>
          <t>SFA넥셀</t>
        </is>
      </c>
      <c r="C5629" t="inlineStr">
        <is>
          <t>222080</t>
        </is>
      </c>
      <c r="D5629" t="inlineStr">
        <is>
          <t>별도</t>
        </is>
      </c>
      <c r="E5629" t="inlineStr">
        <is>
          <t>2023Q4</t>
        </is>
      </c>
      <c r="F5629" s="2" t="n">
        <v>221153</v>
      </c>
      <c r="G5629" t="inlineStr"/>
      <c r="H5629" t="inlineStr"/>
      <c r="I5629" s="2" t="n">
        <v>30607</v>
      </c>
      <c r="J5629" t="inlineStr"/>
      <c r="K5629" t="inlineStr"/>
      <c r="L5629" s="2" t="n">
        <v>23440</v>
      </c>
      <c r="M5629" t="inlineStr"/>
      <c r="N5629" t="inlineStr">
        <is>
          <t>20240215900381</t>
        </is>
      </c>
      <c r="O5629">
        <f>HYPERLINK("https://dart.fss.or.kr/dsaf001/main.do?rcpNo=20240215900381", "공시열람")</f>
        <v/>
      </c>
    </row>
    <row r="5630">
      <c r="A5630" t="inlineStr">
        <is>
          <t>2024-02-15</t>
        </is>
      </c>
      <c r="B5630" t="inlineStr">
        <is>
          <t>파라다이스</t>
        </is>
      </c>
      <c r="C5630" t="inlineStr">
        <is>
          <t>034230</t>
        </is>
      </c>
      <c r="D5630" t="inlineStr">
        <is>
          <t>연결</t>
        </is>
      </c>
      <c r="E5630" t="inlineStr">
        <is>
          <t>2023Q4</t>
        </is>
      </c>
      <c r="F5630" s="2" t="n">
        <v>241813</v>
      </c>
      <c r="G5630" t="inlineStr"/>
      <c r="H5630" t="inlineStr"/>
      <c r="I5630" s="2" t="n">
        <v>14728</v>
      </c>
      <c r="J5630" t="inlineStr"/>
      <c r="K5630" t="inlineStr"/>
      <c r="L5630" s="2" t="n">
        <v>-5702</v>
      </c>
      <c r="M5630" t="inlineStr"/>
      <c r="N5630" t="inlineStr">
        <is>
          <t>20240215900352</t>
        </is>
      </c>
      <c r="O5630">
        <f>HYPERLINK("https://dart.fss.or.kr/dsaf001/main.do?rcpNo=20240215900352", "공시열람")</f>
        <v/>
      </c>
    </row>
    <row r="5631">
      <c r="A5631" t="inlineStr">
        <is>
          <t>2024-02-15</t>
        </is>
      </c>
      <c r="B5631" t="inlineStr">
        <is>
          <t>제이에스코퍼레이션</t>
        </is>
      </c>
      <c r="C5631" t="inlineStr">
        <is>
          <t>194370</t>
        </is>
      </c>
      <c r="D5631" t="inlineStr">
        <is>
          <t>연결</t>
        </is>
      </c>
      <c r="E5631" t="inlineStr">
        <is>
          <t>2023Q4</t>
        </is>
      </c>
      <c r="F5631" s="2" t="n">
        <v>219339</v>
      </c>
      <c r="G5631" t="n">
        <v>-18.3</v>
      </c>
      <c r="H5631" t="n">
        <v>20.47</v>
      </c>
      <c r="I5631" s="2" t="n">
        <v>23074</v>
      </c>
      <c r="J5631" t="n">
        <v>-28.62</v>
      </c>
      <c r="K5631" t="n">
        <v>25.32</v>
      </c>
      <c r="L5631" s="2" t="n">
        <v>22889</v>
      </c>
      <c r="M5631" t="n">
        <v>335.91</v>
      </c>
      <c r="N5631" t="inlineStr">
        <is>
          <t>20240215800368</t>
        </is>
      </c>
      <c r="O5631">
        <f>HYPERLINK("https://dart.fss.or.kr/dsaf001/main.do?rcpNo=20240215800368", "공시열람")</f>
        <v/>
      </c>
    </row>
    <row r="5632">
      <c r="A5632" t="inlineStr">
        <is>
          <t>2024-02-15</t>
        </is>
      </c>
      <c r="B5632" t="inlineStr">
        <is>
          <t>펄어비스</t>
        </is>
      </c>
      <c r="C5632" t="inlineStr">
        <is>
          <t>263750</t>
        </is>
      </c>
      <c r="D5632" t="inlineStr">
        <is>
          <t>연결</t>
        </is>
      </c>
      <c r="E5632" t="inlineStr">
        <is>
          <t>2023Q4</t>
        </is>
      </c>
      <c r="F5632" s="2" t="n">
        <v>84445</v>
      </c>
      <c r="G5632" t="inlineStr"/>
      <c r="H5632" t="inlineStr"/>
      <c r="I5632" s="2" t="n">
        <v>-5474</v>
      </c>
      <c r="J5632" t="inlineStr"/>
      <c r="K5632" t="inlineStr"/>
      <c r="L5632" s="2" t="n">
        <v>-4418</v>
      </c>
      <c r="M5632" t="inlineStr"/>
      <c r="N5632" t="inlineStr">
        <is>
          <t>20240215900001</t>
        </is>
      </c>
      <c r="O5632">
        <f>HYPERLINK("https://dart.fss.or.kr/dsaf001/main.do?rcpNo=20240215900001", "공시열람")</f>
        <v/>
      </c>
    </row>
    <row r="5633">
      <c r="A5633" t="inlineStr">
        <is>
          <t>2024-02-15</t>
        </is>
      </c>
      <c r="B5633" t="inlineStr">
        <is>
          <t>동아에스티</t>
        </is>
      </c>
      <c r="C5633" t="inlineStr">
        <is>
          <t>170900</t>
        </is>
      </c>
      <c r="D5633" t="inlineStr">
        <is>
          <t>별도</t>
        </is>
      </c>
      <c r="E5633" t="inlineStr">
        <is>
          <t>2023Q4</t>
        </is>
      </c>
      <c r="F5633" s="2" t="n">
        <v>165703</v>
      </c>
      <c r="G5633" t="n">
        <v>10.3</v>
      </c>
      <c r="H5633" t="n">
        <v>1.1</v>
      </c>
      <c r="I5633" s="2" t="n">
        <v>7252</v>
      </c>
      <c r="J5633" t="n">
        <v>-44.5</v>
      </c>
      <c r="K5633" t="n">
        <v>74.8</v>
      </c>
      <c r="L5633" s="2" t="n">
        <v>-4667</v>
      </c>
      <c r="M5633" t="n">
        <v>73.40000000000001</v>
      </c>
      <c r="N5633" t="inlineStr">
        <is>
          <t>20240215800083</t>
        </is>
      </c>
      <c r="O5633">
        <f>HYPERLINK("https://dart.fss.or.kr/dsaf001/main.do?rcpNo=20240215800083", "공시열람")</f>
        <v/>
      </c>
    </row>
    <row r="5634">
      <c r="A5634" t="inlineStr">
        <is>
          <t>2024-02-15</t>
        </is>
      </c>
      <c r="B5634" t="inlineStr">
        <is>
          <t>리파인</t>
        </is>
      </c>
      <c r="C5634" t="inlineStr">
        <is>
          <t>377450</t>
        </is>
      </c>
      <c r="D5634" t="inlineStr">
        <is>
          <t>별도</t>
        </is>
      </c>
      <c r="E5634" t="inlineStr">
        <is>
          <t>2023Q4</t>
        </is>
      </c>
      <c r="F5634" s="2" t="n">
        <v>18292</v>
      </c>
      <c r="G5634" t="inlineStr"/>
      <c r="H5634" t="inlineStr"/>
      <c r="I5634" s="2" t="n">
        <v>6020</v>
      </c>
      <c r="J5634" t="inlineStr"/>
      <c r="K5634" t="inlineStr"/>
      <c r="L5634" s="2" t="n">
        <v>5243</v>
      </c>
      <c r="M5634" t="inlineStr"/>
      <c r="N5634" t="inlineStr">
        <is>
          <t>20240215900150</t>
        </is>
      </c>
      <c r="O5634">
        <f>HYPERLINK("https://dart.fss.or.kr/dsaf001/main.do?rcpNo=20240215900150", "공시열람")</f>
        <v/>
      </c>
    </row>
    <row r="5635">
      <c r="A5635" t="inlineStr">
        <is>
          <t>2024-02-15</t>
        </is>
      </c>
      <c r="B5635" t="inlineStr">
        <is>
          <t>서울반도체</t>
        </is>
      </c>
      <c r="C5635" t="inlineStr">
        <is>
          <t>046890</t>
        </is>
      </c>
      <c r="D5635" t="inlineStr">
        <is>
          <t>연결</t>
        </is>
      </c>
      <c r="E5635" t="inlineStr">
        <is>
          <t>2023Q4</t>
        </is>
      </c>
      <c r="F5635" s="2" t="n">
        <v>271941</v>
      </c>
      <c r="G5635" t="inlineStr"/>
      <c r="H5635" t="inlineStr"/>
      <c r="I5635" s="2" t="n">
        <v>-18147</v>
      </c>
      <c r="J5635" t="inlineStr"/>
      <c r="K5635" t="inlineStr"/>
      <c r="L5635" s="2" t="n">
        <v>-24682</v>
      </c>
      <c r="M5635" t="inlineStr"/>
      <c r="N5635" t="inlineStr">
        <is>
          <t>20240215900652</t>
        </is>
      </c>
      <c r="O5635">
        <f>HYPERLINK("https://dart.fss.or.kr/dsaf001/main.do?rcpNo=20240215900652", "공시열람")</f>
        <v/>
      </c>
    </row>
    <row r="5636">
      <c r="A5636" t="inlineStr">
        <is>
          <t>2024-02-14</t>
        </is>
      </c>
      <c r="B5636" t="inlineStr">
        <is>
          <t>더블유게임즈</t>
        </is>
      </c>
      <c r="C5636" t="inlineStr">
        <is>
          <t>192080</t>
        </is>
      </c>
      <c r="D5636" t="inlineStr">
        <is>
          <t>연결</t>
        </is>
      </c>
      <c r="E5636" t="inlineStr">
        <is>
          <t>2023Q4</t>
        </is>
      </c>
      <c r="F5636" s="2" t="n">
        <v>153476</v>
      </c>
      <c r="G5636" t="n">
        <v>9.9</v>
      </c>
      <c r="H5636" t="n">
        <v>-2.7</v>
      </c>
      <c r="I5636" s="2" t="n">
        <v>62840</v>
      </c>
      <c r="J5636" t="n">
        <v>16.1</v>
      </c>
      <c r="K5636" t="n">
        <v>21.9</v>
      </c>
      <c r="L5636" s="2" t="n">
        <v>46672</v>
      </c>
      <c r="M5636" t="inlineStr"/>
      <c r="N5636" t="inlineStr">
        <is>
          <t>20240214800022</t>
        </is>
      </c>
      <c r="O5636">
        <f>HYPERLINK("https://dart.fss.or.kr/dsaf001/main.do?rcpNo=20240214800022", "공시열람")</f>
        <v/>
      </c>
    </row>
    <row r="5637">
      <c r="A5637" t="inlineStr">
        <is>
          <t>2024-02-14</t>
        </is>
      </c>
      <c r="B5637" t="inlineStr">
        <is>
          <t>휴맥스홀딩스</t>
        </is>
      </c>
      <c r="C5637" t="inlineStr">
        <is>
          <t>028080</t>
        </is>
      </c>
      <c r="D5637" t="inlineStr">
        <is>
          <t>연결</t>
        </is>
      </c>
      <c r="E5637" t="inlineStr">
        <is>
          <t>2023Q4</t>
        </is>
      </c>
      <c r="F5637" s="2" t="n">
        <v>659925</v>
      </c>
      <c r="G5637" t="inlineStr"/>
      <c r="H5637" t="inlineStr"/>
      <c r="I5637" s="2" t="n">
        <v>11821</v>
      </c>
      <c r="J5637" t="inlineStr"/>
      <c r="K5637" t="inlineStr"/>
      <c r="L5637" s="2" t="n">
        <v>-71986</v>
      </c>
      <c r="M5637" t="inlineStr"/>
      <c r="N5637" t="inlineStr">
        <is>
          <t>20240214900999</t>
        </is>
      </c>
      <c r="O5637">
        <f>HYPERLINK("https://dart.fss.or.kr/dsaf001/main.do?rcpNo=20240214900999", "공시열람")</f>
        <v/>
      </c>
    </row>
    <row r="5638">
      <c r="A5638" t="inlineStr">
        <is>
          <t>2024-02-14</t>
        </is>
      </c>
      <c r="B5638" t="inlineStr">
        <is>
          <t>우진아이엔에스</t>
        </is>
      </c>
      <c r="C5638" t="inlineStr">
        <is>
          <t>010400</t>
        </is>
      </c>
      <c r="D5638" t="inlineStr">
        <is>
          <t>연결</t>
        </is>
      </c>
      <c r="E5638" t="inlineStr">
        <is>
          <t>2023Q4</t>
        </is>
      </c>
      <c r="F5638" s="2" t="n">
        <v>28222</v>
      </c>
      <c r="G5638" t="n">
        <v>1.2</v>
      </c>
      <c r="H5638" t="n">
        <v>21.63</v>
      </c>
      <c r="I5638" s="2" t="n">
        <v>1132</v>
      </c>
      <c r="J5638" t="inlineStr"/>
      <c r="K5638" t="inlineStr"/>
      <c r="L5638" s="2" t="n">
        <v>1761</v>
      </c>
      <c r="M5638" t="inlineStr"/>
      <c r="N5638" t="inlineStr">
        <is>
          <t>20240214800612</t>
        </is>
      </c>
      <c r="O5638">
        <f>HYPERLINK("https://dart.fss.or.kr/dsaf001/main.do?rcpNo=20240214800612", "공시열람")</f>
        <v/>
      </c>
    </row>
    <row r="5639">
      <c r="A5639" t="inlineStr">
        <is>
          <t>2024-02-14</t>
        </is>
      </c>
      <c r="B5639" t="inlineStr">
        <is>
          <t>동원산업</t>
        </is>
      </c>
      <c r="C5639" t="inlineStr">
        <is>
          <t>006040</t>
        </is>
      </c>
      <c r="D5639" t="inlineStr">
        <is>
          <t>별도</t>
        </is>
      </c>
      <c r="E5639" t="inlineStr">
        <is>
          <t>2023Q4</t>
        </is>
      </c>
      <c r="F5639" s="2" t="n">
        <v>269181</v>
      </c>
      <c r="G5639" t="n">
        <v>6.6</v>
      </c>
      <c r="H5639" t="n">
        <v>5.9</v>
      </c>
      <c r="I5639" s="2" t="n">
        <v>3189</v>
      </c>
      <c r="J5639" t="n">
        <v>-66.8</v>
      </c>
      <c r="K5639" t="n">
        <v>-75.7</v>
      </c>
      <c r="L5639" s="2" t="n">
        <v>-753</v>
      </c>
      <c r="M5639" t="n">
        <v>91.40000000000001</v>
      </c>
      <c r="N5639" t="inlineStr">
        <is>
          <t>20240214800638</t>
        </is>
      </c>
      <c r="O5639">
        <f>HYPERLINK("https://dart.fss.or.kr/dsaf001/main.do?rcpNo=20240214800638", "공시열람")</f>
        <v/>
      </c>
    </row>
    <row r="5640">
      <c r="A5640" t="inlineStr">
        <is>
          <t>2024-02-14</t>
        </is>
      </c>
      <c r="B5640" t="inlineStr">
        <is>
          <t>RFHIC</t>
        </is>
      </c>
      <c r="C5640" t="inlineStr">
        <is>
          <t>218410</t>
        </is>
      </c>
      <c r="D5640" t="inlineStr">
        <is>
          <t>연결</t>
        </is>
      </c>
      <c r="E5640" t="inlineStr">
        <is>
          <t>2023Q4</t>
        </is>
      </c>
      <c r="F5640" s="2" t="n">
        <v>36335</v>
      </c>
      <c r="G5640" t="inlineStr"/>
      <c r="H5640" t="inlineStr"/>
      <c r="I5640" s="2" t="n">
        <v>8387</v>
      </c>
      <c r="J5640" t="inlineStr"/>
      <c r="K5640" t="inlineStr"/>
      <c r="L5640" s="2" t="n">
        <v>18505</v>
      </c>
      <c r="M5640" t="inlineStr"/>
      <c r="N5640" t="inlineStr">
        <is>
          <t>20240214900747</t>
        </is>
      </c>
      <c r="O5640">
        <f>HYPERLINK("https://dart.fss.or.kr/dsaf001/main.do?rcpNo=20240214900747", "공시열람")</f>
        <v/>
      </c>
    </row>
    <row r="5641">
      <c r="A5641" t="inlineStr">
        <is>
          <t>2024-02-14</t>
        </is>
      </c>
      <c r="B5641" t="inlineStr">
        <is>
          <t>휴젤</t>
        </is>
      </c>
      <c r="C5641" t="inlineStr">
        <is>
          <t>145020</t>
        </is>
      </c>
      <c r="D5641" t="inlineStr">
        <is>
          <t>연결</t>
        </is>
      </c>
      <c r="E5641" t="inlineStr">
        <is>
          <t>2022Q4</t>
        </is>
      </c>
      <c r="F5641" s="2" t="n">
        <v>88944</v>
      </c>
      <c r="G5641" t="inlineStr"/>
      <c r="H5641" t="inlineStr"/>
      <c r="I5641" s="2" t="n">
        <v>36789</v>
      </c>
      <c r="J5641" t="inlineStr"/>
      <c r="K5641" t="inlineStr"/>
      <c r="L5641" s="2" t="n">
        <v>17133</v>
      </c>
      <c r="M5641" t="inlineStr"/>
      <c r="N5641" t="inlineStr">
        <is>
          <t>20240214900752</t>
        </is>
      </c>
      <c r="O5641">
        <f>HYPERLINK("https://dart.fss.or.kr/dsaf001/main.do?rcpNo=20240214900752", "공시열람")</f>
        <v/>
      </c>
    </row>
    <row r="5642">
      <c r="A5642" t="inlineStr">
        <is>
          <t>2024-02-14</t>
        </is>
      </c>
      <c r="B5642" t="inlineStr">
        <is>
          <t>서울바이오시스</t>
        </is>
      </c>
      <c r="C5642" t="inlineStr">
        <is>
          <t>092190</t>
        </is>
      </c>
      <c r="D5642" t="inlineStr">
        <is>
          <t>연결</t>
        </is>
      </c>
      <c r="E5642" t="inlineStr">
        <is>
          <t>2023Q4</t>
        </is>
      </c>
      <c r="F5642" s="2" t="n">
        <v>146404</v>
      </c>
      <c r="G5642" t="inlineStr"/>
      <c r="H5642" t="inlineStr"/>
      <c r="I5642" s="2" t="n">
        <v>-19313</v>
      </c>
      <c r="J5642" t="inlineStr"/>
      <c r="K5642" t="inlineStr"/>
      <c r="L5642" s="2" t="n">
        <v>-20059</v>
      </c>
      <c r="M5642" t="inlineStr"/>
      <c r="N5642" t="inlineStr">
        <is>
          <t>20240214900834</t>
        </is>
      </c>
      <c r="O5642">
        <f>HYPERLINK("https://dart.fss.or.kr/dsaf001/main.do?rcpNo=20240214900834", "공시열람")</f>
        <v/>
      </c>
    </row>
    <row r="5643">
      <c r="A5643" t="inlineStr">
        <is>
          <t>2024-02-14</t>
        </is>
      </c>
      <c r="B5643" t="inlineStr">
        <is>
          <t>휴맥스</t>
        </is>
      </c>
      <c r="C5643" t="inlineStr">
        <is>
          <t>115160</t>
        </is>
      </c>
      <c r="D5643" t="inlineStr">
        <is>
          <t>연결</t>
        </is>
      </c>
      <c r="E5643" t="inlineStr">
        <is>
          <t>2023Q4</t>
        </is>
      </c>
      <c r="F5643" s="2" t="n">
        <v>652634</v>
      </c>
      <c r="G5643" t="inlineStr"/>
      <c r="H5643" t="inlineStr"/>
      <c r="I5643" s="2" t="n">
        <v>11145</v>
      </c>
      <c r="J5643" t="inlineStr"/>
      <c r="K5643" t="inlineStr"/>
      <c r="L5643" s="2" t="n">
        <v>-67488</v>
      </c>
      <c r="M5643" t="inlineStr"/>
      <c r="N5643" t="inlineStr">
        <is>
          <t>20240214900901</t>
        </is>
      </c>
      <c r="O5643">
        <f>HYPERLINK("https://dart.fss.or.kr/dsaf001/main.do?rcpNo=20240214900901", "공시열람")</f>
        <v/>
      </c>
    </row>
    <row r="5644">
      <c r="A5644" t="inlineStr">
        <is>
          <t>2024-02-14</t>
        </is>
      </c>
      <c r="B5644" t="inlineStr">
        <is>
          <t>SFA반도체</t>
        </is>
      </c>
      <c r="C5644" t="inlineStr">
        <is>
          <t>036540</t>
        </is>
      </c>
      <c r="D5644" t="inlineStr">
        <is>
          <t>연결</t>
        </is>
      </c>
      <c r="E5644" t="inlineStr">
        <is>
          <t>2023Q4</t>
        </is>
      </c>
      <c r="F5644" s="2" t="n">
        <v>96910</v>
      </c>
      <c r="G5644" t="inlineStr"/>
      <c r="H5644" t="inlineStr"/>
      <c r="I5644" s="2" t="n">
        <v>-5731</v>
      </c>
      <c r="J5644" t="inlineStr"/>
      <c r="K5644" t="inlineStr"/>
      <c r="L5644" s="2" t="n">
        <v>-6053</v>
      </c>
      <c r="M5644" t="inlineStr"/>
      <c r="N5644" t="inlineStr">
        <is>
          <t>20240214900924</t>
        </is>
      </c>
      <c r="O5644">
        <f>HYPERLINK("https://dart.fss.or.kr/dsaf001/main.do?rcpNo=20240214900924", "공시열람")</f>
        <v/>
      </c>
    </row>
    <row r="5645">
      <c r="A5645" t="inlineStr">
        <is>
          <t>2024-02-14</t>
        </is>
      </c>
      <c r="B5645" t="inlineStr">
        <is>
          <t>SFA반도체</t>
        </is>
      </c>
      <c r="C5645" t="inlineStr">
        <is>
          <t>036540</t>
        </is>
      </c>
      <c r="D5645" t="inlineStr">
        <is>
          <t>별도</t>
        </is>
      </c>
      <c r="E5645" t="inlineStr">
        <is>
          <t>2023Q4</t>
        </is>
      </c>
      <c r="F5645" s="2" t="n">
        <v>93416</v>
      </c>
      <c r="G5645" t="inlineStr"/>
      <c r="H5645" t="inlineStr"/>
      <c r="I5645" s="2" t="n">
        <v>917</v>
      </c>
      <c r="J5645" t="inlineStr"/>
      <c r="K5645" t="inlineStr"/>
      <c r="L5645" s="2" t="n">
        <v>1289</v>
      </c>
      <c r="M5645" t="inlineStr"/>
      <c r="N5645" t="inlineStr">
        <is>
          <t>20240214900927</t>
        </is>
      </c>
      <c r="O5645">
        <f>HYPERLINK("https://dart.fss.or.kr/dsaf001/main.do?rcpNo=20240214900927", "공시열람")</f>
        <v/>
      </c>
    </row>
    <row r="5646">
      <c r="A5646" t="inlineStr">
        <is>
          <t>2024-02-14</t>
        </is>
      </c>
      <c r="B5646" t="inlineStr">
        <is>
          <t>LS</t>
        </is>
      </c>
      <c r="C5646" t="inlineStr">
        <is>
          <t>006260</t>
        </is>
      </c>
      <c r="D5646" t="inlineStr">
        <is>
          <t>연결</t>
        </is>
      </c>
      <c r="E5646" t="inlineStr">
        <is>
          <t>2023Q4</t>
        </is>
      </c>
      <c r="F5646" s="2" t="n">
        <v>5852400</v>
      </c>
      <c r="G5646" t="n">
        <v>-2.7</v>
      </c>
      <c r="H5646" t="n">
        <v>0.9</v>
      </c>
      <c r="I5646" s="2" t="n">
        <v>153700</v>
      </c>
      <c r="J5646" t="n">
        <v>-32.1</v>
      </c>
      <c r="K5646" t="n">
        <v>19.7</v>
      </c>
      <c r="L5646" s="2" t="n">
        <v>238200</v>
      </c>
      <c r="M5646" t="n">
        <v>88.09999999999999</v>
      </c>
      <c r="N5646" t="inlineStr">
        <is>
          <t>20240214800967</t>
        </is>
      </c>
      <c r="O5646">
        <f>HYPERLINK("https://dart.fss.or.kr/dsaf001/main.do?rcpNo=20240214800967", "공시열람")</f>
        <v/>
      </c>
    </row>
    <row r="5647">
      <c r="A5647" t="inlineStr">
        <is>
          <t>2024-02-14</t>
        </is>
      </c>
      <c r="B5647" t="inlineStr">
        <is>
          <t>KTcs</t>
        </is>
      </c>
      <c r="C5647" t="inlineStr">
        <is>
          <t>058850</t>
        </is>
      </c>
      <c r="D5647" t="inlineStr">
        <is>
          <t>연결</t>
        </is>
      </c>
      <c r="E5647" t="inlineStr">
        <is>
          <t>2023Q4</t>
        </is>
      </c>
      <c r="F5647" s="2" t="n">
        <v>294934</v>
      </c>
      <c r="G5647" t="inlineStr"/>
      <c r="H5647" t="inlineStr"/>
      <c r="I5647" s="2" t="n">
        <v>1142</v>
      </c>
      <c r="J5647" t="inlineStr"/>
      <c r="K5647" t="inlineStr"/>
      <c r="L5647" s="2" t="n">
        <v>1334</v>
      </c>
      <c r="M5647" t="inlineStr"/>
      <c r="N5647" t="inlineStr">
        <is>
          <t>20240214800961</t>
        </is>
      </c>
      <c r="O5647">
        <f>HYPERLINK("https://dart.fss.or.kr/dsaf001/main.do?rcpNo=20240214800961", "공시열람")</f>
        <v/>
      </c>
    </row>
    <row r="5648">
      <c r="A5648" t="inlineStr">
        <is>
          <t>2024-02-14</t>
        </is>
      </c>
      <c r="B5648" t="inlineStr">
        <is>
          <t>KTcs</t>
        </is>
      </c>
      <c r="C5648" t="inlineStr">
        <is>
          <t>058850</t>
        </is>
      </c>
      <c r="D5648" t="inlineStr">
        <is>
          <t>별도</t>
        </is>
      </c>
      <c r="E5648" t="inlineStr">
        <is>
          <t>2023Q4</t>
        </is>
      </c>
      <c r="F5648" s="2" t="n">
        <v>166011</v>
      </c>
      <c r="G5648" t="inlineStr"/>
      <c r="H5648" t="inlineStr"/>
      <c r="I5648" s="2" t="n">
        <v>-294</v>
      </c>
      <c r="J5648" t="inlineStr"/>
      <c r="K5648" t="inlineStr"/>
      <c r="L5648" s="2" t="n">
        <v>209</v>
      </c>
      <c r="M5648" t="inlineStr"/>
      <c r="N5648" t="inlineStr">
        <is>
          <t>20240214800964</t>
        </is>
      </c>
      <c r="O5648">
        <f>HYPERLINK("https://dart.fss.or.kr/dsaf001/main.do?rcpNo=20240214800964", "공시열람")</f>
        <v/>
      </c>
    </row>
    <row r="5649">
      <c r="A5649" t="inlineStr">
        <is>
          <t>2024-02-14</t>
        </is>
      </c>
      <c r="B5649" t="inlineStr">
        <is>
          <t>금호타이어</t>
        </is>
      </c>
      <c r="C5649" t="inlineStr">
        <is>
          <t>073240</t>
        </is>
      </c>
      <c r="D5649" t="inlineStr">
        <is>
          <t>연결</t>
        </is>
      </c>
      <c r="E5649" t="inlineStr">
        <is>
          <t>2023Q4</t>
        </is>
      </c>
      <c r="F5649" s="2" t="n">
        <v>1060876</v>
      </c>
      <c r="G5649" t="n">
        <v>8.5</v>
      </c>
      <c r="H5649" t="n">
        <v>11.8</v>
      </c>
      <c r="I5649" s="2" t="n">
        <v>172139</v>
      </c>
      <c r="J5649" t="n">
        <v>78.90000000000001</v>
      </c>
      <c r="K5649" t="n">
        <v>833.6</v>
      </c>
      <c r="L5649" s="2" t="n">
        <v>90268</v>
      </c>
      <c r="M5649" t="inlineStr"/>
      <c r="N5649" t="inlineStr">
        <is>
          <t>20240214801011</t>
        </is>
      </c>
      <c r="O5649">
        <f>HYPERLINK("https://dart.fss.or.kr/dsaf001/main.do?rcpNo=20240214801011", "공시열람")</f>
        <v/>
      </c>
    </row>
    <row r="5650">
      <c r="A5650" t="inlineStr">
        <is>
          <t>2024-02-14</t>
        </is>
      </c>
      <c r="B5650" t="inlineStr">
        <is>
          <t>동원산업</t>
        </is>
      </c>
      <c r="C5650" t="inlineStr">
        <is>
          <t>006040</t>
        </is>
      </c>
      <c r="D5650" t="inlineStr">
        <is>
          <t>연결</t>
        </is>
      </c>
      <c r="E5650" t="inlineStr">
        <is>
          <t>2023Q4</t>
        </is>
      </c>
      <c r="F5650" s="2" t="n">
        <v>2102090</v>
      </c>
      <c r="G5650" t="n">
        <v>-11.8</v>
      </c>
      <c r="H5650" t="n">
        <v>-9.300000000000001</v>
      </c>
      <c r="I5650" s="2" t="n">
        <v>90448</v>
      </c>
      <c r="J5650" t="n">
        <v>-41.4</v>
      </c>
      <c r="K5650" t="n">
        <v>6</v>
      </c>
      <c r="L5650" s="2" t="n">
        <v>42501</v>
      </c>
      <c r="M5650" t="n">
        <v>307.7</v>
      </c>
      <c r="N5650" t="inlineStr">
        <is>
          <t>20240214800589</t>
        </is>
      </c>
      <c r="O5650">
        <f>HYPERLINK("https://dart.fss.or.kr/dsaf001/main.do?rcpNo=20240214800589", "공시열람")</f>
        <v/>
      </c>
    </row>
    <row r="5651">
      <c r="A5651" t="inlineStr">
        <is>
          <t>2024-02-14</t>
        </is>
      </c>
      <c r="B5651" t="inlineStr">
        <is>
          <t>GKL</t>
        </is>
      </c>
      <c r="C5651" t="inlineStr">
        <is>
          <t>114090</t>
        </is>
      </c>
      <c r="D5651" t="inlineStr">
        <is>
          <t>연결</t>
        </is>
      </c>
      <c r="E5651" t="inlineStr">
        <is>
          <t>2023Q4</t>
        </is>
      </c>
      <c r="F5651" s="2" t="n">
        <v>90704</v>
      </c>
      <c r="G5651" t="inlineStr"/>
      <c r="H5651" t="inlineStr"/>
      <c r="I5651" s="2" t="n">
        <v>-943</v>
      </c>
      <c r="J5651" t="inlineStr"/>
      <c r="K5651" t="inlineStr"/>
      <c r="L5651" s="2" t="n">
        <v>1707</v>
      </c>
      <c r="M5651" t="inlineStr"/>
      <c r="N5651" t="inlineStr">
        <is>
          <t>20240214800982</t>
        </is>
      </c>
      <c r="O5651">
        <f>HYPERLINK("https://dart.fss.or.kr/dsaf001/main.do?rcpNo=20240214800982", "공시열람")</f>
        <v/>
      </c>
    </row>
    <row r="5652">
      <c r="A5652" t="inlineStr">
        <is>
          <t>2024-02-14</t>
        </is>
      </c>
      <c r="B5652" t="inlineStr">
        <is>
          <t>KT지니뮤직</t>
        </is>
      </c>
      <c r="C5652" t="inlineStr">
        <is>
          <t>043610</t>
        </is>
      </c>
      <c r="D5652" t="inlineStr">
        <is>
          <t>연결</t>
        </is>
      </c>
      <c r="E5652" t="inlineStr">
        <is>
          <t>2023Q4</t>
        </is>
      </c>
      <c r="F5652" s="2" t="n">
        <v>73522</v>
      </c>
      <c r="G5652" t="inlineStr"/>
      <c r="H5652" t="inlineStr"/>
      <c r="I5652" s="2" t="n">
        <v>3644</v>
      </c>
      <c r="J5652" t="inlineStr"/>
      <c r="K5652" t="inlineStr"/>
      <c r="L5652" s="2" t="n">
        <v>10772</v>
      </c>
      <c r="M5652" t="inlineStr"/>
      <c r="N5652" t="inlineStr">
        <is>
          <t>20240214900945</t>
        </is>
      </c>
      <c r="O5652">
        <f>HYPERLINK("https://dart.fss.or.kr/dsaf001/main.do?rcpNo=20240214900945", "공시열람")</f>
        <v/>
      </c>
    </row>
    <row r="5653">
      <c r="A5653" t="inlineStr">
        <is>
          <t>2024-02-14</t>
        </is>
      </c>
      <c r="B5653" t="inlineStr">
        <is>
          <t>아이마켓코리아</t>
        </is>
      </c>
      <c r="C5653" t="inlineStr">
        <is>
          <t>122900</t>
        </is>
      </c>
      <c r="D5653" t="inlineStr">
        <is>
          <t>연결</t>
        </is>
      </c>
      <c r="E5653" t="inlineStr">
        <is>
          <t>2023Q4</t>
        </is>
      </c>
      <c r="F5653" s="2" t="n">
        <v>925139</v>
      </c>
      <c r="G5653" t="n">
        <v>14.21</v>
      </c>
      <c r="H5653" t="n">
        <v>-3.68</v>
      </c>
      <c r="I5653" s="2" t="n">
        <v>11692</v>
      </c>
      <c r="J5653" t="n">
        <v>-3.15</v>
      </c>
      <c r="K5653" t="n">
        <v>-23.96</v>
      </c>
      <c r="L5653" s="2" t="n">
        <v>10595</v>
      </c>
      <c r="M5653" t="n">
        <v>67.67</v>
      </c>
      <c r="N5653" t="inlineStr">
        <is>
          <t>20240214801102</t>
        </is>
      </c>
      <c r="O5653">
        <f>HYPERLINK("https://dart.fss.or.kr/dsaf001/main.do?rcpNo=20240214801102", "공시열람")</f>
        <v/>
      </c>
    </row>
    <row r="5654">
      <c r="A5654" t="inlineStr">
        <is>
          <t>2024-02-14</t>
        </is>
      </c>
      <c r="B5654" t="inlineStr">
        <is>
          <t>한전KPS</t>
        </is>
      </c>
      <c r="C5654" t="inlineStr">
        <is>
          <t>051600</t>
        </is>
      </c>
      <c r="D5654" t="inlineStr">
        <is>
          <t>연결</t>
        </is>
      </c>
      <c r="E5654" t="inlineStr">
        <is>
          <t>2023Q4</t>
        </is>
      </c>
      <c r="F5654" s="2" t="n">
        <v>440432</v>
      </c>
      <c r="G5654" t="n">
        <v>32.54</v>
      </c>
      <c r="H5654" t="n">
        <v>10.52</v>
      </c>
      <c r="I5654" s="2" t="n">
        <v>59196</v>
      </c>
      <c r="J5654" t="n">
        <v>62.55</v>
      </c>
      <c r="K5654" t="n">
        <v>22.46</v>
      </c>
      <c r="L5654" s="2" t="n">
        <v>46092</v>
      </c>
      <c r="M5654" t="n">
        <v>49.78</v>
      </c>
      <c r="N5654" t="inlineStr">
        <is>
          <t>20240214801089</t>
        </is>
      </c>
      <c r="O5654">
        <f>HYPERLINK("https://dart.fss.or.kr/dsaf001/main.do?rcpNo=20240214801089", "공시열람")</f>
        <v/>
      </c>
    </row>
    <row r="5655">
      <c r="A5655" t="inlineStr">
        <is>
          <t>2024-02-14</t>
        </is>
      </c>
      <c r="B5655" t="inlineStr">
        <is>
          <t>에스제이그룹</t>
        </is>
      </c>
      <c r="C5655" t="inlineStr">
        <is>
          <t>306040</t>
        </is>
      </c>
      <c r="D5655" t="inlineStr">
        <is>
          <t>연결</t>
        </is>
      </c>
      <c r="E5655" t="inlineStr">
        <is>
          <t>2023Q4</t>
        </is>
      </c>
      <c r="F5655" s="2" t="n">
        <v>49316</v>
      </c>
      <c r="G5655" t="inlineStr"/>
      <c r="H5655" t="inlineStr"/>
      <c r="I5655" s="2" t="n">
        <v>1422</v>
      </c>
      <c r="J5655" t="inlineStr"/>
      <c r="K5655" t="inlineStr"/>
      <c r="L5655" s="2" t="n">
        <v>1138</v>
      </c>
      <c r="M5655" t="inlineStr"/>
      <c r="N5655" t="inlineStr">
        <is>
          <t>20240214901081</t>
        </is>
      </c>
      <c r="O5655">
        <f>HYPERLINK("https://dart.fss.or.kr/dsaf001/main.do?rcpNo=20240214901081", "공시열람")</f>
        <v/>
      </c>
    </row>
    <row r="5656">
      <c r="A5656" t="inlineStr">
        <is>
          <t>2024-02-14</t>
        </is>
      </c>
      <c r="B5656" t="inlineStr">
        <is>
          <t>잇츠한불</t>
        </is>
      </c>
      <c r="C5656" t="inlineStr">
        <is>
          <t>226320</t>
        </is>
      </c>
      <c r="D5656" t="inlineStr">
        <is>
          <t>연결</t>
        </is>
      </c>
      <c r="E5656" t="inlineStr">
        <is>
          <t>2023Q4</t>
        </is>
      </c>
      <c r="F5656" s="2" t="n">
        <v>35100</v>
      </c>
      <c r="G5656" t="n">
        <v>5.9</v>
      </c>
      <c r="H5656" t="n">
        <v>7.3</v>
      </c>
      <c r="I5656" s="2" t="n">
        <v>1000</v>
      </c>
      <c r="J5656" t="n">
        <v>-42</v>
      </c>
      <c r="K5656" t="n">
        <v>7.8</v>
      </c>
      <c r="L5656" s="2" t="n">
        <v>200</v>
      </c>
      <c r="M5656" t="inlineStr"/>
      <c r="N5656" t="inlineStr">
        <is>
          <t>20240214801383</t>
        </is>
      </c>
      <c r="O5656">
        <f>HYPERLINK("https://dart.fss.or.kr/dsaf001/main.do?rcpNo=20240214801383", "공시열람")</f>
        <v/>
      </c>
    </row>
    <row r="5657">
      <c r="A5657" t="inlineStr">
        <is>
          <t>2024-02-14</t>
        </is>
      </c>
      <c r="B5657" t="inlineStr">
        <is>
          <t>에이블씨엔씨</t>
        </is>
      </c>
      <c r="C5657" t="inlineStr">
        <is>
          <t>078520</t>
        </is>
      </c>
      <c r="D5657" t="inlineStr">
        <is>
          <t>연결</t>
        </is>
      </c>
      <c r="E5657" t="inlineStr">
        <is>
          <t>2023Q4</t>
        </is>
      </c>
      <c r="F5657" s="2" t="n">
        <v>70620</v>
      </c>
      <c r="G5657" t="n">
        <v>8.1</v>
      </c>
      <c r="H5657" t="n">
        <v>4.5</v>
      </c>
      <c r="I5657" s="2" t="n">
        <v>2177</v>
      </c>
      <c r="J5657" t="n">
        <v>61.7</v>
      </c>
      <c r="K5657" t="n">
        <v>-65.90000000000001</v>
      </c>
      <c r="L5657" s="2" t="n">
        <v>369</v>
      </c>
      <c r="M5657" t="inlineStr"/>
      <c r="N5657" t="inlineStr">
        <is>
          <t>20240214801407</t>
        </is>
      </c>
      <c r="O5657">
        <f>HYPERLINK("https://dart.fss.or.kr/dsaf001/main.do?rcpNo=20240214801407", "공시열람")</f>
        <v/>
      </c>
    </row>
    <row r="5658">
      <c r="A5658" t="inlineStr">
        <is>
          <t>2024-02-14</t>
        </is>
      </c>
      <c r="B5658" t="inlineStr">
        <is>
          <t>SK리츠</t>
        </is>
      </c>
      <c r="C5658" t="inlineStr">
        <is>
          <t>395400</t>
        </is>
      </c>
      <c r="D5658" t="inlineStr">
        <is>
          <t>별도</t>
        </is>
      </c>
      <c r="E5658" t="inlineStr">
        <is>
          <t>2023Q4</t>
        </is>
      </c>
      <c r="F5658" s="2" t="n">
        <v>34159</v>
      </c>
      <c r="G5658" t="n">
        <v>48.4</v>
      </c>
      <c r="H5658" t="n">
        <v>52.6</v>
      </c>
      <c r="I5658" s="2" t="n">
        <v>29270</v>
      </c>
      <c r="J5658" t="n">
        <v>61</v>
      </c>
      <c r="K5658" t="n">
        <v>66.09999999999999</v>
      </c>
      <c r="L5658" s="2" t="n">
        <v>15441</v>
      </c>
      <c r="M5658" t="n">
        <v>188.5</v>
      </c>
      <c r="N5658" t="inlineStr">
        <is>
          <t>20240214801412</t>
        </is>
      </c>
      <c r="O5658">
        <f>HYPERLINK("https://dart.fss.or.kr/dsaf001/main.do?rcpNo=20240214801412", "공시열람")</f>
        <v/>
      </c>
    </row>
    <row r="5659">
      <c r="A5659" t="inlineStr">
        <is>
          <t>2024-02-14</t>
        </is>
      </c>
      <c r="B5659" t="inlineStr">
        <is>
          <t>한국자산신탁</t>
        </is>
      </c>
      <c r="C5659" t="inlineStr">
        <is>
          <t>123890</t>
        </is>
      </c>
      <c r="D5659" t="inlineStr">
        <is>
          <t>연결</t>
        </is>
      </c>
      <c r="E5659" t="inlineStr">
        <is>
          <t>2023Q4</t>
        </is>
      </c>
      <c r="F5659" s="2" t="n">
        <v>71827</v>
      </c>
      <c r="G5659" t="inlineStr"/>
      <c r="H5659" t="inlineStr"/>
      <c r="I5659" s="2" t="n">
        <v>28868</v>
      </c>
      <c r="J5659" t="inlineStr"/>
      <c r="K5659" t="inlineStr"/>
      <c r="L5659" s="2" t="n">
        <v>21782</v>
      </c>
      <c r="M5659" t="inlineStr"/>
      <c r="N5659" t="inlineStr">
        <is>
          <t>20240214801495</t>
        </is>
      </c>
      <c r="O5659">
        <f>HYPERLINK("https://dart.fss.or.kr/dsaf001/main.do?rcpNo=20240214801495", "공시열람")</f>
        <v/>
      </c>
    </row>
    <row r="5660">
      <c r="A5660" t="inlineStr">
        <is>
          <t>2024-02-14</t>
        </is>
      </c>
      <c r="B5660" t="inlineStr">
        <is>
          <t>SFA</t>
        </is>
      </c>
      <c r="C5660" t="inlineStr">
        <is>
          <t>056190</t>
        </is>
      </c>
      <c r="D5660" t="inlineStr">
        <is>
          <t>연결</t>
        </is>
      </c>
      <c r="E5660" t="inlineStr">
        <is>
          <t>2023Q4</t>
        </is>
      </c>
      <c r="F5660" s="2" t="n">
        <v>705370</v>
      </c>
      <c r="G5660" t="inlineStr"/>
      <c r="H5660" t="inlineStr"/>
      <c r="I5660" s="2" t="n">
        <v>36081</v>
      </c>
      <c r="J5660" t="inlineStr"/>
      <c r="K5660" t="inlineStr"/>
      <c r="L5660" s="2" t="n">
        <v>29478</v>
      </c>
      <c r="M5660" t="inlineStr"/>
      <c r="N5660" t="inlineStr">
        <is>
          <t>20240214901586</t>
        </is>
      </c>
      <c r="O5660">
        <f>HYPERLINK("https://dart.fss.or.kr/dsaf001/main.do?rcpNo=20240214901586", "공시열람")</f>
        <v/>
      </c>
    </row>
    <row r="5661">
      <c r="A5661" t="inlineStr">
        <is>
          <t>2024-02-14</t>
        </is>
      </c>
      <c r="B5661" t="inlineStr">
        <is>
          <t>SFA</t>
        </is>
      </c>
      <c r="C5661" t="inlineStr">
        <is>
          <t>056190</t>
        </is>
      </c>
      <c r="D5661" t="inlineStr">
        <is>
          <t>별도</t>
        </is>
      </c>
      <c r="E5661" t="inlineStr">
        <is>
          <t>2023Q4</t>
        </is>
      </c>
      <c r="F5661" s="2" t="n">
        <v>330308</v>
      </c>
      <c r="G5661" t="inlineStr"/>
      <c r="H5661" t="inlineStr"/>
      <c r="I5661" s="2" t="n">
        <v>8471</v>
      </c>
      <c r="J5661" t="inlineStr"/>
      <c r="K5661" t="inlineStr"/>
      <c r="L5661" s="2" t="n">
        <v>14393</v>
      </c>
      <c r="M5661" t="inlineStr"/>
      <c r="N5661" t="inlineStr">
        <is>
          <t>20240214901594</t>
        </is>
      </c>
      <c r="O5661">
        <f>HYPERLINK("https://dart.fss.or.kr/dsaf001/main.do?rcpNo=20240214901594", "공시열람")</f>
        <v/>
      </c>
    </row>
    <row r="5662">
      <c r="A5662" t="inlineStr">
        <is>
          <t>2024-02-14</t>
        </is>
      </c>
      <c r="B5662" t="inlineStr">
        <is>
          <t>우진아이엔에스</t>
        </is>
      </c>
      <c r="C5662" t="inlineStr">
        <is>
          <t>010400</t>
        </is>
      </c>
      <c r="D5662" t="inlineStr">
        <is>
          <t>별도</t>
        </is>
      </c>
      <c r="E5662" t="inlineStr">
        <is>
          <t>2023Q4</t>
        </is>
      </c>
      <c r="F5662" s="2" t="n">
        <v>28222</v>
      </c>
      <c r="G5662" t="n">
        <v>1.2</v>
      </c>
      <c r="H5662" t="n">
        <v>25.86</v>
      </c>
      <c r="I5662" s="2" t="n">
        <v>1140</v>
      </c>
      <c r="J5662" t="inlineStr"/>
      <c r="K5662" t="inlineStr"/>
      <c r="L5662" s="2" t="n">
        <v>1761</v>
      </c>
      <c r="M5662" t="inlineStr"/>
      <c r="N5662" t="inlineStr">
        <is>
          <t>20240214800606</t>
        </is>
      </c>
      <c r="O5662">
        <f>HYPERLINK("https://dart.fss.or.kr/dsaf001/main.do?rcpNo=20240214800606", "공시열람")</f>
        <v/>
      </c>
    </row>
    <row r="5663">
      <c r="A5663" t="inlineStr">
        <is>
          <t>2024-02-14</t>
        </is>
      </c>
      <c r="B5663" t="inlineStr">
        <is>
          <t>더블유게임즈</t>
        </is>
      </c>
      <c r="C5663" t="inlineStr">
        <is>
          <t>192080</t>
        </is>
      </c>
      <c r="D5663" t="inlineStr">
        <is>
          <t>별도</t>
        </is>
      </c>
      <c r="E5663" t="inlineStr">
        <is>
          <t>2023Q4</t>
        </is>
      </c>
      <c r="F5663" s="2" t="n">
        <v>46461</v>
      </c>
      <c r="G5663" t="n">
        <v>4.2</v>
      </c>
      <c r="H5663" t="n">
        <v>-15.4</v>
      </c>
      <c r="I5663" s="2" t="n">
        <v>15785</v>
      </c>
      <c r="J5663" t="n">
        <v>4.6</v>
      </c>
      <c r="K5663" t="n">
        <v>-2.2</v>
      </c>
      <c r="L5663" s="2" t="n">
        <v>13424</v>
      </c>
      <c r="M5663" t="inlineStr"/>
      <c r="N5663" t="inlineStr">
        <is>
          <t>20240214800026</t>
        </is>
      </c>
      <c r="O5663">
        <f>HYPERLINK("https://dart.fss.or.kr/dsaf001/main.do?rcpNo=20240214800026", "공시열람")</f>
        <v/>
      </c>
    </row>
    <row r="5664">
      <c r="A5664" t="inlineStr">
        <is>
          <t>2024-02-14</t>
        </is>
      </c>
      <c r="B5664" t="inlineStr">
        <is>
          <t>동원시스템즈</t>
        </is>
      </c>
      <c r="C5664" t="inlineStr">
        <is>
          <t>014820</t>
        </is>
      </c>
      <c r="D5664" t="inlineStr">
        <is>
          <t>연결</t>
        </is>
      </c>
      <c r="E5664" t="inlineStr">
        <is>
          <t>2023Q4</t>
        </is>
      </c>
      <c r="F5664" s="2" t="n">
        <v>299281</v>
      </c>
      <c r="G5664" t="n">
        <v>-5.04</v>
      </c>
      <c r="H5664" t="n">
        <v>-11.25</v>
      </c>
      <c r="I5664" s="2" t="n">
        <v>14239</v>
      </c>
      <c r="J5664" t="n">
        <v>-39.02</v>
      </c>
      <c r="K5664" t="n">
        <v>-22.37</v>
      </c>
      <c r="L5664" s="2" t="n">
        <v>12348</v>
      </c>
      <c r="M5664" t="n">
        <v>-30.46</v>
      </c>
      <c r="N5664" t="inlineStr">
        <is>
          <t>20240214800527</t>
        </is>
      </c>
      <c r="O5664">
        <f>HYPERLINK("https://dart.fss.or.kr/dsaf001/main.do?rcpNo=20240214800527", "공시열람")</f>
        <v/>
      </c>
    </row>
    <row r="5665">
      <c r="A5665" t="inlineStr">
        <is>
          <t>2024-02-14</t>
        </is>
      </c>
      <c r="B5665" t="inlineStr">
        <is>
          <t>GS</t>
        </is>
      </c>
      <c r="C5665" t="inlineStr">
        <is>
          <t>078930</t>
        </is>
      </c>
      <c r="D5665" t="inlineStr">
        <is>
          <t>연결</t>
        </is>
      </c>
      <c r="E5665" t="inlineStr">
        <is>
          <t>2023Q4</t>
        </is>
      </c>
      <c r="F5665" s="2" t="n">
        <v>6559271</v>
      </c>
      <c r="G5665" t="n">
        <v>1.42</v>
      </c>
      <c r="H5665" t="n">
        <v>-7.66</v>
      </c>
      <c r="I5665" s="2" t="n">
        <v>695342</v>
      </c>
      <c r="J5665" t="n">
        <v>-43.53</v>
      </c>
      <c r="K5665" t="n">
        <v>-22.52</v>
      </c>
      <c r="L5665" s="2" t="n">
        <v>126264</v>
      </c>
      <c r="M5665" t="n">
        <v>-46.85</v>
      </c>
      <c r="N5665" t="inlineStr">
        <is>
          <t>20240214800459</t>
        </is>
      </c>
      <c r="O5665">
        <f>HYPERLINK("https://dart.fss.or.kr/dsaf001/main.do?rcpNo=20240214800459", "공시열람")</f>
        <v/>
      </c>
    </row>
    <row r="5666">
      <c r="A5666" t="inlineStr">
        <is>
          <t>2024-02-14</t>
        </is>
      </c>
      <c r="B5666" t="inlineStr">
        <is>
          <t>이마트</t>
        </is>
      </c>
      <c r="C5666" t="inlineStr">
        <is>
          <t>139480</t>
        </is>
      </c>
      <c r="D5666" t="inlineStr">
        <is>
          <t>연결</t>
        </is>
      </c>
      <c r="E5666" t="inlineStr">
        <is>
          <t>2023Q4</t>
        </is>
      </c>
      <c r="F5666" s="2" t="n">
        <v>7356100</v>
      </c>
      <c r="G5666" t="n">
        <v>-4.6</v>
      </c>
      <c r="H5666" t="n">
        <v>-1.6</v>
      </c>
      <c r="I5666" s="2" t="n">
        <v>-85500</v>
      </c>
      <c r="J5666" t="inlineStr"/>
      <c r="K5666" t="inlineStr"/>
      <c r="L5666" s="2" t="n">
        <v>-107100</v>
      </c>
      <c r="M5666" t="inlineStr"/>
      <c r="N5666" t="inlineStr">
        <is>
          <t>20240214800366</t>
        </is>
      </c>
      <c r="O5666">
        <f>HYPERLINK("https://dart.fss.or.kr/dsaf001/main.do?rcpNo=20240214800366", "공시열람")</f>
        <v/>
      </c>
    </row>
    <row r="5667">
      <c r="A5667" t="inlineStr">
        <is>
          <t>2024-02-14</t>
        </is>
      </c>
      <c r="B5667" t="inlineStr">
        <is>
          <t>환인제약</t>
        </is>
      </c>
      <c r="C5667" t="inlineStr">
        <is>
          <t>016580</t>
        </is>
      </c>
      <c r="D5667" t="inlineStr">
        <is>
          <t>연결</t>
        </is>
      </c>
      <c r="E5667" t="inlineStr">
        <is>
          <t>2023Q4</t>
        </is>
      </c>
      <c r="F5667" s="2" t="n">
        <v>58386</v>
      </c>
      <c r="G5667" t="n">
        <v>-0.8</v>
      </c>
      <c r="H5667" t="n">
        <v>11.9</v>
      </c>
      <c r="I5667" s="2" t="n">
        <v>6451</v>
      </c>
      <c r="J5667" t="n">
        <v>-17.1</v>
      </c>
      <c r="K5667" t="n">
        <v>2.9</v>
      </c>
      <c r="L5667" s="2" t="n">
        <v>7567</v>
      </c>
      <c r="M5667" t="n">
        <v>46.3</v>
      </c>
      <c r="N5667" t="inlineStr">
        <is>
          <t>20240214800277</t>
        </is>
      </c>
      <c r="O5667">
        <f>HYPERLINK("https://dart.fss.or.kr/dsaf001/main.do?rcpNo=20240214800277", "공시열람")</f>
        <v/>
      </c>
    </row>
    <row r="5668">
      <c r="A5668" t="inlineStr">
        <is>
          <t>2024-02-14</t>
        </is>
      </c>
      <c r="B5668" t="inlineStr">
        <is>
          <t>휴온스</t>
        </is>
      </c>
      <c r="C5668" t="inlineStr">
        <is>
          <t>243070</t>
        </is>
      </c>
      <c r="D5668" t="inlineStr">
        <is>
          <t>연결</t>
        </is>
      </c>
      <c r="E5668" t="inlineStr">
        <is>
          <t>2023Q4</t>
        </is>
      </c>
      <c r="F5668" s="2" t="n">
        <v>145224</v>
      </c>
      <c r="G5668" t="inlineStr"/>
      <c r="H5668" t="inlineStr"/>
      <c r="I5668" s="2" t="n">
        <v>10978</v>
      </c>
      <c r="J5668" t="inlineStr"/>
      <c r="K5668" t="inlineStr"/>
      <c r="L5668" s="2" t="n">
        <v>9198</v>
      </c>
      <c r="M5668" t="inlineStr"/>
      <c r="N5668" t="inlineStr">
        <is>
          <t>20240214900197</t>
        </is>
      </c>
      <c r="O5668">
        <f>HYPERLINK("https://dart.fss.or.kr/dsaf001/main.do?rcpNo=20240214900197", "공시열람")</f>
        <v/>
      </c>
    </row>
    <row r="5669">
      <c r="A5669" t="inlineStr">
        <is>
          <t>2024-02-14</t>
        </is>
      </c>
      <c r="B5669" t="inlineStr">
        <is>
          <t>케이카</t>
        </is>
      </c>
      <c r="C5669" t="inlineStr">
        <is>
          <t>381970</t>
        </is>
      </c>
      <c r="D5669" t="inlineStr">
        <is>
          <t>별도</t>
        </is>
      </c>
      <c r="E5669" t="inlineStr">
        <is>
          <t>2023Q4</t>
        </is>
      </c>
      <c r="F5669" s="2" t="n">
        <v>495606</v>
      </c>
      <c r="G5669" t="n">
        <v>-6.2</v>
      </c>
      <c r="H5669" t="n">
        <v>8.6</v>
      </c>
      <c r="I5669" s="2" t="n">
        <v>11922</v>
      </c>
      <c r="J5669" t="n">
        <v>-35.2</v>
      </c>
      <c r="K5669" t="n">
        <v>24.6</v>
      </c>
      <c r="L5669" s="2" t="n">
        <v>4828</v>
      </c>
      <c r="M5669" t="n">
        <v>-9.5</v>
      </c>
      <c r="N5669" t="inlineStr">
        <is>
          <t>20240214800087</t>
        </is>
      </c>
      <c r="O5669">
        <f>HYPERLINK("https://dart.fss.or.kr/dsaf001/main.do?rcpNo=20240214800087", "공시열람")</f>
        <v/>
      </c>
    </row>
    <row r="5670">
      <c r="A5670" t="inlineStr">
        <is>
          <t>2024-02-14</t>
        </is>
      </c>
      <c r="B5670" t="inlineStr">
        <is>
          <t>네오위즈</t>
        </is>
      </c>
      <c r="C5670" t="inlineStr">
        <is>
          <t>095660</t>
        </is>
      </c>
      <c r="D5670" t="inlineStr">
        <is>
          <t>연결</t>
        </is>
      </c>
      <c r="E5670" t="inlineStr">
        <is>
          <t>2023Q4</t>
        </is>
      </c>
      <c r="F5670" s="2" t="n">
        <v>109490</v>
      </c>
      <c r="G5670" t="inlineStr"/>
      <c r="H5670" t="inlineStr"/>
      <c r="I5670" s="2" t="n">
        <v>15125</v>
      </c>
      <c r="J5670" t="inlineStr"/>
      <c r="K5670" t="inlineStr"/>
      <c r="L5670" s="2" t="n">
        <v>2804</v>
      </c>
      <c r="M5670" t="inlineStr"/>
      <c r="N5670" t="inlineStr">
        <is>
          <t>20240214900075</t>
        </is>
      </c>
      <c r="O5670">
        <f>HYPERLINK("https://dart.fss.or.kr/dsaf001/main.do?rcpNo=20240214900075", "공시열람")</f>
        <v/>
      </c>
    </row>
    <row r="5671">
      <c r="A5671" t="inlineStr">
        <is>
          <t>2024-02-14</t>
        </is>
      </c>
      <c r="B5671" t="inlineStr">
        <is>
          <t>동원시스템즈</t>
        </is>
      </c>
      <c r="C5671" t="inlineStr">
        <is>
          <t>014820</t>
        </is>
      </c>
      <c r="D5671" t="inlineStr">
        <is>
          <t>별도</t>
        </is>
      </c>
      <c r="E5671" t="inlineStr">
        <is>
          <t>2023Q4</t>
        </is>
      </c>
      <c r="F5671" s="2" t="n">
        <v>267135</v>
      </c>
      <c r="G5671" t="n">
        <v>-5.49</v>
      </c>
      <c r="H5671" t="n">
        <v>-10.98</v>
      </c>
      <c r="I5671" s="2" t="n">
        <v>11764</v>
      </c>
      <c r="J5671" t="n">
        <v>-38.81</v>
      </c>
      <c r="K5671" t="n">
        <v>-15.83</v>
      </c>
      <c r="L5671" s="2" t="n">
        <v>8033</v>
      </c>
      <c r="M5671" t="n">
        <v>5880.95</v>
      </c>
      <c r="N5671" t="inlineStr">
        <is>
          <t>20240214800503</t>
        </is>
      </c>
      <c r="O5671">
        <f>HYPERLINK("https://dart.fss.or.kr/dsaf001/main.do?rcpNo=20240214800503", "공시열람")</f>
        <v/>
      </c>
    </row>
    <row r="5672">
      <c r="A5672" t="inlineStr">
        <is>
          <t>2024-02-14</t>
        </is>
      </c>
      <c r="B5672" t="inlineStr">
        <is>
          <t>NHN KCP</t>
        </is>
      </c>
      <c r="C5672" t="inlineStr">
        <is>
          <t>060250</t>
        </is>
      </c>
      <c r="D5672" t="inlineStr">
        <is>
          <t>별도</t>
        </is>
      </c>
      <c r="E5672" t="inlineStr">
        <is>
          <t>2023Q4</t>
        </is>
      </c>
      <c r="F5672" s="2" t="n">
        <v>267225</v>
      </c>
      <c r="G5672" t="inlineStr"/>
      <c r="H5672" t="inlineStr"/>
      <c r="I5672" s="2" t="n">
        <v>12879</v>
      </c>
      <c r="J5672" t="inlineStr"/>
      <c r="K5672" t="inlineStr"/>
      <c r="L5672" s="2" t="n">
        <v>10121</v>
      </c>
      <c r="M5672" t="inlineStr"/>
      <c r="N5672" t="inlineStr">
        <is>
          <t>20240214900009</t>
        </is>
      </c>
      <c r="O5672">
        <f>HYPERLINK("https://dart.fss.or.kr/dsaf001/main.do?rcpNo=20240214900009", "공시열람")</f>
        <v/>
      </c>
    </row>
    <row r="5673">
      <c r="A5673" t="inlineStr">
        <is>
          <t>2024-02-14</t>
        </is>
      </c>
      <c r="B5673" t="inlineStr">
        <is>
          <t>NHN KCP</t>
        </is>
      </c>
      <c r="C5673" t="inlineStr">
        <is>
          <t>060250</t>
        </is>
      </c>
      <c r="D5673" t="inlineStr">
        <is>
          <t>연결</t>
        </is>
      </c>
      <c r="E5673" t="inlineStr">
        <is>
          <t>2023Q4</t>
        </is>
      </c>
      <c r="F5673" s="2" t="n">
        <v>268357</v>
      </c>
      <c r="G5673" t="inlineStr"/>
      <c r="H5673" t="inlineStr"/>
      <c r="I5673" s="2" t="n">
        <v>12394</v>
      </c>
      <c r="J5673" t="inlineStr"/>
      <c r="K5673" t="inlineStr"/>
      <c r="L5673" s="2" t="n">
        <v>8266</v>
      </c>
      <c r="M5673" t="inlineStr"/>
      <c r="N5673" t="inlineStr">
        <is>
          <t>20240214900007</t>
        </is>
      </c>
      <c r="O5673">
        <f>HYPERLINK("https://dart.fss.or.kr/dsaf001/main.do?rcpNo=20240214900007", "공시열람")</f>
        <v/>
      </c>
    </row>
    <row r="5674">
      <c r="A5674" t="inlineStr">
        <is>
          <t>2024-02-14</t>
        </is>
      </c>
      <c r="B5674" t="inlineStr">
        <is>
          <t>한국가스공사</t>
        </is>
      </c>
      <c r="C5674" t="inlineStr">
        <is>
          <t>036460</t>
        </is>
      </c>
      <c r="D5674" t="inlineStr">
        <is>
          <t>별도</t>
        </is>
      </c>
      <c r="E5674" t="inlineStr">
        <is>
          <t>2023Q4</t>
        </is>
      </c>
      <c r="F5674" s="2" t="inlineStr"/>
      <c r="G5674" t="inlineStr"/>
      <c r="H5674" t="inlineStr"/>
      <c r="I5674" s="2" t="inlineStr"/>
      <c r="J5674" t="inlineStr"/>
      <c r="K5674" t="inlineStr"/>
      <c r="L5674" s="2" t="inlineStr"/>
      <c r="M5674" t="inlineStr"/>
      <c r="N5674" t="inlineStr">
        <is>
          <t>20240214800514</t>
        </is>
      </c>
      <c r="O5674">
        <f>HYPERLINK("https://dart.fss.or.kr/dsaf001/main.do?rcpNo=20240214800514", "공시열람")</f>
        <v/>
      </c>
    </row>
    <row r="5675">
      <c r="A5675" t="inlineStr">
        <is>
          <t>2024-02-14</t>
        </is>
      </c>
      <c r="B5675" t="inlineStr">
        <is>
          <t>클래시스</t>
        </is>
      </c>
      <c r="C5675" t="inlineStr">
        <is>
          <t>214150</t>
        </is>
      </c>
      <c r="D5675" t="inlineStr">
        <is>
          <t>연결</t>
        </is>
      </c>
      <c r="E5675" t="inlineStr">
        <is>
          <t>2023Q4</t>
        </is>
      </c>
      <c r="F5675" s="2" t="n">
        <v>47005</v>
      </c>
      <c r="G5675" t="inlineStr"/>
      <c r="H5675" t="inlineStr"/>
      <c r="I5675" s="2" t="n">
        <v>21921</v>
      </c>
      <c r="J5675" t="inlineStr"/>
      <c r="K5675" t="inlineStr"/>
      <c r="L5675" s="2" t="n">
        <v>15698</v>
      </c>
      <c r="M5675" t="inlineStr"/>
      <c r="N5675" t="inlineStr">
        <is>
          <t>20240214900513</t>
        </is>
      </c>
      <c r="O5675">
        <f>HYPERLINK("https://dart.fss.or.kr/dsaf001/main.do?rcpNo=20240214900513", "공시열람")</f>
        <v/>
      </c>
    </row>
    <row r="5676">
      <c r="A5676" t="inlineStr">
        <is>
          <t>2024-02-14</t>
        </is>
      </c>
      <c r="B5676" t="inlineStr">
        <is>
          <t>한온시스템</t>
        </is>
      </c>
      <c r="C5676" t="inlineStr">
        <is>
          <t>018880</t>
        </is>
      </c>
      <c r="D5676" t="inlineStr">
        <is>
          <t>연결</t>
        </is>
      </c>
      <c r="E5676" t="inlineStr">
        <is>
          <t>2023Q4</t>
        </is>
      </c>
      <c r="F5676" s="2" t="n">
        <v>2462520</v>
      </c>
      <c r="G5676" t="inlineStr"/>
      <c r="H5676" t="inlineStr"/>
      <c r="I5676" s="2" t="n">
        <v>53293</v>
      </c>
      <c r="J5676" t="inlineStr"/>
      <c r="K5676" t="inlineStr"/>
      <c r="L5676" s="2" t="n">
        <v>-54595</v>
      </c>
      <c r="M5676" t="inlineStr"/>
      <c r="N5676" t="inlineStr">
        <is>
          <t>20240214800376</t>
        </is>
      </c>
      <c r="O5676">
        <f>HYPERLINK("https://dart.fss.or.kr/dsaf001/main.do?rcpNo=20240214800376", "공시열람")</f>
        <v/>
      </c>
    </row>
    <row r="5677">
      <c r="A5677" t="inlineStr">
        <is>
          <t>2024-02-13</t>
        </is>
      </c>
      <c r="B5677" t="inlineStr">
        <is>
          <t>한국비엔씨</t>
        </is>
      </c>
      <c r="C5677" t="inlineStr">
        <is>
          <t>256840</t>
        </is>
      </c>
      <c r="D5677" t="inlineStr">
        <is>
          <t>별도</t>
        </is>
      </c>
      <c r="E5677" t="inlineStr">
        <is>
          <t>2023Q4</t>
        </is>
      </c>
      <c r="F5677" s="2" t="n">
        <v>14129</v>
      </c>
      <c r="G5677" t="inlineStr"/>
      <c r="H5677" t="inlineStr"/>
      <c r="I5677" s="2" t="n">
        <v>1958</v>
      </c>
      <c r="J5677" t="inlineStr"/>
      <c r="K5677" t="inlineStr"/>
      <c r="L5677" s="2" t="n">
        <v>11242</v>
      </c>
      <c r="M5677" t="inlineStr"/>
      <c r="N5677" t="inlineStr">
        <is>
          <t>20240213900349</t>
        </is>
      </c>
      <c r="O5677">
        <f>HYPERLINK("https://dart.fss.or.kr/dsaf001/main.do?rcpNo=20240213900349", "공시열람")</f>
        <v/>
      </c>
    </row>
    <row r="5678">
      <c r="A5678" t="inlineStr">
        <is>
          <t>2024-02-13</t>
        </is>
      </c>
      <c r="B5678" t="inlineStr">
        <is>
          <t>HK이노엔</t>
        </is>
      </c>
      <c r="C5678" t="inlineStr">
        <is>
          <t>195940</t>
        </is>
      </c>
      <c r="D5678" t="inlineStr">
        <is>
          <t>별도</t>
        </is>
      </c>
      <c r="E5678" t="inlineStr">
        <is>
          <t>2023Q4</t>
        </is>
      </c>
      <c r="F5678" s="2" t="n">
        <v>224061</v>
      </c>
      <c r="G5678" t="inlineStr"/>
      <c r="H5678" t="inlineStr"/>
      <c r="I5678" s="2" t="n">
        <v>22540</v>
      </c>
      <c r="J5678" t="inlineStr"/>
      <c r="K5678" t="inlineStr"/>
      <c r="L5678" s="2" t="n">
        <v>15119</v>
      </c>
      <c r="M5678" t="inlineStr"/>
      <c r="N5678" t="inlineStr">
        <is>
          <t>20240213900714</t>
        </is>
      </c>
      <c r="O5678">
        <f>HYPERLINK("https://dart.fss.or.kr/dsaf001/main.do?rcpNo=20240213900714", "공시열람")</f>
        <v/>
      </c>
    </row>
    <row r="5679">
      <c r="A5679" t="inlineStr">
        <is>
          <t>2024-02-13</t>
        </is>
      </c>
      <c r="B5679" t="inlineStr">
        <is>
          <t>레이크머티리얼즈</t>
        </is>
      </c>
      <c r="C5679" t="inlineStr">
        <is>
          <t>281740</t>
        </is>
      </c>
      <c r="D5679" t="inlineStr">
        <is>
          <t>연결</t>
        </is>
      </c>
      <c r="E5679" t="inlineStr">
        <is>
          <t>2023Q4</t>
        </is>
      </c>
      <c r="F5679" s="2" t="n">
        <v>31619</v>
      </c>
      <c r="G5679" t="inlineStr"/>
      <c r="H5679" t="inlineStr"/>
      <c r="I5679" s="2" t="n">
        <v>9192</v>
      </c>
      <c r="J5679" t="inlineStr"/>
      <c r="K5679" t="inlineStr"/>
      <c r="L5679" s="2" t="n">
        <v>6440</v>
      </c>
      <c r="M5679" t="inlineStr"/>
      <c r="N5679" t="inlineStr">
        <is>
          <t>20240213900479</t>
        </is>
      </c>
      <c r="O5679">
        <f>HYPERLINK("https://dart.fss.or.kr/dsaf001/main.do?rcpNo=20240213900479", "공시열람")</f>
        <v/>
      </c>
    </row>
    <row r="5680">
      <c r="A5680" t="inlineStr">
        <is>
          <t>2024-02-13</t>
        </is>
      </c>
      <c r="B5680" t="inlineStr">
        <is>
          <t>SK네트웍스</t>
        </is>
      </c>
      <c r="C5680" t="inlineStr">
        <is>
          <t>001740</t>
        </is>
      </c>
      <c r="D5680" t="inlineStr">
        <is>
          <t>연결</t>
        </is>
      </c>
      <c r="E5680" t="inlineStr">
        <is>
          <t>2023Q4</t>
        </is>
      </c>
      <c r="F5680" s="2" t="n">
        <v>2407130</v>
      </c>
      <c r="G5680" t="n">
        <v>8.300000000000001</v>
      </c>
      <c r="H5680" t="n">
        <v>-3.1</v>
      </c>
      <c r="I5680" s="2" t="n">
        <v>50451</v>
      </c>
      <c r="J5680" t="n">
        <v>-12.3</v>
      </c>
      <c r="K5680" t="n">
        <v>29.7</v>
      </c>
      <c r="L5680" s="2" t="n">
        <v>-23190</v>
      </c>
      <c r="M5680" t="inlineStr"/>
      <c r="N5680" t="inlineStr">
        <is>
          <t>20240213800686</t>
        </is>
      </c>
      <c r="O5680">
        <f>HYPERLINK("https://dart.fss.or.kr/dsaf001/main.do?rcpNo=20240213800686", "공시열람")</f>
        <v/>
      </c>
    </row>
    <row r="5681">
      <c r="A5681" t="inlineStr">
        <is>
          <t>2024-02-13</t>
        </is>
      </c>
      <c r="B5681" t="inlineStr">
        <is>
          <t>서진시스템</t>
        </is>
      </c>
      <c r="C5681" t="inlineStr">
        <is>
          <t>178320</t>
        </is>
      </c>
      <c r="D5681" t="inlineStr">
        <is>
          <t>연결</t>
        </is>
      </c>
      <c r="E5681" t="inlineStr">
        <is>
          <t>2023Q4</t>
        </is>
      </c>
      <c r="F5681" s="2" t="n">
        <v>257986</v>
      </c>
      <c r="G5681" t="inlineStr"/>
      <c r="H5681" t="inlineStr"/>
      <c r="I5681" s="2" t="n">
        <v>42165</v>
      </c>
      <c r="J5681" t="inlineStr"/>
      <c r="K5681" t="inlineStr"/>
      <c r="L5681" s="2" t="n">
        <v>22578</v>
      </c>
      <c r="M5681" t="inlineStr"/>
      <c r="N5681" t="inlineStr">
        <is>
          <t>20240213900333</t>
        </is>
      </c>
      <c r="O5681">
        <f>HYPERLINK("https://dart.fss.or.kr/dsaf001/main.do?rcpNo=20240213900333", "공시열람")</f>
        <v/>
      </c>
    </row>
    <row r="5682">
      <c r="A5682" t="inlineStr">
        <is>
          <t>2024-02-13</t>
        </is>
      </c>
      <c r="B5682" t="inlineStr">
        <is>
          <t>RF머트리얼즈</t>
        </is>
      </c>
      <c r="C5682" t="inlineStr">
        <is>
          <t>327260</t>
        </is>
      </c>
      <c r="D5682" t="inlineStr">
        <is>
          <t>연결</t>
        </is>
      </c>
      <c r="E5682" t="inlineStr">
        <is>
          <t>2023Q4</t>
        </is>
      </c>
      <c r="F5682" s="2" t="n">
        <v>13721</v>
      </c>
      <c r="G5682" t="inlineStr"/>
      <c r="H5682" t="inlineStr"/>
      <c r="I5682" s="2" t="n">
        <v>712</v>
      </c>
      <c r="J5682" t="inlineStr"/>
      <c r="K5682" t="inlineStr"/>
      <c r="L5682" s="2" t="n">
        <v>706</v>
      </c>
      <c r="M5682" t="inlineStr"/>
      <c r="N5682" t="inlineStr">
        <is>
          <t>20240213900736</t>
        </is>
      </c>
      <c r="O5682">
        <f>HYPERLINK("https://dart.fss.or.kr/dsaf001/main.do?rcpNo=20240213900736", "공시열람")</f>
        <v/>
      </c>
    </row>
    <row r="5683">
      <c r="A5683" t="inlineStr">
        <is>
          <t>2024-02-13</t>
        </is>
      </c>
      <c r="B5683" t="inlineStr">
        <is>
          <t>DB하이텍</t>
        </is>
      </c>
      <c r="C5683" t="inlineStr">
        <is>
          <t>000990</t>
        </is>
      </c>
      <c r="D5683" t="inlineStr">
        <is>
          <t>연결</t>
        </is>
      </c>
      <c r="E5683" t="inlineStr">
        <is>
          <t>2023Q4</t>
        </is>
      </c>
      <c r="F5683" s="2" t="n">
        <v>277378</v>
      </c>
      <c r="G5683" t="n">
        <v>3.58</v>
      </c>
      <c r="H5683" t="n">
        <v>-29.12</v>
      </c>
      <c r="I5683" s="2" t="n">
        <v>40752</v>
      </c>
      <c r="J5683" t="n">
        <v>-18.97</v>
      </c>
      <c r="K5683" t="n">
        <v>-72.23999999999999</v>
      </c>
      <c r="L5683" s="2" t="n">
        <v>33303</v>
      </c>
      <c r="M5683" t="n">
        <v>-44.86</v>
      </c>
      <c r="N5683" t="inlineStr">
        <is>
          <t>20240213800842</t>
        </is>
      </c>
      <c r="O5683">
        <f>HYPERLINK("https://dart.fss.or.kr/dsaf001/main.do?rcpNo=20240213800842", "공시열람")</f>
        <v/>
      </c>
    </row>
    <row r="5684">
      <c r="A5684" t="inlineStr">
        <is>
          <t>2024-02-13</t>
        </is>
      </c>
      <c r="B5684" t="inlineStr">
        <is>
          <t>CJ제일제당</t>
        </is>
      </c>
      <c r="C5684" t="inlineStr">
        <is>
          <t>097950</t>
        </is>
      </c>
      <c r="D5684" t="inlineStr">
        <is>
          <t>연결</t>
        </is>
      </c>
      <c r="E5684" t="inlineStr">
        <is>
          <t>2023Q4</t>
        </is>
      </c>
      <c r="F5684" s="2" t="n">
        <v>7289439</v>
      </c>
      <c r="G5684" t="n">
        <v>-2.1</v>
      </c>
      <c r="H5684" t="n">
        <v>-3.7</v>
      </c>
      <c r="I5684" s="2" t="n">
        <v>298268</v>
      </c>
      <c r="J5684" t="n">
        <v>-24.7</v>
      </c>
      <c r="K5684" t="n">
        <v>24</v>
      </c>
      <c r="L5684" s="2" t="n">
        <v>151927</v>
      </c>
      <c r="M5684" t="n">
        <v>99.09999999999999</v>
      </c>
      <c r="N5684" t="inlineStr">
        <is>
          <t>20240213800874</t>
        </is>
      </c>
      <c r="O5684">
        <f>HYPERLINK("https://dart.fss.or.kr/dsaf001/main.do?rcpNo=20240213800874", "공시열람")</f>
        <v/>
      </c>
    </row>
    <row r="5685">
      <c r="A5685" t="inlineStr">
        <is>
          <t>2024-02-13</t>
        </is>
      </c>
      <c r="B5685" t="inlineStr">
        <is>
          <t>아이크래프트</t>
        </is>
      </c>
      <c r="C5685" t="inlineStr">
        <is>
          <t>052460</t>
        </is>
      </c>
      <c r="D5685" t="inlineStr">
        <is>
          <t>별도</t>
        </is>
      </c>
      <c r="E5685" t="inlineStr">
        <is>
          <t>2023Q4</t>
        </is>
      </c>
      <c r="F5685" s="2" t="n">
        <v>26060</v>
      </c>
      <c r="G5685" t="inlineStr"/>
      <c r="H5685" t="inlineStr"/>
      <c r="I5685" s="2" t="n">
        <v>564</v>
      </c>
      <c r="J5685" t="inlineStr"/>
      <c r="K5685" t="inlineStr"/>
      <c r="L5685" s="2" t="n">
        <v>1267</v>
      </c>
      <c r="M5685" t="inlineStr"/>
      <c r="N5685" t="inlineStr">
        <is>
          <t>20240213900990</t>
        </is>
      </c>
      <c r="O5685">
        <f>HYPERLINK("https://dart.fss.or.kr/dsaf001/main.do?rcpNo=20240213900990", "공시열람")</f>
        <v/>
      </c>
    </row>
    <row r="5686">
      <c r="A5686" t="inlineStr">
        <is>
          <t>2024-02-13</t>
        </is>
      </c>
      <c r="B5686" t="inlineStr">
        <is>
          <t>아이크래프트</t>
        </is>
      </c>
      <c r="C5686" t="inlineStr">
        <is>
          <t>052460</t>
        </is>
      </c>
      <c r="D5686" t="inlineStr">
        <is>
          <t>연결</t>
        </is>
      </c>
      <c r="E5686" t="inlineStr">
        <is>
          <t>2023Q4</t>
        </is>
      </c>
      <c r="F5686" s="2" t="n">
        <v>34477</v>
      </c>
      <c r="G5686" t="inlineStr"/>
      <c r="H5686" t="inlineStr"/>
      <c r="I5686" s="2" t="n">
        <v>1632</v>
      </c>
      <c r="J5686" t="inlineStr"/>
      <c r="K5686" t="inlineStr"/>
      <c r="L5686" s="2" t="n">
        <v>2228</v>
      </c>
      <c r="M5686" t="inlineStr"/>
      <c r="N5686" t="inlineStr">
        <is>
          <t>20240213900996</t>
        </is>
      </c>
      <c r="O5686">
        <f>HYPERLINK("https://dart.fss.or.kr/dsaf001/main.do?rcpNo=20240213900996", "공시열람")</f>
        <v/>
      </c>
    </row>
    <row r="5687">
      <c r="A5687" t="inlineStr">
        <is>
          <t>2024-02-13</t>
        </is>
      </c>
      <c r="B5687" t="inlineStr">
        <is>
          <t>안랩</t>
        </is>
      </c>
      <c r="C5687" t="inlineStr">
        <is>
          <t>053800</t>
        </is>
      </c>
      <c r="D5687" t="inlineStr">
        <is>
          <t>별도</t>
        </is>
      </c>
      <c r="E5687" t="inlineStr">
        <is>
          <t>2023Q4</t>
        </is>
      </c>
      <c r="F5687" s="2" t="n">
        <v>65991</v>
      </c>
      <c r="G5687" t="inlineStr"/>
      <c r="H5687" t="inlineStr"/>
      <c r="I5687" s="2" t="n">
        <v>12966</v>
      </c>
      <c r="J5687" t="inlineStr"/>
      <c r="K5687" t="inlineStr"/>
      <c r="L5687" s="2" t="n">
        <v>12470</v>
      </c>
      <c r="M5687" t="inlineStr"/>
      <c r="N5687" t="inlineStr">
        <is>
          <t>20240213901159</t>
        </is>
      </c>
      <c r="O5687">
        <f>HYPERLINK("https://dart.fss.or.kr/dsaf001/main.do?rcpNo=20240213901159", "공시열람")</f>
        <v/>
      </c>
    </row>
    <row r="5688">
      <c r="A5688" t="inlineStr">
        <is>
          <t>2024-02-13</t>
        </is>
      </c>
      <c r="B5688" t="inlineStr">
        <is>
          <t>HDC랩스</t>
        </is>
      </c>
      <c r="C5688" t="inlineStr">
        <is>
          <t>039570</t>
        </is>
      </c>
      <c r="D5688" t="inlineStr">
        <is>
          <t>연결</t>
        </is>
      </c>
      <c r="E5688" t="inlineStr">
        <is>
          <t>2023Q4</t>
        </is>
      </c>
      <c r="F5688" s="2" t="n">
        <v>176553</v>
      </c>
      <c r="G5688" t="n">
        <v>14</v>
      </c>
      <c r="H5688" t="n">
        <v>4.7</v>
      </c>
      <c r="I5688" s="2" t="n">
        <v>5236</v>
      </c>
      <c r="J5688" t="n">
        <v>178.8</v>
      </c>
      <c r="K5688" t="n">
        <v>-10.8</v>
      </c>
      <c r="L5688" s="2" t="n">
        <v>4817</v>
      </c>
      <c r="M5688" t="n">
        <v>11.8</v>
      </c>
      <c r="N5688" t="inlineStr">
        <is>
          <t>20240213801208</t>
        </is>
      </c>
      <c r="O5688">
        <f>HYPERLINK("https://dart.fss.or.kr/dsaf001/main.do?rcpNo=20240213801208", "공시열람")</f>
        <v/>
      </c>
    </row>
    <row r="5689">
      <c r="A5689" t="inlineStr">
        <is>
          <t>2024-02-13</t>
        </is>
      </c>
      <c r="B5689" t="inlineStr">
        <is>
          <t>웅진씽크빅</t>
        </is>
      </c>
      <c r="C5689" t="inlineStr">
        <is>
          <t>095720</t>
        </is>
      </c>
      <c r="D5689" t="inlineStr">
        <is>
          <t>연결</t>
        </is>
      </c>
      <c r="E5689" t="inlineStr">
        <is>
          <t>2023Q4</t>
        </is>
      </c>
      <c r="F5689" s="2" t="n">
        <v>890055</v>
      </c>
      <c r="G5689" t="n">
        <v>-4.6</v>
      </c>
      <c r="H5689" t="inlineStr"/>
      <c r="I5689" s="2" t="n">
        <v>5572</v>
      </c>
      <c r="J5689" t="n">
        <v>-79.8</v>
      </c>
      <c r="K5689" t="inlineStr"/>
      <c r="L5689" s="2" t="n">
        <v>-32781</v>
      </c>
      <c r="M5689" t="inlineStr"/>
      <c r="N5689" t="inlineStr">
        <is>
          <t>20240213801189</t>
        </is>
      </c>
      <c r="O5689">
        <f>HYPERLINK("https://dart.fss.or.kr/dsaf001/main.do?rcpNo=20240213801189", "공시열람")</f>
        <v/>
      </c>
    </row>
    <row r="5690">
      <c r="A5690" t="inlineStr">
        <is>
          <t>2024-02-13</t>
        </is>
      </c>
      <c r="B5690" t="inlineStr">
        <is>
          <t>NHN</t>
        </is>
      </c>
      <c r="C5690" t="inlineStr">
        <is>
          <t>181710</t>
        </is>
      </c>
      <c r="D5690" t="inlineStr">
        <is>
          <t>별도</t>
        </is>
      </c>
      <c r="E5690" t="inlineStr">
        <is>
          <t>2023Q4</t>
        </is>
      </c>
      <c r="F5690" s="2" t="n">
        <v>93754</v>
      </c>
      <c r="G5690" t="inlineStr"/>
      <c r="H5690" t="inlineStr"/>
      <c r="I5690" s="2" t="n">
        <v>22143</v>
      </c>
      <c r="J5690" t="inlineStr"/>
      <c r="K5690" t="inlineStr"/>
      <c r="L5690" s="2" t="n">
        <v>-30281</v>
      </c>
      <c r="M5690" t="inlineStr"/>
      <c r="N5690" t="inlineStr">
        <is>
          <t>20240213801178</t>
        </is>
      </c>
      <c r="O5690">
        <f>HYPERLINK("https://dart.fss.or.kr/dsaf001/main.do?rcpNo=20240213801178", "공시열람")</f>
        <v/>
      </c>
    </row>
    <row r="5691">
      <c r="A5691" t="inlineStr">
        <is>
          <t>2024-02-13</t>
        </is>
      </c>
      <c r="B5691" t="inlineStr">
        <is>
          <t>NHN</t>
        </is>
      </c>
      <c r="C5691" t="inlineStr">
        <is>
          <t>181710</t>
        </is>
      </c>
      <c r="D5691" t="inlineStr">
        <is>
          <t>연결</t>
        </is>
      </c>
      <c r="E5691" t="inlineStr">
        <is>
          <t>2023Q4</t>
        </is>
      </c>
      <c r="F5691" s="2" t="n">
        <v>598294</v>
      </c>
      <c r="G5691" t="inlineStr"/>
      <c r="H5691" t="inlineStr"/>
      <c r="I5691" s="2" t="n">
        <v>-7833</v>
      </c>
      <c r="J5691" t="inlineStr"/>
      <c r="K5691" t="inlineStr"/>
      <c r="L5691" s="2" t="n">
        <v>-57936</v>
      </c>
      <c r="M5691" t="inlineStr"/>
      <c r="N5691" t="inlineStr">
        <is>
          <t>20240213801200</t>
        </is>
      </c>
      <c r="O5691">
        <f>HYPERLINK("https://dart.fss.or.kr/dsaf001/main.do?rcpNo=20240213801200", "공시열람")</f>
        <v/>
      </c>
    </row>
    <row r="5692">
      <c r="A5692" t="inlineStr">
        <is>
          <t>2024-02-08</t>
        </is>
      </c>
      <c r="B5692" t="inlineStr">
        <is>
          <t>신세계I&amp;C</t>
        </is>
      </c>
      <c r="C5692" t="inlineStr">
        <is>
          <t>035510</t>
        </is>
      </c>
      <c r="D5692" t="inlineStr">
        <is>
          <t>연결</t>
        </is>
      </c>
      <c r="E5692" t="inlineStr">
        <is>
          <t>2023Q4</t>
        </is>
      </c>
      <c r="F5692" s="2" t="n">
        <v>160549</v>
      </c>
      <c r="G5692" t="n">
        <v>8.51</v>
      </c>
      <c r="H5692" t="n">
        <v>-6.02</v>
      </c>
      <c r="I5692" s="2" t="n">
        <v>11841</v>
      </c>
      <c r="J5692" t="n">
        <v>37.33</v>
      </c>
      <c r="K5692" t="n">
        <v>5.28</v>
      </c>
      <c r="L5692" s="2" t="n">
        <v>6411</v>
      </c>
      <c r="M5692" t="n">
        <v>-39.41</v>
      </c>
      <c r="N5692" t="inlineStr">
        <is>
          <t>20240208800843</t>
        </is>
      </c>
      <c r="O5692">
        <f>HYPERLINK("https://dart.fss.or.kr/dsaf001/main.do?rcpNo=20240208800843", "공시열람")</f>
        <v/>
      </c>
    </row>
    <row r="5693">
      <c r="A5693" t="inlineStr">
        <is>
          <t>2024-02-08</t>
        </is>
      </c>
      <c r="B5693" t="inlineStr">
        <is>
          <t>신한지주</t>
        </is>
      </c>
      <c r="C5693" t="inlineStr">
        <is>
          <t>055550</t>
        </is>
      </c>
      <c r="D5693" t="inlineStr">
        <is>
          <t>연결</t>
        </is>
      </c>
      <c r="E5693" t="inlineStr">
        <is>
          <t>2023Q4</t>
        </is>
      </c>
      <c r="F5693" s="2" t="n">
        <v>1585040</v>
      </c>
      <c r="G5693" t="n">
        <v>7.14</v>
      </c>
      <c r="H5693" t="n">
        <v>87.59999999999999</v>
      </c>
      <c r="I5693" s="2" t="n">
        <v>69008</v>
      </c>
      <c r="J5693" t="n">
        <v>-58.8</v>
      </c>
      <c r="K5693" t="n">
        <v>44.33</v>
      </c>
      <c r="L5693" s="2" t="n">
        <v>44771</v>
      </c>
      <c r="M5693" t="n">
        <v>-43.33</v>
      </c>
      <c r="N5693" t="inlineStr">
        <is>
          <t>20240208800402</t>
        </is>
      </c>
      <c r="O5693">
        <f>HYPERLINK("https://dart.fss.or.kr/dsaf001/main.do?rcpNo=20240208800402", "공시열람")</f>
        <v/>
      </c>
    </row>
    <row r="5694">
      <c r="A5694" t="inlineStr">
        <is>
          <t>2024-02-08</t>
        </is>
      </c>
      <c r="B5694" t="inlineStr">
        <is>
          <t>삼천리</t>
        </is>
      </c>
      <c r="C5694" t="inlineStr">
        <is>
          <t>004690</t>
        </is>
      </c>
      <c r="D5694" t="inlineStr">
        <is>
          <t>별도</t>
        </is>
      </c>
      <c r="E5694" t="inlineStr">
        <is>
          <t>2023Q4</t>
        </is>
      </c>
      <c r="F5694" s="2" t="n">
        <v>3880118</v>
      </c>
      <c r="G5694" t="n">
        <v>-3.2</v>
      </c>
      <c r="H5694" t="inlineStr"/>
      <c r="I5694" s="2" t="n">
        <v>78464</v>
      </c>
      <c r="J5694" t="n">
        <v>723.6</v>
      </c>
      <c r="K5694" t="inlineStr"/>
      <c r="L5694" s="2" t="n">
        <v>70769</v>
      </c>
      <c r="M5694" t="inlineStr"/>
      <c r="N5694" t="inlineStr">
        <is>
          <t>20240208800547</t>
        </is>
      </c>
      <c r="O5694">
        <f>HYPERLINK("https://dart.fss.or.kr/dsaf001/main.do?rcpNo=20240208800547", "공시열람")</f>
        <v/>
      </c>
    </row>
    <row r="5695">
      <c r="A5695" t="inlineStr">
        <is>
          <t>2024-02-08</t>
        </is>
      </c>
      <c r="B5695" t="inlineStr">
        <is>
          <t>KTis</t>
        </is>
      </c>
      <c r="C5695" t="inlineStr">
        <is>
          <t>058860</t>
        </is>
      </c>
      <c r="D5695" t="inlineStr">
        <is>
          <t>별도</t>
        </is>
      </c>
      <c r="E5695" t="inlineStr">
        <is>
          <t>2023Q4</t>
        </is>
      </c>
      <c r="F5695" s="2" t="n">
        <v>160268</v>
      </c>
      <c r="G5695" t="n">
        <v>10.2</v>
      </c>
      <c r="H5695" t="n">
        <v>15.2</v>
      </c>
      <c r="I5695" s="2" t="n">
        <v>4333</v>
      </c>
      <c r="J5695" t="n">
        <v>27</v>
      </c>
      <c r="K5695" t="n">
        <v>168</v>
      </c>
      <c r="L5695" s="2" t="n">
        <v>2237</v>
      </c>
      <c r="M5695" t="n">
        <v>72.8</v>
      </c>
      <c r="N5695" t="inlineStr">
        <is>
          <t>20240208800612</t>
        </is>
      </c>
      <c r="O5695">
        <f>HYPERLINK("https://dart.fss.or.kr/dsaf001/main.do?rcpNo=20240208800612", "공시열람")</f>
        <v/>
      </c>
    </row>
    <row r="5696">
      <c r="A5696" t="inlineStr">
        <is>
          <t>2024-02-08</t>
        </is>
      </c>
      <c r="B5696" t="inlineStr">
        <is>
          <t>한국항공우주</t>
        </is>
      </c>
      <c r="C5696" t="inlineStr">
        <is>
          <t>047810</t>
        </is>
      </c>
      <c r="D5696" t="inlineStr">
        <is>
          <t>연결</t>
        </is>
      </c>
      <c r="E5696" t="inlineStr">
        <is>
          <t>2023Q4</t>
        </is>
      </c>
      <c r="F5696" s="2" t="n">
        <v>1510000</v>
      </c>
      <c r="G5696" t="n">
        <v>49.9</v>
      </c>
      <c r="H5696" t="n">
        <v>73.8</v>
      </c>
      <c r="I5696" s="2" t="n">
        <v>154300</v>
      </c>
      <c r="J5696" t="n">
        <v>136.1</v>
      </c>
      <c r="K5696" t="n">
        <v>311.7</v>
      </c>
      <c r="L5696" s="2" t="n">
        <v>129400</v>
      </c>
      <c r="M5696" t="inlineStr"/>
      <c r="N5696" t="inlineStr">
        <is>
          <t>20240208800670</t>
        </is>
      </c>
      <c r="O5696">
        <f>HYPERLINK("https://dart.fss.or.kr/dsaf001/main.do?rcpNo=20240208800670", "공시열람")</f>
        <v/>
      </c>
    </row>
    <row r="5697">
      <c r="A5697" t="inlineStr">
        <is>
          <t>2024-02-08</t>
        </is>
      </c>
      <c r="B5697" t="inlineStr">
        <is>
          <t>CJ프레시웨이</t>
        </is>
      </c>
      <c r="C5697" t="inlineStr">
        <is>
          <t>051500</t>
        </is>
      </c>
      <c r="D5697" t="inlineStr">
        <is>
          <t>연결</t>
        </is>
      </c>
      <c r="E5697" t="inlineStr">
        <is>
          <t>2023Q4</t>
        </is>
      </c>
      <c r="F5697" s="2" t="n">
        <v>788234</v>
      </c>
      <c r="G5697" t="inlineStr"/>
      <c r="H5697" t="inlineStr"/>
      <c r="I5697" s="2" t="n">
        <v>24348</v>
      </c>
      <c r="J5697" t="inlineStr"/>
      <c r="K5697" t="inlineStr"/>
      <c r="L5697" s="2" t="n">
        <v>10748</v>
      </c>
      <c r="M5697" t="inlineStr"/>
      <c r="N5697" t="inlineStr">
        <is>
          <t>20240208900789</t>
        </is>
      </c>
      <c r="O5697">
        <f>HYPERLINK("https://dart.fss.or.kr/dsaf001/main.do?rcpNo=20240208900789", "공시열람")</f>
        <v/>
      </c>
    </row>
    <row r="5698">
      <c r="A5698" t="inlineStr">
        <is>
          <t>2024-02-08</t>
        </is>
      </c>
      <c r="B5698" t="inlineStr">
        <is>
          <t>현대지에프홀딩스</t>
        </is>
      </c>
      <c r="C5698" t="inlineStr">
        <is>
          <t>005440</t>
        </is>
      </c>
      <c r="D5698" t="inlineStr">
        <is>
          <t>연결</t>
        </is>
      </c>
      <c r="E5698" t="inlineStr">
        <is>
          <t>2023Q4</t>
        </is>
      </c>
      <c r="F5698" s="2" t="n">
        <v>1097400</v>
      </c>
      <c r="G5698" t="n">
        <v>115.5</v>
      </c>
      <c r="H5698" t="n">
        <v>107.5</v>
      </c>
      <c r="I5698" s="2" t="n">
        <v>-22400</v>
      </c>
      <c r="J5698" t="inlineStr"/>
      <c r="K5698" t="n">
        <v>35.8</v>
      </c>
      <c r="L5698" s="2" t="n">
        <v>143100</v>
      </c>
      <c r="M5698" t="inlineStr"/>
      <c r="N5698" t="inlineStr">
        <is>
          <t>20240208800803</t>
        </is>
      </c>
      <c r="O5698">
        <f>HYPERLINK("https://dart.fss.or.kr/dsaf001/main.do?rcpNo=20240208800803", "공시열람")</f>
        <v/>
      </c>
    </row>
    <row r="5699">
      <c r="A5699" t="inlineStr">
        <is>
          <t>2024-02-08</t>
        </is>
      </c>
      <c r="B5699" t="inlineStr">
        <is>
          <t>일동제약</t>
        </is>
      </c>
      <c r="C5699" t="inlineStr">
        <is>
          <t>249420</t>
        </is>
      </c>
      <c r="D5699" t="inlineStr">
        <is>
          <t>별도</t>
        </is>
      </c>
      <c r="E5699" t="inlineStr">
        <is>
          <t>2023Q4</t>
        </is>
      </c>
      <c r="F5699" s="2" t="n">
        <v>149364</v>
      </c>
      <c r="G5699" t="inlineStr"/>
      <c r="H5699" t="inlineStr"/>
      <c r="I5699" s="2" t="n">
        <v>7607</v>
      </c>
      <c r="J5699" t="inlineStr"/>
      <c r="K5699" t="inlineStr"/>
      <c r="L5699" s="2" t="n">
        <v>7501</v>
      </c>
      <c r="M5699" t="inlineStr"/>
      <c r="N5699" t="inlineStr">
        <is>
          <t>20240208800940</t>
        </is>
      </c>
      <c r="O5699">
        <f>HYPERLINK("https://dart.fss.or.kr/dsaf001/main.do?rcpNo=20240208800940", "공시열람")</f>
        <v/>
      </c>
    </row>
    <row r="5700">
      <c r="A5700" t="inlineStr">
        <is>
          <t>2024-02-08</t>
        </is>
      </c>
      <c r="B5700" t="inlineStr">
        <is>
          <t>롯데쇼핑</t>
        </is>
      </c>
      <c r="C5700" t="inlineStr">
        <is>
          <t>023530</t>
        </is>
      </c>
      <c r="D5700" t="inlineStr">
        <is>
          <t>연결</t>
        </is>
      </c>
      <c r="E5700" t="inlineStr">
        <is>
          <t>2023Q4</t>
        </is>
      </c>
      <c r="F5700" s="2" t="n">
        <v>3632904</v>
      </c>
      <c r="G5700" t="n">
        <v>-2.8</v>
      </c>
      <c r="H5700" t="n">
        <v>-4.1</v>
      </c>
      <c r="I5700" s="2" t="n">
        <v>202366</v>
      </c>
      <c r="J5700" t="n">
        <v>42.5</v>
      </c>
      <c r="K5700" t="n">
        <v>117.4</v>
      </c>
      <c r="L5700" s="2" t="n">
        <v>-56397</v>
      </c>
      <c r="M5700" t="n">
        <v>83.3</v>
      </c>
      <c r="N5700" t="inlineStr">
        <is>
          <t>20240208800894</t>
        </is>
      </c>
      <c r="O5700">
        <f>HYPERLINK("https://dart.fss.or.kr/dsaf001/main.do?rcpNo=20240208800894", "공시열람")</f>
        <v/>
      </c>
    </row>
    <row r="5701">
      <c r="A5701" t="inlineStr">
        <is>
          <t>2024-02-08</t>
        </is>
      </c>
      <c r="B5701" t="inlineStr">
        <is>
          <t>신한지주</t>
        </is>
      </c>
      <c r="C5701" t="inlineStr">
        <is>
          <t>055550</t>
        </is>
      </c>
      <c r="D5701" t="inlineStr">
        <is>
          <t>연결</t>
        </is>
      </c>
      <c r="E5701" t="inlineStr">
        <is>
          <t>2023Q4</t>
        </is>
      </c>
      <c r="F5701" s="2" t="n">
        <v>1270099</v>
      </c>
      <c r="G5701" t="n">
        <v>-11.96</v>
      </c>
      <c r="H5701" t="n">
        <v>68.13</v>
      </c>
      <c r="I5701" s="2" t="n">
        <v>200639</v>
      </c>
      <c r="J5701" t="n">
        <v>1.7</v>
      </c>
      <c r="K5701" t="n">
        <v>161.6</v>
      </c>
      <c r="L5701" s="2" t="n">
        <v>151804</v>
      </c>
      <c r="M5701" t="n">
        <v>174.84</v>
      </c>
      <c r="N5701" t="inlineStr">
        <is>
          <t>20240208800400</t>
        </is>
      </c>
      <c r="O5701">
        <f>HYPERLINK("https://dart.fss.or.kr/dsaf001/main.do?rcpNo=20240208800400", "공시열람")</f>
        <v/>
      </c>
    </row>
    <row r="5702">
      <c r="A5702" t="inlineStr">
        <is>
          <t>2024-02-08</t>
        </is>
      </c>
      <c r="B5702" t="inlineStr">
        <is>
          <t>일동홀딩스</t>
        </is>
      </c>
      <c r="C5702" t="inlineStr">
        <is>
          <t>000230</t>
        </is>
      </c>
      <c r="D5702" t="inlineStr">
        <is>
          <t>연결</t>
        </is>
      </c>
      <c r="E5702" t="inlineStr">
        <is>
          <t>2023Q4</t>
        </is>
      </c>
      <c r="F5702" s="2" t="n">
        <v>157355</v>
      </c>
      <c r="G5702" t="inlineStr"/>
      <c r="H5702" t="inlineStr"/>
      <c r="I5702" s="2" t="n">
        <v>-9222</v>
      </c>
      <c r="J5702" t="inlineStr"/>
      <c r="K5702" t="inlineStr"/>
      <c r="L5702" s="2" t="n">
        <v>-27736</v>
      </c>
      <c r="M5702" t="inlineStr"/>
      <c r="N5702" t="inlineStr">
        <is>
          <t>20240208800949</t>
        </is>
      </c>
      <c r="O5702">
        <f>HYPERLINK("https://dart.fss.or.kr/dsaf001/main.do?rcpNo=20240208800949", "공시열람")</f>
        <v/>
      </c>
    </row>
    <row r="5703">
      <c r="A5703" t="inlineStr">
        <is>
          <t>2024-02-08</t>
        </is>
      </c>
      <c r="B5703" t="inlineStr">
        <is>
          <t>파크시스템스</t>
        </is>
      </c>
      <c r="C5703" t="inlineStr">
        <is>
          <t>140860</t>
        </is>
      </c>
      <c r="D5703" t="inlineStr">
        <is>
          <t>연결</t>
        </is>
      </c>
      <c r="E5703" t="inlineStr">
        <is>
          <t>2023Q4</t>
        </is>
      </c>
      <c r="F5703" s="2" t="n">
        <v>45947</v>
      </c>
      <c r="G5703" t="inlineStr"/>
      <c r="H5703" t="inlineStr"/>
      <c r="I5703" s="2" t="n">
        <v>9722</v>
      </c>
      <c r="J5703" t="inlineStr"/>
      <c r="K5703" t="inlineStr"/>
      <c r="L5703" s="2" t="inlineStr"/>
      <c r="M5703" t="inlineStr"/>
      <c r="N5703" t="inlineStr">
        <is>
          <t>20240208901179</t>
        </is>
      </c>
      <c r="O5703">
        <f>HYPERLINK("https://dart.fss.or.kr/dsaf001/main.do?rcpNo=20240208901179", "공시열람")</f>
        <v/>
      </c>
    </row>
    <row r="5704">
      <c r="A5704" t="inlineStr">
        <is>
          <t>2024-02-08</t>
        </is>
      </c>
      <c r="B5704" t="inlineStr">
        <is>
          <t>코웨이</t>
        </is>
      </c>
      <c r="C5704" t="inlineStr">
        <is>
          <t>021240</t>
        </is>
      </c>
      <c r="D5704" t="inlineStr">
        <is>
          <t>연결</t>
        </is>
      </c>
      <c r="E5704" t="inlineStr">
        <is>
          <t>2023Q4</t>
        </is>
      </c>
      <c r="F5704" s="2" t="n">
        <v>1004383</v>
      </c>
      <c r="G5704" t="inlineStr"/>
      <c r="H5704" t="inlineStr"/>
      <c r="I5704" s="2" t="n">
        <v>166179</v>
      </c>
      <c r="J5704" t="inlineStr"/>
      <c r="K5704" t="inlineStr"/>
      <c r="L5704" s="2" t="n">
        <v>101674</v>
      </c>
      <c r="M5704" t="inlineStr"/>
      <c r="N5704" t="inlineStr">
        <is>
          <t>20240208800237</t>
        </is>
      </c>
      <c r="O5704">
        <f>HYPERLINK("https://dart.fss.or.kr/dsaf001/main.do?rcpNo=20240208800237", "공시열람")</f>
        <v/>
      </c>
    </row>
    <row r="5705">
      <c r="A5705" t="inlineStr">
        <is>
          <t>2024-02-08</t>
        </is>
      </c>
      <c r="B5705" t="inlineStr">
        <is>
          <t>삼성카드</t>
        </is>
      </c>
      <c r="C5705" t="inlineStr">
        <is>
          <t>029780</t>
        </is>
      </c>
      <c r="D5705" t="inlineStr">
        <is>
          <t>연결</t>
        </is>
      </c>
      <c r="E5705" t="inlineStr">
        <is>
          <t>2023Q4</t>
        </is>
      </c>
      <c r="F5705" s="2" t="n">
        <v>933300</v>
      </c>
      <c r="G5705" t="n">
        <v>-8.699999999999999</v>
      </c>
      <c r="H5705" t="n">
        <v>24.8</v>
      </c>
      <c r="I5705" s="2" t="n">
        <v>238800</v>
      </c>
      <c r="J5705" t="n">
        <v>27.8</v>
      </c>
      <c r="K5705" t="n">
        <v>4.3</v>
      </c>
      <c r="L5705" s="2" t="n">
        <v>179400</v>
      </c>
      <c r="M5705" t="n">
        <v>8.199999999999999</v>
      </c>
      <c r="N5705" t="inlineStr">
        <is>
          <t>20240208800070</t>
        </is>
      </c>
      <c r="O5705">
        <f>HYPERLINK("https://dart.fss.or.kr/dsaf001/main.do?rcpNo=20240208800070", "공시열람")</f>
        <v/>
      </c>
    </row>
    <row r="5706">
      <c r="A5706" t="inlineStr">
        <is>
          <t>2024-02-08</t>
        </is>
      </c>
      <c r="B5706" t="inlineStr">
        <is>
          <t>카카오게임즈</t>
        </is>
      </c>
      <c r="C5706" t="inlineStr">
        <is>
          <t>293490</t>
        </is>
      </c>
      <c r="D5706" t="inlineStr">
        <is>
          <t>연결</t>
        </is>
      </c>
      <c r="E5706" t="inlineStr">
        <is>
          <t>2023Q4</t>
        </is>
      </c>
      <c r="F5706" s="2" t="n">
        <v>239155</v>
      </c>
      <c r="G5706" t="inlineStr"/>
      <c r="H5706" t="inlineStr"/>
      <c r="I5706" s="2" t="n">
        <v>14076</v>
      </c>
      <c r="J5706" t="inlineStr"/>
      <c r="K5706" t="inlineStr"/>
      <c r="L5706" s="2" t="n">
        <v>-346165</v>
      </c>
      <c r="M5706" t="inlineStr"/>
      <c r="N5706" t="inlineStr">
        <is>
          <t>20240208900058</t>
        </is>
      </c>
      <c r="O5706">
        <f>HYPERLINK("https://dart.fss.or.kr/dsaf001/main.do?rcpNo=20240208900058", "공시열람")</f>
        <v/>
      </c>
    </row>
    <row r="5707">
      <c r="A5707" t="inlineStr">
        <is>
          <t>2024-02-08</t>
        </is>
      </c>
      <c r="B5707" t="inlineStr">
        <is>
          <t>케이티</t>
        </is>
      </c>
      <c r="C5707" t="inlineStr">
        <is>
          <t>030200</t>
        </is>
      </c>
      <c r="D5707" t="inlineStr">
        <is>
          <t>연결</t>
        </is>
      </c>
      <c r="E5707" t="inlineStr">
        <is>
          <t>2023Q4</t>
        </is>
      </c>
      <c r="F5707" s="2" t="n">
        <v>6698400</v>
      </c>
      <c r="G5707" t="n">
        <v>0</v>
      </c>
      <c r="H5707" t="n">
        <v>1.8</v>
      </c>
      <c r="I5707" s="2" t="n">
        <v>265600</v>
      </c>
      <c r="J5707" t="n">
        <v>-17.5</v>
      </c>
      <c r="K5707" t="n">
        <v>75.40000000000001</v>
      </c>
      <c r="L5707" s="2" t="n">
        <v>-41700</v>
      </c>
      <c r="M5707" t="inlineStr"/>
      <c r="N5707" t="inlineStr">
        <is>
          <t>20240208800008</t>
        </is>
      </c>
      <c r="O5707">
        <f>HYPERLINK("https://dart.fss.or.kr/dsaf001/main.do?rcpNo=20240208800008", "공시열람")</f>
        <v/>
      </c>
    </row>
    <row r="5708">
      <c r="A5708" t="inlineStr">
        <is>
          <t>2024-02-08</t>
        </is>
      </c>
      <c r="B5708" t="inlineStr">
        <is>
          <t>케이티</t>
        </is>
      </c>
      <c r="C5708" t="inlineStr">
        <is>
          <t>030200</t>
        </is>
      </c>
      <c r="D5708" t="inlineStr">
        <is>
          <t>별도</t>
        </is>
      </c>
      <c r="E5708" t="inlineStr">
        <is>
          <t>2023Q4</t>
        </is>
      </c>
      <c r="F5708" s="2" t="n">
        <v>4592000</v>
      </c>
      <c r="G5708" t="n">
        <v>-1.7</v>
      </c>
      <c r="H5708" t="n">
        <v>0.4</v>
      </c>
      <c r="I5708" s="2" t="n">
        <v>196300</v>
      </c>
      <c r="J5708" t="n">
        <v>1.4</v>
      </c>
      <c r="K5708" t="n">
        <v>76.59999999999999</v>
      </c>
      <c r="L5708" s="2" t="n">
        <v>97800</v>
      </c>
      <c r="M5708" t="n">
        <v>-9.5</v>
      </c>
      <c r="N5708" t="inlineStr">
        <is>
          <t>20240208800007</t>
        </is>
      </c>
      <c r="O5708">
        <f>HYPERLINK("https://dart.fss.or.kr/dsaf001/main.do?rcpNo=20240208800007", "공시열람")</f>
        <v/>
      </c>
    </row>
    <row r="5709">
      <c r="A5709" t="inlineStr">
        <is>
          <t>2024-02-08</t>
        </is>
      </c>
      <c r="B5709" t="inlineStr">
        <is>
          <t>신한지주</t>
        </is>
      </c>
      <c r="C5709" t="inlineStr">
        <is>
          <t>055550</t>
        </is>
      </c>
      <c r="D5709" t="inlineStr">
        <is>
          <t>연결</t>
        </is>
      </c>
      <c r="E5709" t="inlineStr">
        <is>
          <t>2023Q4</t>
        </is>
      </c>
      <c r="F5709" s="2" t="n">
        <v>12123940</v>
      </c>
      <c r="G5709" t="n">
        <v>-27.15</v>
      </c>
      <c r="H5709" t="n">
        <v>276.01</v>
      </c>
      <c r="I5709" s="2" t="n">
        <v>904484</v>
      </c>
      <c r="J5709" t="n">
        <v>-46.92</v>
      </c>
      <c r="K5709" t="n">
        <v>55.91</v>
      </c>
      <c r="L5709" s="2" t="n">
        <v>576052</v>
      </c>
      <c r="M5709" t="n">
        <v>49.32</v>
      </c>
      <c r="N5709" t="inlineStr">
        <is>
          <t>20240208800396</t>
        </is>
      </c>
      <c r="O5709">
        <f>HYPERLINK("https://dart.fss.or.kr/dsaf001/main.do?rcpNo=20240208800396", "공시열람")</f>
        <v/>
      </c>
    </row>
    <row r="5710">
      <c r="A5710" t="inlineStr">
        <is>
          <t>2024-02-08</t>
        </is>
      </c>
      <c r="B5710" t="inlineStr">
        <is>
          <t>신한지주</t>
        </is>
      </c>
      <c r="C5710" t="inlineStr">
        <is>
          <t>055550</t>
        </is>
      </c>
      <c r="D5710" t="inlineStr">
        <is>
          <t>연결</t>
        </is>
      </c>
      <c r="E5710" t="inlineStr">
        <is>
          <t>2023Q4</t>
        </is>
      </c>
      <c r="F5710" s="2" t="n">
        <v>6484017</v>
      </c>
      <c r="G5710" t="n">
        <v>-40.22</v>
      </c>
      <c r="H5710" t="n">
        <v>2897.67</v>
      </c>
      <c r="I5710" s="2" t="n">
        <v>692877</v>
      </c>
      <c r="J5710" t="n">
        <v>-40.53</v>
      </c>
      <c r="K5710" t="n">
        <v>6.13</v>
      </c>
      <c r="L5710" s="2" t="n">
        <v>468716</v>
      </c>
      <c r="M5710" t="n">
        <v>3.54</v>
      </c>
      <c r="N5710" t="inlineStr">
        <is>
          <t>20240208800398</t>
        </is>
      </c>
      <c r="O5710">
        <f>HYPERLINK("https://dart.fss.or.kr/dsaf001/main.do?rcpNo=20240208800398", "공시열람")</f>
        <v/>
      </c>
    </row>
    <row r="5711">
      <c r="A5711" t="inlineStr">
        <is>
          <t>2024-02-08</t>
        </is>
      </c>
      <c r="B5711" t="inlineStr">
        <is>
          <t>일동제약</t>
        </is>
      </c>
      <c r="C5711" t="inlineStr">
        <is>
          <t>249420</t>
        </is>
      </c>
      <c r="D5711" t="inlineStr">
        <is>
          <t>연결</t>
        </is>
      </c>
      <c r="E5711" t="inlineStr">
        <is>
          <t>2023Q4</t>
        </is>
      </c>
      <c r="F5711" s="2" t="n">
        <v>149861</v>
      </c>
      <c r="G5711" t="inlineStr"/>
      <c r="H5711" t="inlineStr"/>
      <c r="I5711" s="2" t="n">
        <v>-3072</v>
      </c>
      <c r="J5711" t="inlineStr"/>
      <c r="K5711" t="inlineStr"/>
      <c r="L5711" s="2" t="n">
        <v>183</v>
      </c>
      <c r="M5711" t="inlineStr"/>
      <c r="N5711" t="inlineStr">
        <is>
          <t>20240208800936</t>
        </is>
      </c>
      <c r="O5711">
        <f>HYPERLINK("https://dart.fss.or.kr/dsaf001/main.do?rcpNo=20240208800936", "공시열람")</f>
        <v/>
      </c>
    </row>
    <row r="5712">
      <c r="A5712" t="inlineStr">
        <is>
          <t>2024-02-07</t>
        </is>
      </c>
      <c r="B5712" t="inlineStr">
        <is>
          <t>풍산홀딩스</t>
        </is>
      </c>
      <c r="C5712" t="inlineStr">
        <is>
          <t>005810</t>
        </is>
      </c>
      <c r="D5712" t="inlineStr">
        <is>
          <t>연결</t>
        </is>
      </c>
      <c r="E5712" t="inlineStr">
        <is>
          <t>2023Q4</t>
        </is>
      </c>
      <c r="F5712" s="2" t="n">
        <v>108426</v>
      </c>
      <c r="G5712" t="n">
        <v>12.6</v>
      </c>
      <c r="H5712" t="n">
        <v>-2.8</v>
      </c>
      <c r="I5712" s="2" t="n">
        <v>14332</v>
      </c>
      <c r="J5712" t="n">
        <v>35.5</v>
      </c>
      <c r="K5712" t="n">
        <v>-13.5</v>
      </c>
      <c r="L5712" s="2" t="n">
        <v>13162</v>
      </c>
      <c r="M5712" t="n">
        <v>169.2</v>
      </c>
      <c r="N5712" t="inlineStr">
        <is>
          <t>20240207800081</t>
        </is>
      </c>
      <c r="O5712">
        <f>HYPERLINK("https://dart.fss.or.kr/dsaf001/main.do?rcpNo=20240207800081", "공시열람")</f>
        <v/>
      </c>
    </row>
    <row r="5713">
      <c r="A5713" t="inlineStr">
        <is>
          <t>2024-02-07</t>
        </is>
      </c>
      <c r="B5713" t="inlineStr">
        <is>
          <t>풍산</t>
        </is>
      </c>
      <c r="C5713" t="inlineStr">
        <is>
          <t>103140</t>
        </is>
      </c>
      <c r="D5713" t="inlineStr">
        <is>
          <t>연결</t>
        </is>
      </c>
      <c r="E5713" t="inlineStr">
        <is>
          <t>2023Q4</t>
        </is>
      </c>
      <c r="F5713" s="2" t="n">
        <v>1113676</v>
      </c>
      <c r="G5713" t="n">
        <v>19.6</v>
      </c>
      <c r="H5713" t="n">
        <v>-1.7</v>
      </c>
      <c r="I5713" s="2" t="n">
        <v>59472</v>
      </c>
      <c r="J5713" t="n">
        <v>86.40000000000001</v>
      </c>
      <c r="K5713" t="n">
        <v>38.9</v>
      </c>
      <c r="L5713" s="2" t="n">
        <v>39224</v>
      </c>
      <c r="M5713" t="n">
        <v>-3.8</v>
      </c>
      <c r="N5713" t="inlineStr">
        <is>
          <t>20240207800072</t>
        </is>
      </c>
      <c r="O5713">
        <f>HYPERLINK("https://dart.fss.or.kr/dsaf001/main.do?rcpNo=20240207800072", "공시열람")</f>
        <v/>
      </c>
    </row>
    <row r="5714">
      <c r="A5714" t="inlineStr">
        <is>
          <t>2024-02-07</t>
        </is>
      </c>
      <c r="B5714" t="inlineStr">
        <is>
          <t>풍산</t>
        </is>
      </c>
      <c r="C5714" t="inlineStr">
        <is>
          <t>103140</t>
        </is>
      </c>
      <c r="D5714" t="inlineStr">
        <is>
          <t>별도</t>
        </is>
      </c>
      <c r="E5714" t="inlineStr">
        <is>
          <t>2023Q4</t>
        </is>
      </c>
      <c r="F5714" s="2" t="n">
        <v>880999</v>
      </c>
      <c r="G5714" t="n">
        <v>30.8</v>
      </c>
      <c r="H5714" t="n">
        <v>2.5</v>
      </c>
      <c r="I5714" s="2" t="n">
        <v>57071</v>
      </c>
      <c r="J5714" t="n">
        <v>111.1</v>
      </c>
      <c r="K5714" t="n">
        <v>22.6</v>
      </c>
      <c r="L5714" s="2" t="n">
        <v>39122</v>
      </c>
      <c r="M5714" t="n">
        <v>-4.5</v>
      </c>
      <c r="N5714" t="inlineStr">
        <is>
          <t>20240207800066</t>
        </is>
      </c>
      <c r="O5714">
        <f>HYPERLINK("https://dart.fss.or.kr/dsaf001/main.do?rcpNo=20240207800066", "공시열람")</f>
        <v/>
      </c>
    </row>
    <row r="5715">
      <c r="A5715" t="inlineStr">
        <is>
          <t>2024-02-07</t>
        </is>
      </c>
      <c r="B5715" t="inlineStr">
        <is>
          <t>카카오뱅크</t>
        </is>
      </c>
      <c r="C5715" t="inlineStr">
        <is>
          <t>323410</t>
        </is>
      </c>
      <c r="D5715" t="inlineStr">
        <is>
          <t>별도</t>
        </is>
      </c>
      <c r="E5715" t="inlineStr">
        <is>
          <t>2023Q4</t>
        </is>
      </c>
      <c r="F5715" s="2" t="n">
        <v>663674</v>
      </c>
      <c r="G5715" t="n">
        <v>1.08</v>
      </c>
      <c r="H5715" t="n">
        <v>36.92</v>
      </c>
      <c r="I5715" s="2" t="n">
        <v>102793</v>
      </c>
      <c r="J5715" t="n">
        <v>-19.4</v>
      </c>
      <c r="K5715" t="n">
        <v>19.79</v>
      </c>
      <c r="L5715" s="2" t="n">
        <v>75660</v>
      </c>
      <c r="M5715" t="n">
        <v>24.93</v>
      </c>
      <c r="N5715" t="inlineStr">
        <is>
          <t>20240207800004</t>
        </is>
      </c>
      <c r="O5715">
        <f>HYPERLINK("https://dart.fss.or.kr/dsaf001/main.do?rcpNo=20240207800004", "공시열람")</f>
        <v/>
      </c>
    </row>
    <row r="5716">
      <c r="A5716" t="inlineStr">
        <is>
          <t>2024-02-07</t>
        </is>
      </c>
      <c r="B5716" t="inlineStr">
        <is>
          <t>한샘</t>
        </is>
      </c>
      <c r="C5716" t="inlineStr">
        <is>
          <t>009240</t>
        </is>
      </c>
      <c r="D5716" t="inlineStr">
        <is>
          <t>연결</t>
        </is>
      </c>
      <c r="E5716" t="inlineStr">
        <is>
          <t>2023Q4</t>
        </is>
      </c>
      <c r="F5716" s="2" t="n">
        <v>502013</v>
      </c>
      <c r="G5716" t="inlineStr"/>
      <c r="H5716" t="inlineStr"/>
      <c r="I5716" s="2" t="n">
        <v>11539</v>
      </c>
      <c r="J5716" t="inlineStr"/>
      <c r="K5716" t="inlineStr"/>
      <c r="L5716" s="2" t="n">
        <v>-34083</v>
      </c>
      <c r="M5716" t="inlineStr"/>
      <c r="N5716" t="inlineStr">
        <is>
          <t>20240207801409</t>
        </is>
      </c>
      <c r="O5716">
        <f>HYPERLINK("https://dart.fss.or.kr/dsaf001/main.do?rcpNo=20240207801409", "공시열람")</f>
        <v/>
      </c>
    </row>
    <row r="5717">
      <c r="A5717" t="inlineStr">
        <is>
          <t>2024-02-07</t>
        </is>
      </c>
      <c r="B5717" t="inlineStr">
        <is>
          <t>NC</t>
        </is>
      </c>
      <c r="C5717" t="inlineStr">
        <is>
          <t>036570</t>
        </is>
      </c>
      <c r="D5717" t="inlineStr">
        <is>
          <t>연결</t>
        </is>
      </c>
      <c r="E5717" t="inlineStr">
        <is>
          <t>2023Q4</t>
        </is>
      </c>
      <c r="F5717" s="2" t="n">
        <v>437709</v>
      </c>
      <c r="G5717" t="inlineStr"/>
      <c r="H5717" t="inlineStr"/>
      <c r="I5717" s="2" t="n">
        <v>3853</v>
      </c>
      <c r="J5717" t="inlineStr"/>
      <c r="K5717" t="inlineStr"/>
      <c r="L5717" s="2" t="n">
        <v>25190</v>
      </c>
      <c r="M5717" t="inlineStr"/>
      <c r="N5717" t="inlineStr">
        <is>
          <t>20240207801479</t>
        </is>
      </c>
      <c r="O5717">
        <f>HYPERLINK("https://dart.fss.or.kr/dsaf001/main.do?rcpNo=20240207801479", "공시열람")</f>
        <v/>
      </c>
    </row>
    <row r="5718">
      <c r="A5718" t="inlineStr">
        <is>
          <t>2024-02-07</t>
        </is>
      </c>
      <c r="B5718" t="inlineStr">
        <is>
          <t>드림어스컴퍼니</t>
        </is>
      </c>
      <c r="C5718" t="inlineStr">
        <is>
          <t>060570</t>
        </is>
      </c>
      <c r="D5718" t="inlineStr">
        <is>
          <t>연결</t>
        </is>
      </c>
      <c r="E5718" t="inlineStr">
        <is>
          <t>2023Q4</t>
        </is>
      </c>
      <c r="F5718" s="2" t="n">
        <v>270331</v>
      </c>
      <c r="G5718" t="inlineStr"/>
      <c r="H5718" t="inlineStr"/>
      <c r="I5718" s="2" t="n">
        <v>-3494</v>
      </c>
      <c r="J5718" t="inlineStr"/>
      <c r="K5718" t="inlineStr"/>
      <c r="L5718" s="2" t="n">
        <v>-2194</v>
      </c>
      <c r="M5718" t="inlineStr"/>
      <c r="N5718" t="inlineStr">
        <is>
          <t>20240207901348</t>
        </is>
      </c>
      <c r="O5718">
        <f>HYPERLINK("https://dart.fss.or.kr/dsaf001/main.do?rcpNo=20240207901348", "공시열람")</f>
        <v/>
      </c>
    </row>
    <row r="5719">
      <c r="A5719" t="inlineStr">
        <is>
          <t>2024-02-07</t>
        </is>
      </c>
      <c r="B5719" t="inlineStr">
        <is>
          <t>KT나스미디어</t>
        </is>
      </c>
      <c r="C5719" t="inlineStr">
        <is>
          <t>089600</t>
        </is>
      </c>
      <c r="D5719" t="inlineStr">
        <is>
          <t>연결</t>
        </is>
      </c>
      <c r="E5719" t="inlineStr">
        <is>
          <t>2023Q4</t>
        </is>
      </c>
      <c r="F5719" s="2" t="n">
        <v>39476</v>
      </c>
      <c r="G5719" t="inlineStr"/>
      <c r="H5719" t="inlineStr"/>
      <c r="I5719" s="2" t="n">
        <v>6152</v>
      </c>
      <c r="J5719" t="inlineStr"/>
      <c r="K5719" t="inlineStr"/>
      <c r="L5719" s="2" t="n">
        <v>3401</v>
      </c>
      <c r="M5719" t="inlineStr"/>
      <c r="N5719" t="inlineStr">
        <is>
          <t>20240207901301</t>
        </is>
      </c>
      <c r="O5719">
        <f>HYPERLINK("https://dart.fss.or.kr/dsaf001/main.do?rcpNo=20240207901301", "공시열람")</f>
        <v/>
      </c>
    </row>
    <row r="5720">
      <c r="A5720" t="inlineStr">
        <is>
          <t>2024-02-07</t>
        </is>
      </c>
      <c r="B5720" t="inlineStr">
        <is>
          <t>KT나스미디어</t>
        </is>
      </c>
      <c r="C5720" t="inlineStr">
        <is>
          <t>089600</t>
        </is>
      </c>
      <c r="D5720" t="inlineStr">
        <is>
          <t>별도</t>
        </is>
      </c>
      <c r="E5720" t="inlineStr">
        <is>
          <t>2023Q4</t>
        </is>
      </c>
      <c r="F5720" s="2" t="n">
        <v>30158</v>
      </c>
      <c r="G5720" t="inlineStr"/>
      <c r="H5720" t="inlineStr"/>
      <c r="I5720" s="2" t="n">
        <v>5547</v>
      </c>
      <c r="J5720" t="inlineStr"/>
      <c r="K5720" t="inlineStr"/>
      <c r="L5720" s="2" t="n">
        <v>4069</v>
      </c>
      <c r="M5720" t="inlineStr"/>
      <c r="N5720" t="inlineStr">
        <is>
          <t>20240207901296</t>
        </is>
      </c>
      <c r="O5720">
        <f>HYPERLINK("https://dart.fss.or.kr/dsaf001/main.do?rcpNo=20240207901296", "공시열람")</f>
        <v/>
      </c>
    </row>
    <row r="5721">
      <c r="A5721" t="inlineStr">
        <is>
          <t>2024-02-07</t>
        </is>
      </c>
      <c r="B5721" t="inlineStr">
        <is>
          <t>CJ대한통운</t>
        </is>
      </c>
      <c r="C5721" t="inlineStr">
        <is>
          <t>000120</t>
        </is>
      </c>
      <c r="D5721" t="inlineStr">
        <is>
          <t>연결</t>
        </is>
      </c>
      <c r="E5721" t="inlineStr">
        <is>
          <t>2023Q4</t>
        </is>
      </c>
      <c r="F5721" s="2" t="n">
        <v>3060570</v>
      </c>
      <c r="G5721" t="n">
        <v>4.2</v>
      </c>
      <c r="H5721" t="n">
        <v>1.2</v>
      </c>
      <c r="I5721" s="2" t="n">
        <v>144013</v>
      </c>
      <c r="J5721" t="n">
        <v>15.4</v>
      </c>
      <c r="K5721" t="n">
        <v>28.2</v>
      </c>
      <c r="L5721" s="2" t="n">
        <v>76643</v>
      </c>
      <c r="M5721" t="n">
        <v>101.7</v>
      </c>
      <c r="N5721" t="inlineStr">
        <is>
          <t>20240207801285</t>
        </is>
      </c>
      <c r="O5721">
        <f>HYPERLINK("https://dart.fss.or.kr/dsaf001/main.do?rcpNo=20240207801285", "공시열람")</f>
        <v/>
      </c>
    </row>
    <row r="5722">
      <c r="A5722" t="inlineStr">
        <is>
          <t>2024-02-07</t>
        </is>
      </c>
      <c r="B5722" t="inlineStr">
        <is>
          <t>CJ CGV</t>
        </is>
      </c>
      <c r="C5722" t="inlineStr">
        <is>
          <t>079160</t>
        </is>
      </c>
      <c r="D5722" t="inlineStr">
        <is>
          <t>연결</t>
        </is>
      </c>
      <c r="E5722" t="inlineStr">
        <is>
          <t>2023Q4</t>
        </is>
      </c>
      <c r="F5722" s="2" t="n">
        <v>342990</v>
      </c>
      <c r="G5722" t="inlineStr"/>
      <c r="H5722" t="inlineStr"/>
      <c r="I5722" s="2" t="n">
        <v>16859</v>
      </c>
      <c r="J5722" t="inlineStr"/>
      <c r="K5722" t="inlineStr"/>
      <c r="L5722" s="2" t="n">
        <v>-41317</v>
      </c>
      <c r="M5722" t="inlineStr"/>
      <c r="N5722" t="inlineStr">
        <is>
          <t>20240207801192</t>
        </is>
      </c>
      <c r="O5722">
        <f>HYPERLINK("https://dart.fss.or.kr/dsaf001/main.do?rcpNo=20240207801192", "공시열람")</f>
        <v/>
      </c>
    </row>
    <row r="5723">
      <c r="A5723" t="inlineStr">
        <is>
          <t>2024-02-07</t>
        </is>
      </c>
      <c r="B5723" t="inlineStr">
        <is>
          <t>BGF</t>
        </is>
      </c>
      <c r="C5723" t="inlineStr">
        <is>
          <t>027410</t>
        </is>
      </c>
      <c r="D5723" t="inlineStr">
        <is>
          <t>연결</t>
        </is>
      </c>
      <c r="E5723" t="inlineStr">
        <is>
          <t>2023Q4</t>
        </is>
      </c>
      <c r="F5723" s="2" t="n">
        <v>123400</v>
      </c>
      <c r="G5723" t="n">
        <v>13</v>
      </c>
      <c r="H5723" t="n">
        <v>11.7</v>
      </c>
      <c r="I5723" s="2" t="n">
        <v>16100</v>
      </c>
      <c r="J5723" t="n">
        <v>-32.6</v>
      </c>
      <c r="K5723" t="n">
        <v>8.800000000000001</v>
      </c>
      <c r="L5723" s="2" t="n">
        <v>14500</v>
      </c>
      <c r="M5723" t="inlineStr"/>
      <c r="N5723" t="inlineStr">
        <is>
          <t>20240207801130</t>
        </is>
      </c>
      <c r="O5723">
        <f>HYPERLINK("https://dart.fss.or.kr/dsaf001/main.do?rcpNo=20240207801130", "공시열람")</f>
        <v/>
      </c>
    </row>
    <row r="5724">
      <c r="A5724" t="inlineStr">
        <is>
          <t>2024-02-07</t>
        </is>
      </c>
      <c r="B5724" t="inlineStr">
        <is>
          <t>케이엔더블유</t>
        </is>
      </c>
      <c r="C5724" t="inlineStr">
        <is>
          <t>105330</t>
        </is>
      </c>
      <c r="D5724" t="inlineStr">
        <is>
          <t>연결</t>
        </is>
      </c>
      <c r="E5724" t="inlineStr">
        <is>
          <t>2023Q4</t>
        </is>
      </c>
      <c r="F5724" s="2" t="n">
        <v>25303</v>
      </c>
      <c r="G5724" t="inlineStr"/>
      <c r="H5724" t="inlineStr"/>
      <c r="I5724" s="2" t="n">
        <v>4295</v>
      </c>
      <c r="J5724" t="inlineStr"/>
      <c r="K5724" t="inlineStr"/>
      <c r="L5724" s="2" t="n">
        <v>3613</v>
      </c>
      <c r="M5724" t="inlineStr"/>
      <c r="N5724" t="inlineStr">
        <is>
          <t>20240207901011</t>
        </is>
      </c>
      <c r="O5724">
        <f>HYPERLINK("https://dart.fss.or.kr/dsaf001/main.do?rcpNo=20240207901011", "공시열람")</f>
        <v/>
      </c>
    </row>
    <row r="5725">
      <c r="A5725" t="inlineStr">
        <is>
          <t>2024-02-07</t>
        </is>
      </c>
      <c r="B5725" t="inlineStr">
        <is>
          <t>신세계</t>
        </is>
      </c>
      <c r="C5725" t="inlineStr">
        <is>
          <t>004170</t>
        </is>
      </c>
      <c r="D5725" t="inlineStr">
        <is>
          <t>별도</t>
        </is>
      </c>
      <c r="E5725" t="inlineStr">
        <is>
          <t>2023Q4</t>
        </is>
      </c>
      <c r="F5725" s="2" t="n">
        <v>160548</v>
      </c>
      <c r="G5725" t="n">
        <v>-15.64</v>
      </c>
      <c r="H5725" t="n">
        <v>-2.86</v>
      </c>
      <c r="I5725" s="2" t="inlineStr"/>
      <c r="J5725" t="inlineStr"/>
      <c r="K5725" t="inlineStr"/>
      <c r="L5725" s="2" t="inlineStr"/>
      <c r="M5725" t="inlineStr"/>
      <c r="N5725" t="inlineStr">
        <is>
          <t>20240207801056</t>
        </is>
      </c>
      <c r="O5725">
        <f>HYPERLINK("https://dart.fss.or.kr/dsaf001/main.do?rcpNo=20240207801056", "공시열람")</f>
        <v/>
      </c>
    </row>
    <row r="5726">
      <c r="A5726" t="inlineStr">
        <is>
          <t>2024-02-07</t>
        </is>
      </c>
      <c r="B5726" t="inlineStr">
        <is>
          <t>HS애드</t>
        </is>
      </c>
      <c r="C5726" t="inlineStr">
        <is>
          <t>035000</t>
        </is>
      </c>
      <c r="D5726" t="inlineStr">
        <is>
          <t>연결</t>
        </is>
      </c>
      <c r="E5726" t="inlineStr">
        <is>
          <t>2023Q4</t>
        </is>
      </c>
      <c r="F5726" s="2" t="n">
        <v>190063</v>
      </c>
      <c r="G5726" t="n">
        <v>63.21</v>
      </c>
      <c r="H5726" t="n">
        <v>-16.89</v>
      </c>
      <c r="I5726" s="2" t="n">
        <v>17471</v>
      </c>
      <c r="J5726" t="n">
        <v>117.52</v>
      </c>
      <c r="K5726" t="n">
        <v>-14</v>
      </c>
      <c r="L5726" s="2" t="n">
        <v>11313</v>
      </c>
      <c r="M5726" t="n">
        <v>-17.97</v>
      </c>
      <c r="N5726" t="inlineStr">
        <is>
          <t>20240207801146</t>
        </is>
      </c>
      <c r="O5726">
        <f>HYPERLINK("https://dart.fss.or.kr/dsaf001/main.do?rcpNo=20240207801146", "공시열람")</f>
        <v/>
      </c>
    </row>
    <row r="5727">
      <c r="A5727" t="inlineStr">
        <is>
          <t>2024-02-07</t>
        </is>
      </c>
      <c r="B5727" t="inlineStr">
        <is>
          <t>티케이지휴켐스</t>
        </is>
      </c>
      <c r="C5727" t="inlineStr">
        <is>
          <t>069260</t>
        </is>
      </c>
      <c r="D5727" t="inlineStr">
        <is>
          <t>연결</t>
        </is>
      </c>
      <c r="E5727" t="inlineStr">
        <is>
          <t>2023Q4</t>
        </is>
      </c>
      <c r="F5727" s="2" t="n">
        <v>221201</v>
      </c>
      <c r="G5727" t="n">
        <v>-6.7</v>
      </c>
      <c r="H5727" t="n">
        <v>-26.6</v>
      </c>
      <c r="I5727" s="2" t="n">
        <v>-1563</v>
      </c>
      <c r="J5727" t="inlineStr"/>
      <c r="K5727" t="inlineStr"/>
      <c r="L5727" s="2" t="n">
        <v>20049</v>
      </c>
      <c r="M5727" t="n">
        <v>376.3</v>
      </c>
      <c r="N5727" t="inlineStr">
        <is>
          <t>20240207801094</t>
        </is>
      </c>
      <c r="O5727">
        <f>HYPERLINK("https://dart.fss.or.kr/dsaf001/main.do?rcpNo=20240207801094", "공시열람")</f>
        <v/>
      </c>
    </row>
    <row r="5728">
      <c r="A5728" t="inlineStr">
        <is>
          <t>2024-02-07</t>
        </is>
      </c>
      <c r="B5728" t="inlineStr">
        <is>
          <t>에코프로</t>
        </is>
      </c>
      <c r="C5728" t="inlineStr">
        <is>
          <t>086520</t>
        </is>
      </c>
      <c r="D5728" t="inlineStr">
        <is>
          <t>연결</t>
        </is>
      </c>
      <c r="E5728" t="inlineStr">
        <is>
          <t>2023Q4</t>
        </is>
      </c>
      <c r="F5728" s="2" t="n">
        <v>1273648</v>
      </c>
      <c r="G5728" t="inlineStr"/>
      <c r="H5728" t="inlineStr"/>
      <c r="I5728" s="2" t="n">
        <v>-122376</v>
      </c>
      <c r="J5728" t="inlineStr"/>
      <c r="K5728" t="inlineStr"/>
      <c r="L5728" s="2" t="n">
        <v>-143190</v>
      </c>
      <c r="M5728" t="inlineStr"/>
      <c r="N5728" t="inlineStr">
        <is>
          <t>20240207900098</t>
        </is>
      </c>
      <c r="O5728">
        <f>HYPERLINK("https://dart.fss.or.kr/dsaf001/main.do?rcpNo=20240207900098", "공시열람")</f>
        <v/>
      </c>
    </row>
    <row r="5729">
      <c r="A5729" t="inlineStr">
        <is>
          <t>2024-02-07</t>
        </is>
      </c>
      <c r="B5729" t="inlineStr">
        <is>
          <t>풍산홀딩스</t>
        </is>
      </c>
      <c r="C5729" t="inlineStr">
        <is>
          <t>005810</t>
        </is>
      </c>
      <c r="D5729" t="inlineStr">
        <is>
          <t>별도</t>
        </is>
      </c>
      <c r="E5729" t="inlineStr">
        <is>
          <t>2023Q4</t>
        </is>
      </c>
      <c r="F5729" s="2" t="n">
        <v>37241</v>
      </c>
      <c r="G5729" t="n">
        <v>28.5</v>
      </c>
      <c r="H5729" t="n">
        <v>-10.1</v>
      </c>
      <c r="I5729" s="2" t="n">
        <v>542</v>
      </c>
      <c r="J5729" t="n">
        <v>-46.1</v>
      </c>
      <c r="K5729" t="n">
        <v>-68.59999999999999</v>
      </c>
      <c r="L5729" s="2" t="n">
        <v>552</v>
      </c>
      <c r="M5729" t="n">
        <v>123.5</v>
      </c>
      <c r="N5729" t="inlineStr">
        <is>
          <t>20240207800084</t>
        </is>
      </c>
      <c r="O5729">
        <f>HYPERLINK("https://dart.fss.or.kr/dsaf001/main.do?rcpNo=20240207800084", "공시열람")</f>
        <v/>
      </c>
    </row>
    <row r="5730">
      <c r="A5730" t="inlineStr">
        <is>
          <t>2024-02-07</t>
        </is>
      </c>
      <c r="B5730" t="inlineStr">
        <is>
          <t>오리온</t>
        </is>
      </c>
      <c r="C5730" t="inlineStr">
        <is>
          <t>271560</t>
        </is>
      </c>
      <c r="D5730" t="inlineStr">
        <is>
          <t>연결</t>
        </is>
      </c>
      <c r="E5730" t="inlineStr">
        <is>
          <t>2023Q4</t>
        </is>
      </c>
      <c r="F5730" s="2" t="inlineStr"/>
      <c r="G5730" t="inlineStr"/>
      <c r="H5730" t="inlineStr"/>
      <c r="I5730" s="2" t="inlineStr"/>
      <c r="J5730" t="inlineStr"/>
      <c r="K5730" t="inlineStr"/>
      <c r="L5730" s="2" t="inlineStr"/>
      <c r="M5730" t="inlineStr"/>
      <c r="N5730" t="inlineStr">
        <is>
          <t>20240207800167</t>
        </is>
      </c>
      <c r="O5730">
        <f>HYPERLINK("https://dart.fss.or.kr/dsaf001/main.do?rcpNo=20240207800167", "공시열람")</f>
        <v/>
      </c>
    </row>
    <row r="5731">
      <c r="A5731" t="inlineStr">
        <is>
          <t>2024-02-07</t>
        </is>
      </c>
      <c r="B5731" t="inlineStr">
        <is>
          <t>에코프로비엠</t>
        </is>
      </c>
      <c r="C5731" t="inlineStr">
        <is>
          <t>247540</t>
        </is>
      </c>
      <c r="D5731" t="inlineStr">
        <is>
          <t>연결</t>
        </is>
      </c>
      <c r="E5731" t="inlineStr">
        <is>
          <t>2023Q4</t>
        </is>
      </c>
      <c r="F5731" s="2" t="n">
        <v>1180397</v>
      </c>
      <c r="G5731" t="inlineStr"/>
      <c r="H5731" t="inlineStr"/>
      <c r="I5731" s="2" t="n">
        <v>-114661</v>
      </c>
      <c r="J5731" t="inlineStr"/>
      <c r="K5731" t="inlineStr"/>
      <c r="L5731" s="2" t="n">
        <v>-138036</v>
      </c>
      <c r="M5731" t="inlineStr"/>
      <c r="N5731" t="inlineStr">
        <is>
          <t>20240207900108</t>
        </is>
      </c>
      <c r="O5731">
        <f>HYPERLINK("https://dart.fss.or.kr/dsaf001/main.do?rcpNo=20240207900108", "공시열람")</f>
        <v/>
      </c>
    </row>
    <row r="5732">
      <c r="A5732" t="inlineStr">
        <is>
          <t>2024-02-07</t>
        </is>
      </c>
      <c r="B5732" t="inlineStr">
        <is>
          <t>오픈엣지테크놀로지</t>
        </is>
      </c>
      <c r="C5732" t="inlineStr">
        <is>
          <t>394280</t>
        </is>
      </c>
      <c r="D5732" t="inlineStr">
        <is>
          <t>연결</t>
        </is>
      </c>
      <c r="E5732" t="inlineStr">
        <is>
          <t>2023Q4</t>
        </is>
      </c>
      <c r="F5732" s="2" t="n">
        <v>13144</v>
      </c>
      <c r="G5732" t="inlineStr"/>
      <c r="H5732" t="inlineStr"/>
      <c r="I5732" s="2" t="n">
        <v>4176</v>
      </c>
      <c r="J5732" t="inlineStr"/>
      <c r="K5732" t="inlineStr"/>
      <c r="L5732" s="2" t="n">
        <v>4955</v>
      </c>
      <c r="M5732" t="inlineStr"/>
      <c r="N5732" t="inlineStr">
        <is>
          <t>20240207900572</t>
        </is>
      </c>
      <c r="O5732">
        <f>HYPERLINK("https://dart.fss.or.kr/dsaf001/main.do?rcpNo=20240207900572", "공시열람")</f>
        <v/>
      </c>
    </row>
    <row r="5733">
      <c r="A5733" t="inlineStr">
        <is>
          <t>2024-02-07</t>
        </is>
      </c>
      <c r="B5733" t="inlineStr">
        <is>
          <t>케이티앤지</t>
        </is>
      </c>
      <c r="C5733" t="inlineStr">
        <is>
          <t>033780</t>
        </is>
      </c>
      <c r="D5733" t="inlineStr">
        <is>
          <t>연결</t>
        </is>
      </c>
      <c r="E5733" t="inlineStr">
        <is>
          <t>2021Q4</t>
        </is>
      </c>
      <c r="F5733" s="2" t="n">
        <v>1451181</v>
      </c>
      <c r="G5733" t="n">
        <v>-14.1</v>
      </c>
      <c r="H5733" t="n">
        <v>3.2</v>
      </c>
      <c r="I5733" s="2" t="n">
        <v>198557</v>
      </c>
      <c r="J5733" t="n">
        <v>-51.2</v>
      </c>
      <c r="K5733" t="n">
        <v>-1.4</v>
      </c>
      <c r="L5733" s="2" t="n">
        <v>117121</v>
      </c>
      <c r="M5733" t="inlineStr"/>
      <c r="N5733" t="inlineStr">
        <is>
          <t>20240207800598</t>
        </is>
      </c>
      <c r="O5733">
        <f>HYPERLINK("https://dart.fss.or.kr/dsaf001/main.do?rcpNo=20240207800598", "공시열람")</f>
        <v/>
      </c>
    </row>
    <row r="5734">
      <c r="A5734" t="inlineStr">
        <is>
          <t>2024-02-07</t>
        </is>
      </c>
      <c r="B5734" t="inlineStr">
        <is>
          <t>DL</t>
        </is>
      </c>
      <c r="C5734" t="inlineStr">
        <is>
          <t>000210</t>
        </is>
      </c>
      <c r="D5734" t="inlineStr">
        <is>
          <t>연결</t>
        </is>
      </c>
      <c r="E5734" t="inlineStr">
        <is>
          <t>2023Q4</t>
        </is>
      </c>
      <c r="F5734" s="2" t="n">
        <v>1249134</v>
      </c>
      <c r="G5734" t="n">
        <v>-1.21</v>
      </c>
      <c r="H5734" t="n">
        <v>-6.24</v>
      </c>
      <c r="I5734" s="2" t="n">
        <v>77923</v>
      </c>
      <c r="J5734" t="n">
        <v>548.87</v>
      </c>
      <c r="K5734" t="n">
        <v>192.11</v>
      </c>
      <c r="L5734" s="2" t="n">
        <v>37479</v>
      </c>
      <c r="M5734" t="n">
        <v>-37.63</v>
      </c>
      <c r="N5734" t="inlineStr">
        <is>
          <t>20240207800582</t>
        </is>
      </c>
      <c r="O5734">
        <f>HYPERLINK("https://dart.fss.or.kr/dsaf001/main.do?rcpNo=20240207800582", "공시열람")</f>
        <v/>
      </c>
    </row>
    <row r="5735">
      <c r="A5735" t="inlineStr">
        <is>
          <t>2024-02-07</t>
        </is>
      </c>
      <c r="B5735" t="inlineStr">
        <is>
          <t>F&amp;F</t>
        </is>
      </c>
      <c r="C5735" t="inlineStr">
        <is>
          <t>383220</t>
        </is>
      </c>
      <c r="D5735" t="inlineStr">
        <is>
          <t>연결</t>
        </is>
      </c>
      <c r="E5735" t="inlineStr">
        <is>
          <t>2023Q4</t>
        </is>
      </c>
      <c r="F5735" s="2" t="n">
        <v>583218</v>
      </c>
      <c r="G5735" t="n">
        <v>18.3</v>
      </c>
      <c r="H5735" t="n">
        <v>4.4</v>
      </c>
      <c r="I5735" s="2" t="n">
        <v>144004</v>
      </c>
      <c r="J5735" t="n">
        <v>-3</v>
      </c>
      <c r="K5735" t="n">
        <v>-8.199999999999999</v>
      </c>
      <c r="L5735" s="2" t="n">
        <v>103106</v>
      </c>
      <c r="M5735" t="n">
        <v>-38.5</v>
      </c>
      <c r="N5735" t="inlineStr">
        <is>
          <t>20240207800626</t>
        </is>
      </c>
      <c r="O5735">
        <f>HYPERLINK("https://dart.fss.or.kr/dsaf001/main.do?rcpNo=20240207800626", "공시열람")</f>
        <v/>
      </c>
    </row>
    <row r="5736">
      <c r="A5736" t="inlineStr">
        <is>
          <t>2024-02-07</t>
        </is>
      </c>
      <c r="B5736" t="inlineStr">
        <is>
          <t>동국씨엠</t>
        </is>
      </c>
      <c r="C5736" t="inlineStr">
        <is>
          <t>460850</t>
        </is>
      </c>
      <c r="D5736" t="inlineStr">
        <is>
          <t>별도</t>
        </is>
      </c>
      <c r="E5736" t="inlineStr">
        <is>
          <t>2023Q4</t>
        </is>
      </c>
      <c r="F5736" s="2" t="n">
        <v>524413</v>
      </c>
      <c r="G5736" t="n">
        <v>-5.37</v>
      </c>
      <c r="H5736" t="inlineStr"/>
      <c r="I5736" s="2" t="n">
        <v>-10170</v>
      </c>
      <c r="J5736" t="inlineStr"/>
      <c r="K5736" t="inlineStr"/>
      <c r="L5736" s="2" t="n">
        <v>-17353</v>
      </c>
      <c r="M5736" t="inlineStr"/>
      <c r="N5736" t="inlineStr">
        <is>
          <t>20240207800607</t>
        </is>
      </c>
      <c r="O5736">
        <f>HYPERLINK("https://dart.fss.or.kr/dsaf001/main.do?rcpNo=20240207800607", "공시열람")</f>
        <v/>
      </c>
    </row>
    <row r="5737">
      <c r="A5737" t="inlineStr">
        <is>
          <t>2024-02-07</t>
        </is>
      </c>
      <c r="B5737" t="inlineStr">
        <is>
          <t>롯데케미칼</t>
        </is>
      </c>
      <c r="C5737" t="inlineStr">
        <is>
          <t>011170</t>
        </is>
      </c>
      <c r="D5737" t="inlineStr">
        <is>
          <t>연결</t>
        </is>
      </c>
      <c r="E5737" t="inlineStr">
        <is>
          <t>2023Q4</t>
        </is>
      </c>
      <c r="F5737" s="2" t="n">
        <v>4907933</v>
      </c>
      <c r="G5737" t="n">
        <v>-0.3</v>
      </c>
      <c r="H5737" t="n">
        <v>-10.7</v>
      </c>
      <c r="I5737" s="2" t="n">
        <v>-301282</v>
      </c>
      <c r="J5737" t="inlineStr"/>
      <c r="K5737" t="n">
        <v>24.7</v>
      </c>
      <c r="L5737" s="2" t="n">
        <v>-415791</v>
      </c>
      <c r="M5737" t="n">
        <v>-342.6</v>
      </c>
      <c r="N5737" t="inlineStr">
        <is>
          <t>20240207800610</t>
        </is>
      </c>
      <c r="O5737">
        <f>HYPERLINK("https://dart.fss.or.kr/dsaf001/main.do?rcpNo=20240207800610", "공시열람")</f>
        <v/>
      </c>
    </row>
    <row r="5738">
      <c r="A5738" t="inlineStr">
        <is>
          <t>2024-02-07</t>
        </is>
      </c>
      <c r="B5738" t="inlineStr">
        <is>
          <t>BGF리테일</t>
        </is>
      </c>
      <c r="C5738" t="inlineStr">
        <is>
          <t>282330</t>
        </is>
      </c>
      <c r="D5738" t="inlineStr">
        <is>
          <t>연결</t>
        </is>
      </c>
      <c r="E5738" t="inlineStr">
        <is>
          <t>2023Q4</t>
        </is>
      </c>
      <c r="F5738" s="2" t="n">
        <v>2040200</v>
      </c>
      <c r="G5738" t="n">
        <v>-7.5</v>
      </c>
      <c r="H5738" t="n">
        <v>4.7</v>
      </c>
      <c r="I5738" s="2" t="n">
        <v>51100</v>
      </c>
      <c r="J5738" t="n">
        <v>-41.3</v>
      </c>
      <c r="K5738" t="n">
        <v>-2.3</v>
      </c>
      <c r="L5738" s="2" t="n">
        <v>38600</v>
      </c>
      <c r="M5738" t="n">
        <v>-5.4</v>
      </c>
      <c r="N5738" t="inlineStr">
        <is>
          <t>20240207800615</t>
        </is>
      </c>
      <c r="O5738">
        <f>HYPERLINK("https://dart.fss.or.kr/dsaf001/main.do?rcpNo=20240207800615", "공시열람")</f>
        <v/>
      </c>
    </row>
    <row r="5739">
      <c r="A5739" t="inlineStr">
        <is>
          <t>2024-02-07</t>
        </is>
      </c>
      <c r="B5739" t="inlineStr">
        <is>
          <t>SK케미칼</t>
        </is>
      </c>
      <c r="C5739" t="inlineStr">
        <is>
          <t>285130</t>
        </is>
      </c>
      <c r="D5739" t="inlineStr">
        <is>
          <t>별도</t>
        </is>
      </c>
      <c r="E5739" t="inlineStr">
        <is>
          <t>2023Q4</t>
        </is>
      </c>
      <c r="F5739" s="2" t="n">
        <v>322901</v>
      </c>
      <c r="G5739" t="n">
        <v>8.300000000000001</v>
      </c>
      <c r="H5739" t="n">
        <v>12</v>
      </c>
      <c r="I5739" s="2" t="n">
        <v>16367</v>
      </c>
      <c r="J5739" t="n">
        <v>-31.4</v>
      </c>
      <c r="K5739" t="n">
        <v>-35.6</v>
      </c>
      <c r="L5739" s="2" t="n">
        <v>6780</v>
      </c>
      <c r="M5739" t="n">
        <v>14</v>
      </c>
      <c r="N5739" t="inlineStr">
        <is>
          <t>20240207800624</t>
        </is>
      </c>
      <c r="O5739">
        <f>HYPERLINK("https://dart.fss.or.kr/dsaf001/main.do?rcpNo=20240207800624", "공시열람")</f>
        <v/>
      </c>
    </row>
    <row r="5740">
      <c r="A5740" t="inlineStr">
        <is>
          <t>2024-02-07</t>
        </is>
      </c>
      <c r="B5740" t="inlineStr">
        <is>
          <t>SK케미칼</t>
        </is>
      </c>
      <c r="C5740" t="inlineStr">
        <is>
          <t>285130</t>
        </is>
      </c>
      <c r="D5740" t="inlineStr">
        <is>
          <t>연결</t>
        </is>
      </c>
      <c r="E5740" t="inlineStr">
        <is>
          <t>2023Q4</t>
        </is>
      </c>
      <c r="F5740" s="2" t="n">
        <v>431560</v>
      </c>
      <c r="G5740" t="n">
        <v>-25.8</v>
      </c>
      <c r="H5740" t="n">
        <v>-9.6</v>
      </c>
      <c r="I5740" s="2" t="n">
        <v>6429</v>
      </c>
      <c r="J5740" t="n">
        <v>-92.3</v>
      </c>
      <c r="K5740" t="n">
        <v>-85.7</v>
      </c>
      <c r="L5740" s="2" t="n">
        <v>-10571</v>
      </c>
      <c r="M5740" t="inlineStr"/>
      <c r="N5740" t="inlineStr">
        <is>
          <t>20240207800636</t>
        </is>
      </c>
      <c r="O5740">
        <f>HYPERLINK("https://dart.fss.or.kr/dsaf001/main.do?rcpNo=20240207800636", "공시열람")</f>
        <v/>
      </c>
    </row>
    <row r="5741">
      <c r="A5741" t="inlineStr">
        <is>
          <t>2024-02-07</t>
        </is>
      </c>
      <c r="B5741" t="inlineStr">
        <is>
          <t>광주신세계</t>
        </is>
      </c>
      <c r="C5741" t="inlineStr">
        <is>
          <t>037710</t>
        </is>
      </c>
      <c r="D5741" t="inlineStr">
        <is>
          <t>별도</t>
        </is>
      </c>
      <c r="E5741" t="inlineStr">
        <is>
          <t>2023Q4</t>
        </is>
      </c>
      <c r="F5741" s="2" t="n">
        <v>49500</v>
      </c>
      <c r="G5741" t="n">
        <v>20.6</v>
      </c>
      <c r="H5741" t="n">
        <v>0.1</v>
      </c>
      <c r="I5741" s="2" t="n">
        <v>16537</v>
      </c>
      <c r="J5741" t="n">
        <v>47.9</v>
      </c>
      <c r="K5741" t="n">
        <v>-4.4</v>
      </c>
      <c r="L5741" s="2" t="n">
        <v>8373</v>
      </c>
      <c r="M5741" t="n">
        <v>-36.4</v>
      </c>
      <c r="N5741" t="inlineStr">
        <is>
          <t>20240207800592</t>
        </is>
      </c>
      <c r="O5741">
        <f>HYPERLINK("https://dart.fss.or.kr/dsaf001/main.do?rcpNo=20240207800592", "공시열람")</f>
        <v/>
      </c>
    </row>
    <row r="5742">
      <c r="A5742" t="inlineStr">
        <is>
          <t>2024-02-07</t>
        </is>
      </c>
      <c r="B5742" t="inlineStr">
        <is>
          <t>에스엠</t>
        </is>
      </c>
      <c r="C5742" t="inlineStr">
        <is>
          <t>041510</t>
        </is>
      </c>
      <c r="D5742" t="inlineStr">
        <is>
          <t>별도</t>
        </is>
      </c>
      <c r="E5742" t="inlineStr">
        <is>
          <t>2023Q4</t>
        </is>
      </c>
      <c r="F5742" s="2" t="n">
        <v>163684</v>
      </c>
      <c r="G5742" t="inlineStr"/>
      <c r="H5742" t="inlineStr"/>
      <c r="I5742" s="2" t="n">
        <v>20625</v>
      </c>
      <c r="J5742" t="inlineStr"/>
      <c r="K5742" t="inlineStr"/>
      <c r="L5742" s="2" t="n">
        <v>9448</v>
      </c>
      <c r="M5742" t="inlineStr"/>
      <c r="N5742" t="inlineStr">
        <is>
          <t>20240207900591</t>
        </is>
      </c>
      <c r="O5742">
        <f>HYPERLINK("https://dart.fss.or.kr/dsaf001/main.do?rcpNo=20240207900591", "공시열람")</f>
        <v/>
      </c>
    </row>
    <row r="5743">
      <c r="A5743" t="inlineStr">
        <is>
          <t>2024-02-07</t>
        </is>
      </c>
      <c r="B5743" t="inlineStr">
        <is>
          <t>콘텐트리중앙</t>
        </is>
      </c>
      <c r="C5743" t="inlineStr">
        <is>
          <t>036420</t>
        </is>
      </c>
      <c r="D5743" t="inlineStr">
        <is>
          <t>연결</t>
        </is>
      </c>
      <c r="E5743" t="inlineStr">
        <is>
          <t>2023Q4</t>
        </is>
      </c>
      <c r="F5743" s="2" t="n">
        <v>256935</v>
      </c>
      <c r="G5743" t="inlineStr"/>
      <c r="H5743" t="inlineStr"/>
      <c r="I5743" s="2" t="n">
        <v>-49624</v>
      </c>
      <c r="J5743" t="inlineStr"/>
      <c r="K5743" t="inlineStr"/>
      <c r="L5743" s="2" t="n">
        <v>-58464</v>
      </c>
      <c r="M5743" t="inlineStr"/>
      <c r="N5743" t="inlineStr">
        <is>
          <t>20240207800628</t>
        </is>
      </c>
      <c r="O5743">
        <f>HYPERLINK("https://dart.fss.or.kr/dsaf001/main.do?rcpNo=20240207800628", "공시열람")</f>
        <v/>
      </c>
    </row>
    <row r="5744">
      <c r="A5744" t="inlineStr">
        <is>
          <t>2024-02-07</t>
        </is>
      </c>
      <c r="B5744" t="inlineStr">
        <is>
          <t>iM금융지주</t>
        </is>
      </c>
      <c r="C5744" t="inlineStr">
        <is>
          <t>139130</t>
        </is>
      </c>
      <c r="D5744" t="inlineStr">
        <is>
          <t>연결</t>
        </is>
      </c>
      <c r="E5744" t="inlineStr">
        <is>
          <t>2023Q4</t>
        </is>
      </c>
      <c r="F5744" s="2" t="n">
        <v>1141684</v>
      </c>
      <c r="G5744" t="n">
        <v>0.2</v>
      </c>
      <c r="H5744" t="n">
        <v>-4</v>
      </c>
      <c r="I5744" s="2" t="n">
        <v>17892</v>
      </c>
      <c r="J5744" t="n">
        <v>-85.59999999999999</v>
      </c>
      <c r="K5744" t="n">
        <v>-74</v>
      </c>
      <c r="L5744" s="2" t="n">
        <v>15980</v>
      </c>
      <c r="M5744" t="n">
        <v>-72.59999999999999</v>
      </c>
      <c r="N5744" t="inlineStr">
        <is>
          <t>20240207800699</t>
        </is>
      </c>
      <c r="O5744">
        <f>HYPERLINK("https://dart.fss.or.kr/dsaf001/main.do?rcpNo=20240207800699", "공시열람")</f>
        <v/>
      </c>
    </row>
    <row r="5745">
      <c r="A5745" t="inlineStr">
        <is>
          <t>2024-02-07</t>
        </is>
      </c>
      <c r="B5745" t="inlineStr">
        <is>
          <t>롯데렌탈</t>
        </is>
      </c>
      <c r="C5745" t="inlineStr">
        <is>
          <t>089860</t>
        </is>
      </c>
      <c r="D5745" t="inlineStr">
        <is>
          <t>연결</t>
        </is>
      </c>
      <c r="E5745" t="inlineStr">
        <is>
          <t>2023Q4</t>
        </is>
      </c>
      <c r="F5745" s="2" t="n">
        <v>654890</v>
      </c>
      <c r="G5745" t="inlineStr"/>
      <c r="H5745" t="inlineStr"/>
      <c r="I5745" s="2" t="n">
        <v>52534</v>
      </c>
      <c r="J5745" t="inlineStr"/>
      <c r="K5745" t="inlineStr"/>
      <c r="L5745" s="2" t="n">
        <v>5107</v>
      </c>
      <c r="M5745" t="inlineStr"/>
      <c r="N5745" t="inlineStr">
        <is>
          <t>20240207800645</t>
        </is>
      </c>
      <c r="O5745">
        <f>HYPERLINK("https://dart.fss.or.kr/dsaf001/main.do?rcpNo=20240207800645", "공시열람")</f>
        <v/>
      </c>
    </row>
    <row r="5746">
      <c r="A5746" t="inlineStr">
        <is>
          <t>2024-02-07</t>
        </is>
      </c>
      <c r="B5746" t="inlineStr">
        <is>
          <t>BGF에코머티리얼즈</t>
        </is>
      </c>
      <c r="C5746" t="inlineStr">
        <is>
          <t>126600</t>
        </is>
      </c>
      <c r="D5746" t="inlineStr">
        <is>
          <t>연결</t>
        </is>
      </c>
      <c r="E5746" t="inlineStr">
        <is>
          <t>2023Q4</t>
        </is>
      </c>
      <c r="F5746" s="2" t="n">
        <v>86175</v>
      </c>
      <c r="G5746" t="inlineStr"/>
      <c r="H5746" t="inlineStr"/>
      <c r="I5746" s="2" t="n">
        <v>5105</v>
      </c>
      <c r="J5746" t="inlineStr"/>
      <c r="K5746" t="inlineStr"/>
      <c r="L5746" s="2" t="n">
        <v>3468</v>
      </c>
      <c r="M5746" t="inlineStr"/>
      <c r="N5746" t="inlineStr">
        <is>
          <t>20240207901030</t>
        </is>
      </c>
      <c r="O5746">
        <f>HYPERLINK("https://dart.fss.or.kr/dsaf001/main.do?rcpNo=20240207901030", "공시열람")</f>
        <v/>
      </c>
    </row>
    <row r="5747">
      <c r="A5747" t="inlineStr">
        <is>
          <t>2024-02-07</t>
        </is>
      </c>
      <c r="B5747" t="inlineStr">
        <is>
          <t>케이씨씨글라스</t>
        </is>
      </c>
      <c r="C5747" t="inlineStr">
        <is>
          <t>344820</t>
        </is>
      </c>
      <c r="D5747" t="inlineStr">
        <is>
          <t>연결</t>
        </is>
      </c>
      <c r="E5747" t="inlineStr">
        <is>
          <t>2023Q4</t>
        </is>
      </c>
      <c r="F5747" s="2" t="n">
        <v>438543</v>
      </c>
      <c r="G5747" t="n">
        <v>3.2</v>
      </c>
      <c r="H5747" t="n">
        <v>2.3</v>
      </c>
      <c r="I5747" s="2" t="n">
        <v>26248</v>
      </c>
      <c r="J5747" t="n">
        <v>20.2</v>
      </c>
      <c r="K5747" t="n">
        <v>6</v>
      </c>
      <c r="L5747" s="2" t="n">
        <v>26384</v>
      </c>
      <c r="M5747" t="n">
        <v>-19</v>
      </c>
      <c r="N5747" t="inlineStr">
        <is>
          <t>20240207800916</t>
        </is>
      </c>
      <c r="O5747">
        <f>HYPERLINK("https://dart.fss.or.kr/dsaf001/main.do?rcpNo=20240207800916", "공시열람")</f>
        <v/>
      </c>
    </row>
    <row r="5748">
      <c r="A5748" t="inlineStr">
        <is>
          <t>2024-02-07</t>
        </is>
      </c>
      <c r="B5748" t="inlineStr">
        <is>
          <t>대덕전자</t>
        </is>
      </c>
      <c r="C5748" t="inlineStr">
        <is>
          <t>353200</t>
        </is>
      </c>
      <c r="D5748" t="inlineStr">
        <is>
          <t>연결</t>
        </is>
      </c>
      <c r="E5748" t="inlineStr">
        <is>
          <t>2023Q4</t>
        </is>
      </c>
      <c r="F5748" s="2" t="n">
        <v>234352</v>
      </c>
      <c r="G5748" t="inlineStr"/>
      <c r="H5748" t="inlineStr"/>
      <c r="I5748" s="2" t="n">
        <v>6431</v>
      </c>
      <c r="J5748" t="inlineStr"/>
      <c r="K5748" t="inlineStr"/>
      <c r="L5748" s="2" t="n">
        <v>5030</v>
      </c>
      <c r="M5748" t="inlineStr"/>
      <c r="N5748" t="inlineStr">
        <is>
          <t>20240207800770</t>
        </is>
      </c>
      <c r="O5748">
        <f>HYPERLINK("https://dart.fss.or.kr/dsaf001/main.do?rcpNo=20240207800770", "공시열람")</f>
        <v/>
      </c>
    </row>
    <row r="5749">
      <c r="A5749" t="inlineStr">
        <is>
          <t>2024-02-07</t>
        </is>
      </c>
      <c r="B5749" t="inlineStr">
        <is>
          <t>광주신세계</t>
        </is>
      </c>
      <c r="C5749" t="inlineStr">
        <is>
          <t>037710</t>
        </is>
      </c>
      <c r="D5749" t="inlineStr">
        <is>
          <t>별도</t>
        </is>
      </c>
      <c r="E5749" t="inlineStr">
        <is>
          <t>2023Q4</t>
        </is>
      </c>
      <c r="F5749" s="2" t="n">
        <v>13709</v>
      </c>
      <c r="G5749" t="n">
        <v>-17.9</v>
      </c>
      <c r="H5749" t="n">
        <v>-11.6</v>
      </c>
      <c r="I5749" s="2" t="inlineStr"/>
      <c r="J5749" t="inlineStr"/>
      <c r="K5749" t="inlineStr"/>
      <c r="L5749" s="2" t="inlineStr"/>
      <c r="M5749" t="inlineStr"/>
      <c r="N5749" t="inlineStr">
        <is>
          <t>20240207800844</t>
        </is>
      </c>
      <c r="O5749">
        <f>HYPERLINK("https://dart.fss.or.kr/dsaf001/main.do?rcpNo=20240207800844", "공시열람")</f>
        <v/>
      </c>
    </row>
    <row r="5750">
      <c r="A5750" t="inlineStr">
        <is>
          <t>2024-02-07</t>
        </is>
      </c>
      <c r="B5750" t="inlineStr">
        <is>
          <t>넷마블</t>
        </is>
      </c>
      <c r="C5750" t="inlineStr">
        <is>
          <t>251270</t>
        </is>
      </c>
      <c r="D5750" t="inlineStr">
        <is>
          <t>연결</t>
        </is>
      </c>
      <c r="E5750" t="inlineStr">
        <is>
          <t>2023Q4</t>
        </is>
      </c>
      <c r="F5750" s="2" t="n">
        <v>664900</v>
      </c>
      <c r="G5750" t="n">
        <v>5.4</v>
      </c>
      <c r="H5750" t="n">
        <v>-3.2</v>
      </c>
      <c r="I5750" s="2" t="n">
        <v>17700</v>
      </c>
      <c r="J5750" t="inlineStr"/>
      <c r="K5750" t="inlineStr"/>
      <c r="L5750" s="2" t="n">
        <v>-195000</v>
      </c>
      <c r="M5750" t="n">
        <v>55.3</v>
      </c>
      <c r="N5750" t="inlineStr">
        <is>
          <t>20240207800685</t>
        </is>
      </c>
      <c r="O5750">
        <f>HYPERLINK("https://dart.fss.or.kr/dsaf001/main.do?rcpNo=20240207800685", "공시열람")</f>
        <v/>
      </c>
    </row>
    <row r="5751">
      <c r="A5751" t="inlineStr">
        <is>
          <t>2024-02-07</t>
        </is>
      </c>
      <c r="B5751" t="inlineStr">
        <is>
          <t>웹젠</t>
        </is>
      </c>
      <c r="C5751" t="inlineStr">
        <is>
          <t>069080</t>
        </is>
      </c>
      <c r="D5751" t="inlineStr">
        <is>
          <t>연결</t>
        </is>
      </c>
      <c r="E5751" t="inlineStr">
        <is>
          <t>2023Q4</t>
        </is>
      </c>
      <c r="F5751" s="2" t="n">
        <v>70651</v>
      </c>
      <c r="G5751" t="inlineStr"/>
      <c r="H5751" t="inlineStr"/>
      <c r="I5751" s="2" t="n">
        <v>18267</v>
      </c>
      <c r="J5751" t="inlineStr"/>
      <c r="K5751" t="inlineStr"/>
      <c r="L5751" s="2" t="n">
        <v>20516</v>
      </c>
      <c r="M5751" t="inlineStr"/>
      <c r="N5751" t="inlineStr">
        <is>
          <t>20240207900751</t>
        </is>
      </c>
      <c r="O5751">
        <f>HYPERLINK("https://dart.fss.or.kr/dsaf001/main.do?rcpNo=20240207900751", "공시열람")</f>
        <v/>
      </c>
    </row>
    <row r="5752">
      <c r="A5752" t="inlineStr">
        <is>
          <t>2024-02-07</t>
        </is>
      </c>
      <c r="B5752" t="inlineStr">
        <is>
          <t>현대그린푸드</t>
        </is>
      </c>
      <c r="C5752" t="inlineStr">
        <is>
          <t>453340</t>
        </is>
      </c>
      <c r="D5752" t="inlineStr">
        <is>
          <t>연결</t>
        </is>
      </c>
      <c r="E5752" t="inlineStr">
        <is>
          <t>2023Q4</t>
        </is>
      </c>
      <c r="F5752" s="2" t="n">
        <v>557400</v>
      </c>
      <c r="G5752" t="n">
        <v>-2.98</v>
      </c>
      <c r="H5752" t="inlineStr"/>
      <c r="I5752" s="2" t="n">
        <v>-1900</v>
      </c>
      <c r="J5752" t="inlineStr"/>
      <c r="K5752" t="inlineStr"/>
      <c r="L5752" s="2" t="n">
        <v>-12900</v>
      </c>
      <c r="M5752" t="inlineStr"/>
      <c r="N5752" t="inlineStr">
        <is>
          <t>20240207800766</t>
        </is>
      </c>
      <c r="O5752">
        <f>HYPERLINK("https://dart.fss.or.kr/dsaf001/main.do?rcpNo=20240207800766", "공시열람")</f>
        <v/>
      </c>
    </row>
    <row r="5753">
      <c r="A5753" t="inlineStr">
        <is>
          <t>2024-02-07</t>
        </is>
      </c>
      <c r="B5753" t="inlineStr">
        <is>
          <t>강원랜드</t>
        </is>
      </c>
      <c r="C5753" t="inlineStr">
        <is>
          <t>035250</t>
        </is>
      </c>
      <c r="D5753" t="inlineStr">
        <is>
          <t>연결</t>
        </is>
      </c>
      <c r="E5753" t="inlineStr">
        <is>
          <t>2023Q4</t>
        </is>
      </c>
      <c r="F5753" s="2" t="n">
        <v>325349</v>
      </c>
      <c r="G5753" t="n">
        <v>-13</v>
      </c>
      <c r="H5753" t="n">
        <v>-2.8</v>
      </c>
      <c r="I5753" s="2" t="n">
        <v>42053</v>
      </c>
      <c r="J5753" t="n">
        <v>-54.2</v>
      </c>
      <c r="K5753" t="n">
        <v>128.9</v>
      </c>
      <c r="L5753" s="2" t="n">
        <v>77972</v>
      </c>
      <c r="M5753" t="n">
        <v>746.1</v>
      </c>
      <c r="N5753" t="inlineStr">
        <is>
          <t>20240207800666</t>
        </is>
      </c>
      <c r="O5753">
        <f>HYPERLINK("https://dart.fss.or.kr/dsaf001/main.do?rcpNo=20240207800666", "공시열람")</f>
        <v/>
      </c>
    </row>
    <row r="5754">
      <c r="A5754" t="inlineStr">
        <is>
          <t>2024-02-07</t>
        </is>
      </c>
      <c r="B5754" t="inlineStr">
        <is>
          <t>OCI홀딩스</t>
        </is>
      </c>
      <c r="C5754" t="inlineStr">
        <is>
          <t>010060</t>
        </is>
      </c>
      <c r="D5754" t="inlineStr">
        <is>
          <t>연결</t>
        </is>
      </c>
      <c r="E5754" t="inlineStr">
        <is>
          <t>2023Q4</t>
        </is>
      </c>
      <c r="F5754" s="2" t="n">
        <v>645602</v>
      </c>
      <c r="G5754" t="n">
        <v>-6.5</v>
      </c>
      <c r="H5754" t="n">
        <v>-24</v>
      </c>
      <c r="I5754" s="2" t="n">
        <v>64842</v>
      </c>
      <c r="J5754" t="n">
        <v>-50.4</v>
      </c>
      <c r="K5754" t="n">
        <v>-77.2</v>
      </c>
      <c r="L5754" s="2" t="n">
        <v>-17819</v>
      </c>
      <c r="M5754" t="inlineStr"/>
      <c r="N5754" t="inlineStr">
        <is>
          <t>20240207800553</t>
        </is>
      </c>
      <c r="O5754">
        <f>HYPERLINK("https://dart.fss.or.kr/dsaf001/main.do?rcpNo=20240207800553", "공시열람")</f>
        <v/>
      </c>
    </row>
    <row r="5755">
      <c r="A5755" t="inlineStr">
        <is>
          <t>2024-02-07</t>
        </is>
      </c>
      <c r="B5755" t="inlineStr">
        <is>
          <t>KB금융</t>
        </is>
      </c>
      <c r="C5755" t="inlineStr">
        <is>
          <t>105560</t>
        </is>
      </c>
      <c r="D5755" t="inlineStr">
        <is>
          <t>연결</t>
        </is>
      </c>
      <c r="E5755" t="inlineStr">
        <is>
          <t>2023Q4</t>
        </is>
      </c>
      <c r="F5755" s="2" t="n">
        <v>2875997</v>
      </c>
      <c r="G5755" t="n">
        <v>11.52</v>
      </c>
      <c r="H5755" t="n">
        <v>790.48</v>
      </c>
      <c r="I5755" s="2" t="n">
        <v>68839</v>
      </c>
      <c r="J5755" t="n">
        <v>-55.02</v>
      </c>
      <c r="K5755" t="inlineStr"/>
      <c r="L5755" s="2" t="n">
        <v>22483</v>
      </c>
      <c r="M5755" t="inlineStr"/>
      <c r="N5755" t="inlineStr">
        <is>
          <t>20240207800518</t>
        </is>
      </c>
      <c r="O5755">
        <f>HYPERLINK("https://dart.fss.or.kr/dsaf001/main.do?rcpNo=20240207800518", "공시열람")</f>
        <v/>
      </c>
    </row>
    <row r="5756">
      <c r="A5756" t="inlineStr">
        <is>
          <t>2024-02-07</t>
        </is>
      </c>
      <c r="B5756" t="inlineStr">
        <is>
          <t>에코프로에이치엔</t>
        </is>
      </c>
      <c r="C5756" t="inlineStr">
        <is>
          <t>383310</t>
        </is>
      </c>
      <c r="D5756" t="inlineStr">
        <is>
          <t>연결</t>
        </is>
      </c>
      <c r="E5756" t="inlineStr">
        <is>
          <t>2023Q4</t>
        </is>
      </c>
      <c r="F5756" s="2" t="n">
        <v>47557</v>
      </c>
      <c r="G5756" t="inlineStr"/>
      <c r="H5756" t="inlineStr"/>
      <c r="I5756" s="2" t="n">
        <v>7175</v>
      </c>
      <c r="J5756" t="inlineStr"/>
      <c r="K5756" t="inlineStr"/>
      <c r="L5756" s="2" t="n">
        <v>5405</v>
      </c>
      <c r="M5756" t="inlineStr"/>
      <c r="N5756" t="inlineStr">
        <is>
          <t>20240207900112</t>
        </is>
      </c>
      <c r="O5756">
        <f>HYPERLINK("https://dart.fss.or.kr/dsaf001/main.do?rcpNo=20240207900112", "공시열람")</f>
        <v/>
      </c>
    </row>
    <row r="5757">
      <c r="A5757" t="inlineStr">
        <is>
          <t>2024-02-07</t>
        </is>
      </c>
      <c r="B5757" t="inlineStr">
        <is>
          <t>KB금융</t>
        </is>
      </c>
      <c r="C5757" t="inlineStr">
        <is>
          <t>105560</t>
        </is>
      </c>
      <c r="D5757" t="inlineStr">
        <is>
          <t>연결</t>
        </is>
      </c>
      <c r="E5757" t="inlineStr">
        <is>
          <t>2023Q4</t>
        </is>
      </c>
      <c r="F5757" s="2" t="n">
        <v>10411048</v>
      </c>
      <c r="G5757" t="n">
        <v>-4.35</v>
      </c>
      <c r="H5757" t="n">
        <v>177.56</v>
      </c>
      <c r="I5757" s="2" t="n">
        <v>474594</v>
      </c>
      <c r="J5757" t="n">
        <v>-65.19</v>
      </c>
      <c r="K5757" t="n">
        <v>-12.07</v>
      </c>
      <c r="L5757" s="2" t="n">
        <v>344200</v>
      </c>
      <c r="M5757" t="n">
        <v>66.17</v>
      </c>
      <c r="N5757" t="inlineStr">
        <is>
          <t>20240207800513</t>
        </is>
      </c>
      <c r="O5757">
        <f>HYPERLINK("https://dart.fss.or.kr/dsaf001/main.do?rcpNo=20240207800513", "공시열람")</f>
        <v/>
      </c>
    </row>
    <row r="5758">
      <c r="A5758" t="inlineStr">
        <is>
          <t>2024-02-07</t>
        </is>
      </c>
      <c r="B5758" t="inlineStr">
        <is>
          <t>에코프로머티</t>
        </is>
      </c>
      <c r="C5758" t="inlineStr">
        <is>
          <t>450080</t>
        </is>
      </c>
      <c r="D5758" t="inlineStr">
        <is>
          <t>별도</t>
        </is>
      </c>
      <c r="E5758" t="inlineStr">
        <is>
          <t>2023Q4</t>
        </is>
      </c>
      <c r="F5758" s="2" t="n">
        <v>188400</v>
      </c>
      <c r="G5758" t="n">
        <v>-21.5</v>
      </c>
      <c r="H5758" t="n">
        <v>-13.8</v>
      </c>
      <c r="I5758" s="2" t="n">
        <v>136</v>
      </c>
      <c r="J5758" t="inlineStr"/>
      <c r="K5758" t="inlineStr"/>
      <c r="L5758" s="2" t="n">
        <v>12913</v>
      </c>
      <c r="M5758" t="n">
        <v>405.9</v>
      </c>
      <c r="N5758" t="inlineStr">
        <is>
          <t>20240207800117</t>
        </is>
      </c>
      <c r="O5758">
        <f>HYPERLINK("https://dart.fss.or.kr/dsaf001/main.do?rcpNo=20240207800117", "공시열람")</f>
        <v/>
      </c>
    </row>
    <row r="5759">
      <c r="A5759" t="inlineStr">
        <is>
          <t>2024-02-07</t>
        </is>
      </c>
      <c r="B5759" t="inlineStr">
        <is>
          <t>LG헬로비전</t>
        </is>
      </c>
      <c r="C5759" t="inlineStr">
        <is>
          <t>037560</t>
        </is>
      </c>
      <c r="D5759" t="inlineStr">
        <is>
          <t>연결</t>
        </is>
      </c>
      <c r="E5759" t="inlineStr">
        <is>
          <t>2023Q4</t>
        </is>
      </c>
      <c r="F5759" s="2" t="n">
        <v>337346</v>
      </c>
      <c r="G5759" t="n">
        <v>16.9</v>
      </c>
      <c r="H5759" t="n">
        <v>19.4</v>
      </c>
      <c r="I5759" s="2" t="n">
        <v>12700</v>
      </c>
      <c r="J5759" t="n">
        <v>40.2</v>
      </c>
      <c r="K5759" t="n">
        <v>29.2</v>
      </c>
      <c r="L5759" s="2" t="n">
        <v>-73868</v>
      </c>
      <c r="M5759" t="n">
        <v>-32</v>
      </c>
      <c r="N5759" t="inlineStr">
        <is>
          <t>20240207800133</t>
        </is>
      </c>
      <c r="O5759">
        <f>HYPERLINK("https://dart.fss.or.kr/dsaf001/main.do?rcpNo=20240207800133", "공시열람")</f>
        <v/>
      </c>
    </row>
    <row r="5760">
      <c r="A5760" t="inlineStr">
        <is>
          <t>2024-02-07</t>
        </is>
      </c>
      <c r="B5760" t="inlineStr">
        <is>
          <t>LG유플러스</t>
        </is>
      </c>
      <c r="C5760" t="inlineStr">
        <is>
          <t>032640</t>
        </is>
      </c>
      <c r="D5760" t="inlineStr">
        <is>
          <t>연결</t>
        </is>
      </c>
      <c r="E5760" t="inlineStr">
        <is>
          <t>2023Q4</t>
        </is>
      </c>
      <c r="F5760" s="2" t="n">
        <v>3820900</v>
      </c>
      <c r="G5760" t="n">
        <v>6.7</v>
      </c>
      <c r="H5760" t="n">
        <v>5.8</v>
      </c>
      <c r="I5760" s="2" t="n">
        <v>195500</v>
      </c>
      <c r="J5760" t="n">
        <v>-23.1</v>
      </c>
      <c r="K5760" t="n">
        <v>-31.8</v>
      </c>
      <c r="L5760" s="2" t="n">
        <v>105200</v>
      </c>
      <c r="M5760" t="n">
        <v>-34</v>
      </c>
      <c r="N5760" t="inlineStr">
        <is>
          <t>20240207800141</t>
        </is>
      </c>
      <c r="O5760">
        <f>HYPERLINK("https://dart.fss.or.kr/dsaf001/main.do?rcpNo=20240207800141", "공시열람")</f>
        <v/>
      </c>
    </row>
    <row r="5761">
      <c r="A5761" t="inlineStr">
        <is>
          <t>2024-02-07</t>
        </is>
      </c>
      <c r="B5761" t="inlineStr">
        <is>
          <t>LG유플러스</t>
        </is>
      </c>
      <c r="C5761" t="inlineStr">
        <is>
          <t>032640</t>
        </is>
      </c>
      <c r="D5761" t="inlineStr">
        <is>
          <t>별도</t>
        </is>
      </c>
      <c r="E5761" t="inlineStr">
        <is>
          <t>2023Q4</t>
        </is>
      </c>
      <c r="F5761" s="2" t="n">
        <v>3486600</v>
      </c>
      <c r="G5761" t="n">
        <v>5.4</v>
      </c>
      <c r="H5761" t="n">
        <v>4.5</v>
      </c>
      <c r="I5761" s="2" t="n">
        <v>189300</v>
      </c>
      <c r="J5761" t="n">
        <v>-25.3</v>
      </c>
      <c r="K5761" t="n">
        <v>-30.6</v>
      </c>
      <c r="L5761" s="2" t="n">
        <v>113100</v>
      </c>
      <c r="M5761" t="n">
        <v>-32.2</v>
      </c>
      <c r="N5761" t="inlineStr">
        <is>
          <t>20240207800145</t>
        </is>
      </c>
      <c r="O5761">
        <f>HYPERLINK("https://dart.fss.or.kr/dsaf001/main.do?rcpNo=20240207800145", "공시열람")</f>
        <v/>
      </c>
    </row>
    <row r="5762">
      <c r="A5762" t="inlineStr">
        <is>
          <t>2024-02-07</t>
        </is>
      </c>
      <c r="B5762" t="inlineStr">
        <is>
          <t>LS에코에너지</t>
        </is>
      </c>
      <c r="C5762" t="inlineStr">
        <is>
          <t>229640</t>
        </is>
      </c>
      <c r="D5762" t="inlineStr">
        <is>
          <t>연결</t>
        </is>
      </c>
      <c r="E5762" t="inlineStr">
        <is>
          <t>2023Q4</t>
        </is>
      </c>
      <c r="F5762" s="2" t="n">
        <v>199847</v>
      </c>
      <c r="G5762" t="n">
        <v>19.3</v>
      </c>
      <c r="H5762" t="n">
        <v>2.9</v>
      </c>
      <c r="I5762" s="2" t="n">
        <v>7215</v>
      </c>
      <c r="J5762" t="n">
        <v>-34.8</v>
      </c>
      <c r="K5762" t="n">
        <v>189.1</v>
      </c>
      <c r="L5762" s="2" t="n">
        <v>504</v>
      </c>
      <c r="M5762" t="inlineStr"/>
      <c r="N5762" t="inlineStr">
        <is>
          <t>20240207800175</t>
        </is>
      </c>
      <c r="O5762">
        <f>HYPERLINK("https://dart.fss.or.kr/dsaf001/main.do?rcpNo=20240207800175", "공시열람")</f>
        <v/>
      </c>
    </row>
    <row r="5763">
      <c r="A5763" t="inlineStr">
        <is>
          <t>2024-02-07</t>
        </is>
      </c>
      <c r="B5763" t="inlineStr">
        <is>
          <t>엔텔스</t>
        </is>
      </c>
      <c r="C5763" t="inlineStr">
        <is>
          <t>069410</t>
        </is>
      </c>
      <c r="D5763" t="inlineStr">
        <is>
          <t>별도</t>
        </is>
      </c>
      <c r="E5763" t="inlineStr">
        <is>
          <t>2023Q4</t>
        </is>
      </c>
      <c r="F5763" s="2" t="n">
        <v>15593</v>
      </c>
      <c r="G5763" t="inlineStr"/>
      <c r="H5763" t="inlineStr"/>
      <c r="I5763" s="2" t="n">
        <v>1406</v>
      </c>
      <c r="J5763" t="inlineStr"/>
      <c r="K5763" t="inlineStr"/>
      <c r="L5763" s="2" t="n">
        <v>1675</v>
      </c>
      <c r="M5763" t="inlineStr"/>
      <c r="N5763" t="inlineStr">
        <is>
          <t>20240207900220</t>
        </is>
      </c>
      <c r="O5763">
        <f>HYPERLINK("https://dart.fss.or.kr/dsaf001/main.do?rcpNo=20240207900220", "공시열람")</f>
        <v/>
      </c>
    </row>
    <row r="5764">
      <c r="A5764" t="inlineStr">
        <is>
          <t>2024-02-07</t>
        </is>
      </c>
      <c r="B5764" t="inlineStr">
        <is>
          <t>레드캡투어</t>
        </is>
      </c>
      <c r="C5764" t="inlineStr">
        <is>
          <t>038390</t>
        </is>
      </c>
      <c r="D5764" t="inlineStr">
        <is>
          <t>연결</t>
        </is>
      </c>
      <c r="E5764" t="inlineStr">
        <is>
          <t>2023Q4</t>
        </is>
      </c>
      <c r="F5764" s="2" t="n">
        <v>88911</v>
      </c>
      <c r="G5764" t="inlineStr"/>
      <c r="H5764" t="inlineStr"/>
      <c r="I5764" s="2" t="n">
        <v>9708</v>
      </c>
      <c r="J5764" t="inlineStr"/>
      <c r="K5764" t="inlineStr"/>
      <c r="L5764" s="2" t="n">
        <v>3964</v>
      </c>
      <c r="M5764" t="inlineStr"/>
      <c r="N5764" t="inlineStr">
        <is>
          <t>20240207900237</t>
        </is>
      </c>
      <c r="O5764">
        <f>HYPERLINK("https://dart.fss.or.kr/dsaf001/main.do?rcpNo=20240207900237", "공시열람")</f>
        <v/>
      </c>
    </row>
    <row r="5765">
      <c r="A5765" t="inlineStr">
        <is>
          <t>2024-02-07</t>
        </is>
      </c>
      <c r="B5765" t="inlineStr">
        <is>
          <t>롯데웰푸드</t>
        </is>
      </c>
      <c r="C5765" t="inlineStr">
        <is>
          <t>280360</t>
        </is>
      </c>
      <c r="D5765" t="inlineStr">
        <is>
          <t>별도</t>
        </is>
      </c>
      <c r="E5765" t="inlineStr">
        <is>
          <t>2023Q4</t>
        </is>
      </c>
      <c r="F5765" s="2" t="n">
        <v>3300752</v>
      </c>
      <c r="G5765" t="n">
        <v>35.1</v>
      </c>
      <c r="H5765" t="inlineStr"/>
      <c r="I5765" s="2" t="n">
        <v>130507</v>
      </c>
      <c r="J5765" t="n">
        <v>61.3</v>
      </c>
      <c r="K5765" t="inlineStr"/>
      <c r="L5765" s="2" t="n">
        <v>59492</v>
      </c>
      <c r="M5765" t="inlineStr"/>
      <c r="N5765" t="inlineStr">
        <is>
          <t>20240207800259</t>
        </is>
      </c>
      <c r="O5765">
        <f>HYPERLINK("https://dart.fss.or.kr/dsaf001/main.do?rcpNo=20240207800259", "공시열람")</f>
        <v/>
      </c>
    </row>
    <row r="5766">
      <c r="A5766" t="inlineStr">
        <is>
          <t>2024-02-07</t>
        </is>
      </c>
      <c r="B5766" t="inlineStr">
        <is>
          <t>KG이니시스</t>
        </is>
      </c>
      <c r="C5766" t="inlineStr">
        <is>
          <t>035600</t>
        </is>
      </c>
      <c r="D5766" t="inlineStr">
        <is>
          <t>연결</t>
        </is>
      </c>
      <c r="E5766" t="inlineStr">
        <is>
          <t>2023Q4</t>
        </is>
      </c>
      <c r="F5766" s="2" t="n">
        <v>353451</v>
      </c>
      <c r="G5766" t="inlineStr"/>
      <c r="H5766" t="inlineStr"/>
      <c r="I5766" s="2" t="n">
        <v>28689</v>
      </c>
      <c r="J5766" t="inlineStr"/>
      <c r="K5766" t="inlineStr"/>
      <c r="L5766" s="2" t="n">
        <v>29469</v>
      </c>
      <c r="M5766" t="inlineStr"/>
      <c r="N5766" t="inlineStr">
        <is>
          <t>20240207900280</t>
        </is>
      </c>
      <c r="O5766">
        <f>HYPERLINK("https://dart.fss.or.kr/dsaf001/main.do?rcpNo=20240207900280", "공시열람")</f>
        <v/>
      </c>
    </row>
    <row r="5767">
      <c r="A5767" t="inlineStr">
        <is>
          <t>2024-02-07</t>
        </is>
      </c>
      <c r="B5767" t="inlineStr">
        <is>
          <t>스튜디오드래곤</t>
        </is>
      </c>
      <c r="C5767" t="inlineStr">
        <is>
          <t>253450</t>
        </is>
      </c>
      <c r="D5767" t="inlineStr">
        <is>
          <t>연결</t>
        </is>
      </c>
      <c r="E5767" t="inlineStr">
        <is>
          <t>2023Q4</t>
        </is>
      </c>
      <c r="F5767" s="2" t="n">
        <v>161098</v>
      </c>
      <c r="G5767" t="inlineStr"/>
      <c r="H5767" t="inlineStr"/>
      <c r="I5767" s="2" t="n">
        <v>-3849</v>
      </c>
      <c r="J5767" t="inlineStr"/>
      <c r="K5767" t="inlineStr"/>
      <c r="L5767" s="2" t="n">
        <v>-16676</v>
      </c>
      <c r="M5767" t="inlineStr"/>
      <c r="N5767" t="inlineStr">
        <is>
          <t>20240207900301</t>
        </is>
      </c>
      <c r="O5767">
        <f>HYPERLINK("https://dart.fss.or.kr/dsaf001/main.do?rcpNo=20240207900301", "공시열람")</f>
        <v/>
      </c>
    </row>
    <row r="5768">
      <c r="A5768" t="inlineStr">
        <is>
          <t>2024-02-07</t>
        </is>
      </c>
      <c r="B5768" t="inlineStr">
        <is>
          <t>케이씨씨</t>
        </is>
      </c>
      <c r="C5768" t="inlineStr">
        <is>
          <t>002380</t>
        </is>
      </c>
      <c r="D5768" t="inlineStr">
        <is>
          <t>연결</t>
        </is>
      </c>
      <c r="E5768" t="inlineStr">
        <is>
          <t>2023Q4</t>
        </is>
      </c>
      <c r="F5768" s="2" t="n">
        <v>1582430</v>
      </c>
      <c r="G5768" t="n">
        <v>1.9</v>
      </c>
      <c r="H5768" t="n">
        <v>-3.6</v>
      </c>
      <c r="I5768" s="2" t="n">
        <v>55341</v>
      </c>
      <c r="J5768" t="n">
        <v>-37.4</v>
      </c>
      <c r="K5768" t="n">
        <v>-4</v>
      </c>
      <c r="L5768" s="2" t="n">
        <v>17294</v>
      </c>
      <c r="M5768" t="n">
        <v>-78.3</v>
      </c>
      <c r="N5768" t="inlineStr">
        <is>
          <t>20240207800292</t>
        </is>
      </c>
      <c r="O5768">
        <f>HYPERLINK("https://dart.fss.or.kr/dsaf001/main.do?rcpNo=20240207800292", "공시열람")</f>
        <v/>
      </c>
    </row>
    <row r="5769">
      <c r="A5769" t="inlineStr">
        <is>
          <t>2024-02-07</t>
        </is>
      </c>
      <c r="B5769" t="inlineStr">
        <is>
          <t>CJ ENM</t>
        </is>
      </c>
      <c r="C5769" t="inlineStr">
        <is>
          <t>035760</t>
        </is>
      </c>
      <c r="D5769" t="inlineStr">
        <is>
          <t>연결</t>
        </is>
      </c>
      <c r="E5769" t="inlineStr">
        <is>
          <t>2023Q4</t>
        </is>
      </c>
      <c r="F5769" s="2" t="n">
        <v>1259628</v>
      </c>
      <c r="G5769" t="inlineStr"/>
      <c r="H5769" t="inlineStr"/>
      <c r="I5769" s="2" t="n">
        <v>58701</v>
      </c>
      <c r="J5769" t="inlineStr"/>
      <c r="K5769" t="inlineStr"/>
      <c r="L5769" s="2" t="n">
        <v>-135154</v>
      </c>
      <c r="M5769" t="inlineStr"/>
      <c r="N5769" t="inlineStr">
        <is>
          <t>20240207900330</t>
        </is>
      </c>
      <c r="O5769">
        <f>HYPERLINK("https://dart.fss.or.kr/dsaf001/main.do?rcpNo=20240207900330", "공시열람")</f>
        <v/>
      </c>
    </row>
    <row r="5770">
      <c r="A5770" t="inlineStr">
        <is>
          <t>2024-02-07</t>
        </is>
      </c>
      <c r="B5770" t="inlineStr">
        <is>
          <t>신세계</t>
        </is>
      </c>
      <c r="C5770" t="inlineStr">
        <is>
          <t>004170</t>
        </is>
      </c>
      <c r="D5770" t="inlineStr">
        <is>
          <t>연결</t>
        </is>
      </c>
      <c r="E5770" t="inlineStr">
        <is>
          <t>2023Q4</t>
        </is>
      </c>
      <c r="F5770" s="2" t="n">
        <v>1720282</v>
      </c>
      <c r="G5770" t="n">
        <v>14.9</v>
      </c>
      <c r="H5770" t="n">
        <v>-22.3</v>
      </c>
      <c r="I5770" s="2" t="n">
        <v>205984</v>
      </c>
      <c r="J5770" t="n">
        <v>56.3</v>
      </c>
      <c r="K5770" t="n">
        <v>45.7</v>
      </c>
      <c r="L5770" s="2" t="n">
        <v>33445</v>
      </c>
      <c r="M5770" t="n">
        <v>-84.8</v>
      </c>
      <c r="N5770" t="inlineStr">
        <is>
          <t>20240207800384</t>
        </is>
      </c>
      <c r="O5770">
        <f>HYPERLINK("https://dart.fss.or.kr/dsaf001/main.do?rcpNo=20240207800384", "공시열람")</f>
        <v/>
      </c>
    </row>
    <row r="5771">
      <c r="A5771" t="inlineStr">
        <is>
          <t>2024-02-07</t>
        </is>
      </c>
      <c r="B5771" t="inlineStr">
        <is>
          <t>녹십자엠에스</t>
        </is>
      </c>
      <c r="C5771" t="inlineStr">
        <is>
          <t>142280</t>
        </is>
      </c>
      <c r="D5771" t="inlineStr">
        <is>
          <t>연결</t>
        </is>
      </c>
      <c r="E5771" t="inlineStr">
        <is>
          <t>2023Q4</t>
        </is>
      </c>
      <c r="F5771" s="2" t="n">
        <v>23616</v>
      </c>
      <c r="G5771" t="inlineStr"/>
      <c r="H5771" t="inlineStr"/>
      <c r="I5771" s="2" t="n">
        <v>-47</v>
      </c>
      <c r="J5771" t="inlineStr"/>
      <c r="K5771" t="inlineStr"/>
      <c r="L5771" s="2" t="n">
        <v>-1133</v>
      </c>
      <c r="M5771" t="inlineStr"/>
      <c r="N5771" t="inlineStr">
        <is>
          <t>20240207900423</t>
        </is>
      </c>
      <c r="O5771">
        <f>HYPERLINK("https://dart.fss.or.kr/dsaf001/main.do?rcpNo=20240207900423", "공시열람")</f>
        <v/>
      </c>
    </row>
    <row r="5772">
      <c r="A5772" t="inlineStr">
        <is>
          <t>2024-02-07</t>
        </is>
      </c>
      <c r="B5772" t="inlineStr">
        <is>
          <t>한국석유공업</t>
        </is>
      </c>
      <c r="C5772" t="inlineStr">
        <is>
          <t>004090</t>
        </is>
      </c>
      <c r="D5772" t="inlineStr">
        <is>
          <t>연결</t>
        </is>
      </c>
      <c r="E5772" t="inlineStr">
        <is>
          <t>2023Q4</t>
        </is>
      </c>
      <c r="F5772" s="2" t="n">
        <v>172372</v>
      </c>
      <c r="G5772" t="n">
        <v>-0.5</v>
      </c>
      <c r="H5772" t="n">
        <v>-6.1</v>
      </c>
      <c r="I5772" s="2" t="n">
        <v>3053</v>
      </c>
      <c r="J5772" t="n">
        <v>-18.5</v>
      </c>
      <c r="K5772" t="n">
        <v>-35.2</v>
      </c>
      <c r="L5772" s="2" t="n">
        <v>5876</v>
      </c>
      <c r="M5772" t="n">
        <v>32.1</v>
      </c>
      <c r="N5772" t="inlineStr">
        <is>
          <t>20240207800406</t>
        </is>
      </c>
      <c r="O5772">
        <f>HYPERLINK("https://dart.fss.or.kr/dsaf001/main.do?rcpNo=20240207800406", "공시열람")</f>
        <v/>
      </c>
    </row>
    <row r="5773">
      <c r="A5773" t="inlineStr">
        <is>
          <t>2024-02-07</t>
        </is>
      </c>
      <c r="B5773" t="inlineStr">
        <is>
          <t>아이에스동서</t>
        </is>
      </c>
      <c r="C5773" t="inlineStr">
        <is>
          <t>010780</t>
        </is>
      </c>
      <c r="D5773" t="inlineStr">
        <is>
          <t>연결</t>
        </is>
      </c>
      <c r="E5773" t="inlineStr">
        <is>
          <t>2023Q4</t>
        </is>
      </c>
      <c r="F5773" s="2" t="n">
        <v>490983</v>
      </c>
      <c r="G5773" t="n">
        <v>11.2</v>
      </c>
      <c r="H5773" t="n">
        <v>-6.1</v>
      </c>
      <c r="I5773" s="2" t="n">
        <v>85838</v>
      </c>
      <c r="J5773" t="n">
        <v>15.5</v>
      </c>
      <c r="K5773" t="n">
        <v>42.5</v>
      </c>
      <c r="L5773" s="2" t="n">
        <v>42541</v>
      </c>
      <c r="M5773" t="n">
        <v>291.3</v>
      </c>
      <c r="N5773" t="inlineStr">
        <is>
          <t>20240207800437</t>
        </is>
      </c>
      <c r="O5773">
        <f>HYPERLINK("https://dart.fss.or.kr/dsaf001/main.do?rcpNo=20240207800437", "공시열람")</f>
        <v/>
      </c>
    </row>
    <row r="5774">
      <c r="A5774" t="inlineStr">
        <is>
          <t>2024-02-07</t>
        </is>
      </c>
      <c r="B5774" t="inlineStr">
        <is>
          <t>LIG디펜스앤에어로스페이스</t>
        </is>
      </c>
      <c r="C5774" t="inlineStr">
        <is>
          <t>079550</t>
        </is>
      </c>
      <c r="D5774" t="inlineStr">
        <is>
          <t>연결</t>
        </is>
      </c>
      <c r="E5774" t="inlineStr">
        <is>
          <t>2023Q4</t>
        </is>
      </c>
      <c r="F5774" s="2" t="n">
        <v>680000</v>
      </c>
      <c r="G5774" t="n">
        <v>26.9</v>
      </c>
      <c r="H5774" t="n">
        <v>11.9</v>
      </c>
      <c r="I5774" s="2" t="n">
        <v>36900</v>
      </c>
      <c r="J5774" t="n">
        <v>-10.1</v>
      </c>
      <c r="K5774" t="n">
        <v>59.7</v>
      </c>
      <c r="L5774" s="2" t="n">
        <v>49800</v>
      </c>
      <c r="M5774" t="inlineStr"/>
      <c r="N5774" t="inlineStr">
        <is>
          <t>20240207800444</t>
        </is>
      </c>
      <c r="O5774">
        <f>HYPERLINK("https://dart.fss.or.kr/dsaf001/main.do?rcpNo=20240207800444", "공시열람")</f>
        <v/>
      </c>
    </row>
    <row r="5775">
      <c r="A5775" t="inlineStr">
        <is>
          <t>2024-02-07</t>
        </is>
      </c>
      <c r="B5775" t="inlineStr">
        <is>
          <t>현대리바트</t>
        </is>
      </c>
      <c r="C5775" t="inlineStr">
        <is>
          <t>079430</t>
        </is>
      </c>
      <c r="D5775" t="inlineStr">
        <is>
          <t>연결</t>
        </is>
      </c>
      <c r="E5775" t="inlineStr">
        <is>
          <t>2023Q4</t>
        </is>
      </c>
      <c r="F5775" s="2" t="n">
        <v>420200</v>
      </c>
      <c r="G5775" t="n">
        <v>5.9</v>
      </c>
      <c r="H5775" t="n">
        <v>4.4</v>
      </c>
      <c r="I5775" s="2" t="n">
        <v>-16972</v>
      </c>
      <c r="J5775" t="inlineStr"/>
      <c r="K5775" t="n">
        <v>45.3</v>
      </c>
      <c r="L5775" s="2" t="n">
        <v>-22896</v>
      </c>
      <c r="M5775" t="n">
        <v>56.7</v>
      </c>
      <c r="N5775" t="inlineStr">
        <is>
          <t>20240207800483</t>
        </is>
      </c>
      <c r="O5775">
        <f>HYPERLINK("https://dart.fss.or.kr/dsaf001/main.do?rcpNo=20240207800483", "공시열람")</f>
        <v/>
      </c>
    </row>
    <row r="5776">
      <c r="A5776" t="inlineStr">
        <is>
          <t>2024-02-07</t>
        </is>
      </c>
      <c r="B5776" t="inlineStr">
        <is>
          <t>NHN벅스</t>
        </is>
      </c>
      <c r="C5776" t="inlineStr">
        <is>
          <t>104200</t>
        </is>
      </c>
      <c r="D5776" t="inlineStr">
        <is>
          <t>별도</t>
        </is>
      </c>
      <c r="E5776" t="inlineStr">
        <is>
          <t>2023Q4</t>
        </is>
      </c>
      <c r="F5776" s="2" t="n">
        <v>12890</v>
      </c>
      <c r="G5776" t="inlineStr"/>
      <c r="H5776" t="inlineStr"/>
      <c r="I5776" s="2" t="n">
        <v>-293</v>
      </c>
      <c r="J5776" t="inlineStr"/>
      <c r="K5776" t="inlineStr"/>
      <c r="L5776" s="2" t="n">
        <v>-4161</v>
      </c>
      <c r="M5776" t="inlineStr"/>
      <c r="N5776" t="inlineStr">
        <is>
          <t>20240207901095</t>
        </is>
      </c>
      <c r="O5776">
        <f>HYPERLINK("https://dart.fss.or.kr/dsaf001/main.do?rcpNo=20240207901095", "공시열람")</f>
        <v/>
      </c>
    </row>
    <row r="5777">
      <c r="A5777" t="inlineStr">
        <is>
          <t>2024-02-07</t>
        </is>
      </c>
      <c r="B5777" t="inlineStr">
        <is>
          <t>LG</t>
        </is>
      </c>
      <c r="C5777" t="inlineStr">
        <is>
          <t>003550</t>
        </is>
      </c>
      <c r="D5777" t="inlineStr">
        <is>
          <t>연결</t>
        </is>
      </c>
      <c r="E5777" t="inlineStr">
        <is>
          <t>2023Q4</t>
        </is>
      </c>
      <c r="F5777" s="2" t="n">
        <v>2035128</v>
      </c>
      <c r="G5777" t="inlineStr"/>
      <c r="H5777" t="inlineStr"/>
      <c r="I5777" s="2" t="n">
        <v>119556</v>
      </c>
      <c r="J5777" t="inlineStr"/>
      <c r="K5777" t="inlineStr"/>
      <c r="L5777" s="2" t="n">
        <v>64996</v>
      </c>
      <c r="M5777" t="inlineStr"/>
      <c r="N5777" t="inlineStr">
        <is>
          <t>20240207800506</t>
        </is>
      </c>
      <c r="O5777">
        <f>HYPERLINK("https://dart.fss.or.kr/dsaf001/main.do?rcpNo=20240207800506", "공시열람")</f>
        <v/>
      </c>
    </row>
    <row r="5778">
      <c r="A5778" t="inlineStr">
        <is>
          <t>2024-02-07</t>
        </is>
      </c>
      <c r="B5778" t="inlineStr">
        <is>
          <t>KB금융</t>
        </is>
      </c>
      <c r="C5778" t="inlineStr">
        <is>
          <t>105560</t>
        </is>
      </c>
      <c r="D5778" t="inlineStr">
        <is>
          <t>연결</t>
        </is>
      </c>
      <c r="E5778" t="inlineStr">
        <is>
          <t>2023Q4</t>
        </is>
      </c>
      <c r="F5778" s="2" t="n">
        <v>18481502</v>
      </c>
      <c r="G5778" t="n">
        <v>-0.87</v>
      </c>
      <c r="H5778" t="n">
        <v>124.36</v>
      </c>
      <c r="I5778" s="2" t="n">
        <v>304173</v>
      </c>
      <c r="J5778" t="n">
        <v>-84.43000000000001</v>
      </c>
      <c r="K5778" t="n">
        <v>66.97</v>
      </c>
      <c r="L5778" s="2" t="n">
        <v>217476</v>
      </c>
      <c r="M5778" t="inlineStr"/>
      <c r="N5778" t="inlineStr">
        <is>
          <t>20240207800510</t>
        </is>
      </c>
      <c r="O5778">
        <f>HYPERLINK("https://dart.fss.or.kr/dsaf001/main.do?rcpNo=20240207800510", "공시열람")</f>
        <v/>
      </c>
    </row>
    <row r="5779">
      <c r="A5779" t="inlineStr">
        <is>
          <t>2024-02-07</t>
        </is>
      </c>
      <c r="B5779" t="inlineStr">
        <is>
          <t>현대백화점</t>
        </is>
      </c>
      <c r="C5779" t="inlineStr">
        <is>
          <t>069960</t>
        </is>
      </c>
      <c r="D5779" t="inlineStr">
        <is>
          <t>연결</t>
        </is>
      </c>
      <c r="E5779" t="inlineStr">
        <is>
          <t>2023Q4</t>
        </is>
      </c>
      <c r="F5779" s="2" t="n">
        <v>1135300</v>
      </c>
      <c r="G5779" t="n">
        <v>13</v>
      </c>
      <c r="H5779" t="n">
        <v>-28.3</v>
      </c>
      <c r="I5779" s="2" t="n">
        <v>96000</v>
      </c>
      <c r="J5779" t="n">
        <v>29.8</v>
      </c>
      <c r="K5779" t="n">
        <v>39.9</v>
      </c>
      <c r="L5779" s="2" t="n">
        <v>-198800</v>
      </c>
      <c r="M5779" t="inlineStr"/>
      <c r="N5779" t="inlineStr">
        <is>
          <t>20240207800464</t>
        </is>
      </c>
      <c r="O5779">
        <f>HYPERLINK("https://dart.fss.or.kr/dsaf001/main.do?rcpNo=20240207800464", "공시열람")</f>
        <v/>
      </c>
    </row>
    <row r="5780">
      <c r="A5780" t="inlineStr">
        <is>
          <t>2024-02-07</t>
        </is>
      </c>
      <c r="B5780" t="inlineStr">
        <is>
          <t>롯데정밀화학</t>
        </is>
      </c>
      <c r="C5780" t="inlineStr">
        <is>
          <t>004000</t>
        </is>
      </c>
      <c r="D5780" t="inlineStr">
        <is>
          <t>연결</t>
        </is>
      </c>
      <c r="E5780" t="inlineStr">
        <is>
          <t>2023Q4</t>
        </is>
      </c>
      <c r="F5780" s="2" t="n">
        <v>411300</v>
      </c>
      <c r="G5780" t="n">
        <v>2.5</v>
      </c>
      <c r="H5780" t="n">
        <v>-17.2</v>
      </c>
      <c r="I5780" s="2" t="n">
        <v>8500</v>
      </c>
      <c r="J5780" t="n">
        <v>-75.8</v>
      </c>
      <c r="K5780" t="n">
        <v>-80.7</v>
      </c>
      <c r="L5780" s="2" t="n">
        <v>9700</v>
      </c>
      <c r="M5780" t="n">
        <v>-85.09999999999999</v>
      </c>
      <c r="N5780" t="inlineStr">
        <is>
          <t>20240207800782</t>
        </is>
      </c>
      <c r="O5780">
        <f>HYPERLINK("https://dart.fss.or.kr/dsaf001/main.do?rcpNo=20240207800782", "공시열람")</f>
        <v/>
      </c>
    </row>
    <row r="5781">
      <c r="A5781" t="inlineStr">
        <is>
          <t>2024-02-06</t>
        </is>
      </c>
      <c r="B5781" t="inlineStr">
        <is>
          <t>위메이드</t>
        </is>
      </c>
      <c r="C5781" t="inlineStr">
        <is>
          <t>112040</t>
        </is>
      </c>
      <c r="D5781" t="inlineStr">
        <is>
          <t>연결</t>
        </is>
      </c>
      <c r="E5781" t="inlineStr">
        <is>
          <t>2023Q4</t>
        </is>
      </c>
      <c r="F5781" s="2" t="n">
        <v>118445</v>
      </c>
      <c r="G5781" t="inlineStr"/>
      <c r="H5781" t="inlineStr"/>
      <c r="I5781" s="2" t="n">
        <v>-70808</v>
      </c>
      <c r="J5781" t="inlineStr"/>
      <c r="K5781" t="inlineStr"/>
      <c r="L5781" s="2" t="n">
        <v>-189555</v>
      </c>
      <c r="M5781" t="inlineStr"/>
      <c r="N5781" t="inlineStr">
        <is>
          <t>20240206900738</t>
        </is>
      </c>
      <c r="O5781">
        <f>HYPERLINK("https://dart.fss.or.kr/dsaf001/main.do?rcpNo=20240206900738", "공시열람")</f>
        <v/>
      </c>
    </row>
    <row r="5782">
      <c r="A5782" t="inlineStr">
        <is>
          <t>2024-02-06</t>
        </is>
      </c>
      <c r="B5782" t="inlineStr">
        <is>
          <t>신성이엔지</t>
        </is>
      </c>
      <c r="C5782" t="inlineStr">
        <is>
          <t>011930</t>
        </is>
      </c>
      <c r="D5782" t="inlineStr">
        <is>
          <t>연결</t>
        </is>
      </c>
      <c r="E5782" t="inlineStr">
        <is>
          <t>2023Q4</t>
        </is>
      </c>
      <c r="F5782" s="2" t="n">
        <v>169448</v>
      </c>
      <c r="G5782" t="inlineStr"/>
      <c r="H5782" t="inlineStr"/>
      <c r="I5782" s="2" t="n">
        <v>3526</v>
      </c>
      <c r="J5782" t="inlineStr"/>
      <c r="K5782" t="inlineStr"/>
      <c r="L5782" s="2" t="n">
        <v>-723</v>
      </c>
      <c r="M5782" t="inlineStr"/>
      <c r="N5782" t="inlineStr">
        <is>
          <t>20240206801020</t>
        </is>
      </c>
      <c r="O5782">
        <f>HYPERLINK("https://dart.fss.or.kr/dsaf001/main.do?rcpNo=20240206801020", "공시열람")</f>
        <v/>
      </c>
    </row>
    <row r="5783">
      <c r="A5783" t="inlineStr">
        <is>
          <t>2024-02-06</t>
        </is>
      </c>
      <c r="B5783" t="inlineStr">
        <is>
          <t>HL홀딩스</t>
        </is>
      </c>
      <c r="C5783" t="inlineStr">
        <is>
          <t>060980</t>
        </is>
      </c>
      <c r="D5783" t="inlineStr">
        <is>
          <t>연결</t>
        </is>
      </c>
      <c r="E5783" t="inlineStr">
        <is>
          <t>2023Q4</t>
        </is>
      </c>
      <c r="F5783" s="2" t="n">
        <v>319681</v>
      </c>
      <c r="G5783" t="n">
        <v>13.7</v>
      </c>
      <c r="H5783" t="n">
        <v>0.1</v>
      </c>
      <c r="I5783" s="2" t="n">
        <v>9731</v>
      </c>
      <c r="J5783" t="inlineStr"/>
      <c r="K5783" t="inlineStr"/>
      <c r="L5783" s="2" t="n">
        <v>-7247</v>
      </c>
      <c r="M5783" t="n">
        <v>83.3</v>
      </c>
      <c r="N5783" t="inlineStr">
        <is>
          <t>20240206800711</t>
        </is>
      </c>
      <c r="O5783">
        <f>HYPERLINK("https://dart.fss.or.kr/dsaf001/main.do?rcpNo=20240206800711", "공시열람")</f>
        <v/>
      </c>
    </row>
    <row r="5784">
      <c r="A5784" t="inlineStr">
        <is>
          <t>2024-02-06</t>
        </is>
      </c>
      <c r="B5784" t="inlineStr">
        <is>
          <t>위메이드맥스</t>
        </is>
      </c>
      <c r="C5784" t="inlineStr">
        <is>
          <t>101730</t>
        </is>
      </c>
      <c r="D5784" t="inlineStr">
        <is>
          <t>연결</t>
        </is>
      </c>
      <c r="E5784" t="inlineStr">
        <is>
          <t>2023Q4</t>
        </is>
      </c>
      <c r="F5784" s="2" t="n">
        <v>17684</v>
      </c>
      <c r="G5784" t="inlineStr"/>
      <c r="H5784" t="inlineStr"/>
      <c r="I5784" s="2" t="n">
        <v>-1205</v>
      </c>
      <c r="J5784" t="inlineStr"/>
      <c r="K5784" t="inlineStr"/>
      <c r="L5784" s="2" t="n">
        <v>1423</v>
      </c>
      <c r="M5784" t="inlineStr"/>
      <c r="N5784" t="inlineStr">
        <is>
          <t>20240206900727</t>
        </is>
      </c>
      <c r="O5784">
        <f>HYPERLINK("https://dart.fss.or.kr/dsaf001/main.do?rcpNo=20240206900727", "공시열람")</f>
        <v/>
      </c>
    </row>
    <row r="5785">
      <c r="A5785" t="inlineStr">
        <is>
          <t>2024-02-06</t>
        </is>
      </c>
      <c r="B5785" t="inlineStr">
        <is>
          <t>HD현대</t>
        </is>
      </c>
      <c r="C5785" t="inlineStr">
        <is>
          <t>267250</t>
        </is>
      </c>
      <c r="D5785" t="inlineStr">
        <is>
          <t>연결</t>
        </is>
      </c>
      <c r="E5785" t="inlineStr">
        <is>
          <t>2023Q4</t>
        </is>
      </c>
      <c r="F5785" s="2" t="n">
        <v>1905100</v>
      </c>
      <c r="G5785" t="n">
        <v>-7.6</v>
      </c>
      <c r="H5785" t="n">
        <v>-11</v>
      </c>
      <c r="I5785" s="2" t="n">
        <v>60600</v>
      </c>
      <c r="J5785" t="n">
        <v>-62.4</v>
      </c>
      <c r="K5785" t="n">
        <v>-30.7</v>
      </c>
      <c r="L5785" s="2" t="n">
        <v>-82200</v>
      </c>
      <c r="M5785" t="inlineStr"/>
      <c r="N5785" t="inlineStr">
        <is>
          <t>20240206800257</t>
        </is>
      </c>
      <c r="O5785">
        <f>HYPERLINK("https://dart.fss.or.kr/dsaf001/main.do?rcpNo=20240206800257", "공시열람")</f>
        <v/>
      </c>
    </row>
    <row r="5786">
      <c r="A5786" t="inlineStr">
        <is>
          <t>2024-02-06</t>
        </is>
      </c>
      <c r="B5786" t="inlineStr">
        <is>
          <t>HD현대</t>
        </is>
      </c>
      <c r="C5786" t="inlineStr">
        <is>
          <t>267250</t>
        </is>
      </c>
      <c r="D5786" t="inlineStr">
        <is>
          <t>별도</t>
        </is>
      </c>
      <c r="E5786" t="inlineStr">
        <is>
          <t>2023Q4</t>
        </is>
      </c>
      <c r="F5786" s="2" t="n">
        <v>7603200</v>
      </c>
      <c r="G5786" t="n">
        <v>44.4</v>
      </c>
      <c r="H5786" t="n">
        <v>-4</v>
      </c>
      <c r="I5786" s="2" t="n">
        <v>-72900</v>
      </c>
      <c r="J5786" t="inlineStr"/>
      <c r="K5786" t="n">
        <v>-20.5</v>
      </c>
      <c r="L5786" s="2" t="n">
        <v>-33700</v>
      </c>
      <c r="M5786" t="n">
        <v>63.8</v>
      </c>
      <c r="N5786" t="inlineStr">
        <is>
          <t>20240206800255</t>
        </is>
      </c>
      <c r="O5786">
        <f>HYPERLINK("https://dart.fss.or.kr/dsaf001/main.do?rcpNo=20240206800255", "공시열람")</f>
        <v/>
      </c>
    </row>
    <row r="5787">
      <c r="A5787" t="inlineStr">
        <is>
          <t>2024-02-06</t>
        </is>
      </c>
      <c r="B5787" t="inlineStr">
        <is>
          <t>HD현대</t>
        </is>
      </c>
      <c r="C5787" t="inlineStr">
        <is>
          <t>267250</t>
        </is>
      </c>
      <c r="D5787" t="inlineStr">
        <is>
          <t>연결</t>
        </is>
      </c>
      <c r="E5787" t="inlineStr">
        <is>
          <t>2023Q4</t>
        </is>
      </c>
      <c r="F5787" s="2" t="n">
        <v>7913100</v>
      </c>
      <c r="G5787" t="n">
        <v>35.9</v>
      </c>
      <c r="H5787" t="n">
        <v>-8.300000000000001</v>
      </c>
      <c r="I5787" s="2" t="n">
        <v>2500</v>
      </c>
      <c r="J5787" t="n">
        <v>-99.2</v>
      </c>
      <c r="K5787" t="n">
        <v>-80.5</v>
      </c>
      <c r="L5787" s="2" t="n">
        <v>-10800</v>
      </c>
      <c r="M5787" t="inlineStr"/>
      <c r="N5787" t="inlineStr">
        <is>
          <t>20240206800253</t>
        </is>
      </c>
      <c r="O5787">
        <f>HYPERLINK("https://dart.fss.or.kr/dsaf001/main.do?rcpNo=20240206800253", "공시열람")</f>
        <v/>
      </c>
    </row>
    <row r="5788">
      <c r="A5788" t="inlineStr">
        <is>
          <t>2024-02-06</t>
        </is>
      </c>
      <c r="B5788" t="inlineStr">
        <is>
          <t>동국제강</t>
        </is>
      </c>
      <c r="C5788" t="inlineStr">
        <is>
          <t>460860</t>
        </is>
      </c>
      <c r="D5788" t="inlineStr">
        <is>
          <t>별도</t>
        </is>
      </c>
      <c r="E5788" t="inlineStr">
        <is>
          <t>2023Q4</t>
        </is>
      </c>
      <c r="F5788" s="2" t="n">
        <v>1122628</v>
      </c>
      <c r="G5788" t="n">
        <v>4.04</v>
      </c>
      <c r="H5788" t="inlineStr"/>
      <c r="I5788" s="2" t="n">
        <v>78562</v>
      </c>
      <c r="J5788" t="n">
        <v>-25.49</v>
      </c>
      <c r="K5788" t="inlineStr"/>
      <c r="L5788" s="2" t="n">
        <v>43927</v>
      </c>
      <c r="M5788" t="inlineStr"/>
      <c r="N5788" t="inlineStr">
        <is>
          <t>20240206800307</t>
        </is>
      </c>
      <c r="O5788">
        <f>HYPERLINK("https://dart.fss.or.kr/dsaf001/main.do?rcpNo=20240206800307", "공시열람")</f>
        <v/>
      </c>
    </row>
    <row r="5789">
      <c r="A5789" t="inlineStr">
        <is>
          <t>2024-02-06</t>
        </is>
      </c>
      <c r="B5789" t="inlineStr">
        <is>
          <t>더존비즈온</t>
        </is>
      </c>
      <c r="C5789" t="inlineStr">
        <is>
          <t>012510</t>
        </is>
      </c>
      <c r="D5789" t="inlineStr">
        <is>
          <t>연결</t>
        </is>
      </c>
      <c r="E5789" t="inlineStr">
        <is>
          <t>2023Q4</t>
        </is>
      </c>
      <c r="F5789" s="2" t="n">
        <v>103209</v>
      </c>
      <c r="G5789" t="n">
        <v>22.1</v>
      </c>
      <c r="H5789" t="n">
        <v>35.2</v>
      </c>
      <c r="I5789" s="2" t="n">
        <v>22933</v>
      </c>
      <c r="J5789" t="n">
        <v>53.7</v>
      </c>
      <c r="K5789" t="n">
        <v>200.9</v>
      </c>
      <c r="L5789" s="2" t="n">
        <v>9937</v>
      </c>
      <c r="M5789" t="inlineStr"/>
      <c r="N5789" t="inlineStr">
        <is>
          <t>20240206800116</t>
        </is>
      </c>
      <c r="O5789">
        <f>HYPERLINK("https://dart.fss.or.kr/dsaf001/main.do?rcpNo=20240206800116", "공시열람")</f>
        <v/>
      </c>
    </row>
    <row r="5790">
      <c r="A5790" t="inlineStr">
        <is>
          <t>2024-02-06</t>
        </is>
      </c>
      <c r="B5790" t="inlineStr">
        <is>
          <t>PI첨단소재</t>
        </is>
      </c>
      <c r="C5790" t="inlineStr">
        <is>
          <t>178920</t>
        </is>
      </c>
      <c r="D5790" t="inlineStr">
        <is>
          <t>별도</t>
        </is>
      </c>
      <c r="E5790" t="inlineStr">
        <is>
          <t>2023Q4</t>
        </is>
      </c>
      <c r="F5790" s="2" t="n">
        <v>53397</v>
      </c>
      <c r="G5790" t="inlineStr"/>
      <c r="H5790" t="inlineStr"/>
      <c r="I5790" s="2" t="n">
        <v>1095</v>
      </c>
      <c r="J5790" t="inlineStr"/>
      <c r="K5790" t="inlineStr"/>
      <c r="L5790" s="2" t="n">
        <v>-149</v>
      </c>
      <c r="M5790" t="inlineStr"/>
      <c r="N5790" t="inlineStr">
        <is>
          <t>20240206800073</t>
        </is>
      </c>
      <c r="O5790">
        <f>HYPERLINK("https://dart.fss.or.kr/dsaf001/main.do?rcpNo=20240206800073", "공시열람")</f>
        <v/>
      </c>
    </row>
    <row r="5791">
      <c r="A5791" t="inlineStr">
        <is>
          <t>2024-02-06</t>
        </is>
      </c>
      <c r="B5791" t="inlineStr">
        <is>
          <t>SK이노베이션</t>
        </is>
      </c>
      <c r="C5791" t="inlineStr">
        <is>
          <t>096770</t>
        </is>
      </c>
      <c r="D5791" t="inlineStr">
        <is>
          <t>연결</t>
        </is>
      </c>
      <c r="E5791" t="inlineStr">
        <is>
          <t>2023Q4</t>
        </is>
      </c>
      <c r="F5791" s="2" t="n">
        <v>19529301</v>
      </c>
      <c r="G5791" t="inlineStr"/>
      <c r="H5791" t="inlineStr"/>
      <c r="I5791" s="2" t="n">
        <v>72619</v>
      </c>
      <c r="J5791" t="inlineStr"/>
      <c r="K5791" t="inlineStr"/>
      <c r="L5791" s="2" t="n">
        <v>-10890</v>
      </c>
      <c r="M5791" t="inlineStr"/>
      <c r="N5791" t="inlineStr">
        <is>
          <t>20240206800028</t>
        </is>
      </c>
      <c r="O5791">
        <f>HYPERLINK("https://dart.fss.or.kr/dsaf001/main.do?rcpNo=20240206800028", "공시열람")</f>
        <v/>
      </c>
    </row>
    <row r="5792">
      <c r="A5792" t="inlineStr">
        <is>
          <t>2024-02-06</t>
        </is>
      </c>
      <c r="B5792" t="inlineStr">
        <is>
          <t>카카오페이</t>
        </is>
      </c>
      <c r="C5792" t="inlineStr">
        <is>
          <t>377300</t>
        </is>
      </c>
      <c r="D5792" t="inlineStr">
        <is>
          <t>별도</t>
        </is>
      </c>
      <c r="E5792" t="inlineStr">
        <is>
          <t>2023Q4</t>
        </is>
      </c>
      <c r="F5792" s="2" t="n">
        <v>149038</v>
      </c>
      <c r="G5792" t="n">
        <v>5</v>
      </c>
      <c r="H5792" t="n">
        <v>23.1</v>
      </c>
      <c r="I5792" s="2" t="n">
        <v>2298</v>
      </c>
      <c r="J5792" t="n">
        <v>-80.90000000000001</v>
      </c>
      <c r="K5792" t="n">
        <v>9868.6</v>
      </c>
      <c r="L5792" s="2" t="n">
        <v>12575</v>
      </c>
      <c r="M5792" t="n">
        <v>-70.40000000000001</v>
      </c>
      <c r="N5792" t="inlineStr">
        <is>
          <t>20240206800372</t>
        </is>
      </c>
      <c r="O5792">
        <f>HYPERLINK("https://dart.fss.or.kr/dsaf001/main.do?rcpNo=20240206800372", "공시열람")</f>
        <v/>
      </c>
    </row>
    <row r="5793">
      <c r="A5793" t="inlineStr">
        <is>
          <t>2024-02-06</t>
        </is>
      </c>
      <c r="B5793" t="inlineStr">
        <is>
          <t>카카오페이</t>
        </is>
      </c>
      <c r="C5793" t="inlineStr">
        <is>
          <t>377300</t>
        </is>
      </c>
      <c r="D5793" t="inlineStr">
        <is>
          <t>연결</t>
        </is>
      </c>
      <c r="E5793" t="inlineStr">
        <is>
          <t>2023Q4</t>
        </is>
      </c>
      <c r="F5793" s="2" t="n">
        <v>166139</v>
      </c>
      <c r="G5793" t="n">
        <v>4.6</v>
      </c>
      <c r="H5793" t="n">
        <v>35.2</v>
      </c>
      <c r="I5793" s="2" t="n">
        <v>-21483</v>
      </c>
      <c r="J5793" t="n">
        <v>-125.5</v>
      </c>
      <c r="K5793" t="n">
        <v>3.4</v>
      </c>
      <c r="L5793" s="2" t="n">
        <v>-8360</v>
      </c>
      <c r="M5793" t="inlineStr"/>
      <c r="N5793" t="inlineStr">
        <is>
          <t>20240206800375</t>
        </is>
      </c>
      <c r="O5793">
        <f>HYPERLINK("https://dart.fss.or.kr/dsaf001/main.do?rcpNo=20240206800375", "공시열람")</f>
        <v/>
      </c>
    </row>
    <row r="5794">
      <c r="A5794" t="inlineStr">
        <is>
          <t>2024-02-06</t>
        </is>
      </c>
      <c r="B5794" t="inlineStr">
        <is>
          <t>케이아이엔엑스</t>
        </is>
      </c>
      <c r="C5794" t="inlineStr">
        <is>
          <t>093320</t>
        </is>
      </c>
      <c r="D5794" t="inlineStr">
        <is>
          <t>연결</t>
        </is>
      </c>
      <c r="E5794" t="inlineStr">
        <is>
          <t>2023Q4</t>
        </is>
      </c>
      <c r="F5794" s="2" t="n">
        <v>31313</v>
      </c>
      <c r="G5794" t="inlineStr"/>
      <c r="H5794" t="inlineStr"/>
      <c r="I5794" s="2" t="n">
        <v>5468</v>
      </c>
      <c r="J5794" t="inlineStr"/>
      <c r="K5794" t="inlineStr"/>
      <c r="L5794" s="2" t="n">
        <v>5918</v>
      </c>
      <c r="M5794" t="inlineStr"/>
      <c r="N5794" t="inlineStr">
        <is>
          <t>20240206900374</t>
        </is>
      </c>
      <c r="O5794">
        <f>HYPERLINK("https://dart.fss.or.kr/dsaf001/main.do?rcpNo=20240206900374", "공시열람")</f>
        <v/>
      </c>
    </row>
    <row r="5795">
      <c r="A5795" t="inlineStr">
        <is>
          <t>2024-02-06</t>
        </is>
      </c>
      <c r="B5795" t="inlineStr">
        <is>
          <t>OCI</t>
        </is>
      </c>
      <c r="C5795" t="inlineStr">
        <is>
          <t>456040</t>
        </is>
      </c>
      <c r="D5795" t="inlineStr">
        <is>
          <t>별도</t>
        </is>
      </c>
      <c r="E5795" t="inlineStr">
        <is>
          <t>2023Q4</t>
        </is>
      </c>
      <c r="F5795" s="2" t="n">
        <v>496399</v>
      </c>
      <c r="G5795" t="n">
        <v>10.3</v>
      </c>
      <c r="H5795" t="inlineStr"/>
      <c r="I5795" s="2" t="n">
        <v>20364</v>
      </c>
      <c r="J5795" t="n">
        <v>-7.4</v>
      </c>
      <c r="K5795" t="inlineStr"/>
      <c r="L5795" s="2" t="n">
        <v>16474</v>
      </c>
      <c r="M5795" t="inlineStr"/>
      <c r="N5795" t="inlineStr">
        <is>
          <t>20240206800399</t>
        </is>
      </c>
      <c r="O5795">
        <f>HYPERLINK("https://dart.fss.or.kr/dsaf001/main.do?rcpNo=20240206800399", "공시열람")</f>
        <v/>
      </c>
    </row>
    <row r="5796">
      <c r="A5796" t="inlineStr">
        <is>
          <t>2024-02-06</t>
        </is>
      </c>
      <c r="B5796" t="inlineStr">
        <is>
          <t>우리금융지주</t>
        </is>
      </c>
      <c r="C5796" t="inlineStr">
        <is>
          <t>316140</t>
        </is>
      </c>
      <c r="D5796" t="inlineStr">
        <is>
          <t>연결</t>
        </is>
      </c>
      <c r="E5796" t="inlineStr">
        <is>
          <t>2023Q4</t>
        </is>
      </c>
      <c r="F5796" s="2" t="n">
        <v>42033487</v>
      </c>
      <c r="G5796" t="n">
        <v>-0.92</v>
      </c>
      <c r="H5796" t="inlineStr"/>
      <c r="I5796" s="2" t="n">
        <v>3512682</v>
      </c>
      <c r="J5796" t="n">
        <v>-20.72</v>
      </c>
      <c r="K5796" t="inlineStr"/>
      <c r="L5796" s="2" t="n">
        <v>2637249</v>
      </c>
      <c r="M5796" t="inlineStr"/>
      <c r="N5796" t="inlineStr">
        <is>
          <t>20240206800458</t>
        </is>
      </c>
      <c r="O5796">
        <f>HYPERLINK("https://dart.fss.or.kr/dsaf001/main.do?rcpNo=20240206800458", "공시열람")</f>
        <v/>
      </c>
    </row>
    <row r="5797">
      <c r="A5797" t="inlineStr">
        <is>
          <t>2024-02-06</t>
        </is>
      </c>
      <c r="B5797" t="inlineStr">
        <is>
          <t>우리금융지주</t>
        </is>
      </c>
      <c r="C5797" t="inlineStr">
        <is>
          <t>316140</t>
        </is>
      </c>
      <c r="D5797" t="inlineStr">
        <is>
          <t>연결</t>
        </is>
      </c>
      <c r="E5797" t="inlineStr">
        <is>
          <t>2023Q4</t>
        </is>
      </c>
      <c r="F5797" s="2" t="n">
        <v>37719811</v>
      </c>
      <c r="G5797" t="n">
        <v>-2.42</v>
      </c>
      <c r="H5797" t="inlineStr"/>
      <c r="I5797" s="2" t="n">
        <v>3330611</v>
      </c>
      <c r="J5797" t="n">
        <v>-11.96</v>
      </c>
      <c r="K5797" t="inlineStr"/>
      <c r="L5797" s="2" t="n">
        <v>2525434</v>
      </c>
      <c r="M5797" t="inlineStr"/>
      <c r="N5797" t="inlineStr">
        <is>
          <t>20240206800463</t>
        </is>
      </c>
      <c r="O5797">
        <f>HYPERLINK("https://dart.fss.or.kr/dsaf001/main.do?rcpNo=20240206800463", "공시열람")</f>
        <v/>
      </c>
    </row>
    <row r="5798">
      <c r="A5798" t="inlineStr">
        <is>
          <t>2024-02-06</t>
        </is>
      </c>
      <c r="B5798" t="inlineStr">
        <is>
          <t>신세계인터내셔날</t>
        </is>
      </c>
      <c r="C5798" t="inlineStr">
        <is>
          <t>031430</t>
        </is>
      </c>
      <c r="D5798" t="inlineStr">
        <is>
          <t>연결</t>
        </is>
      </c>
      <c r="E5798" t="inlineStr">
        <is>
          <t>2023Q4</t>
        </is>
      </c>
      <c r="F5798" s="2" t="n">
        <v>392503</v>
      </c>
      <c r="G5798" t="n">
        <v>24.3</v>
      </c>
      <c r="H5798" t="n">
        <v>-8.800000000000001</v>
      </c>
      <c r="I5798" s="2" t="n">
        <v>14041</v>
      </c>
      <c r="J5798" t="n">
        <v>133.4</v>
      </c>
      <c r="K5798" t="n">
        <v>-27.2</v>
      </c>
      <c r="L5798" s="2" t="n">
        <v>8724</v>
      </c>
      <c r="M5798" t="n">
        <v>-79.40000000000001</v>
      </c>
      <c r="N5798" t="inlineStr">
        <is>
          <t>20240206800454</t>
        </is>
      </c>
      <c r="O5798">
        <f>HYPERLINK("https://dart.fss.or.kr/dsaf001/main.do?rcpNo=20240206800454", "공시열람")</f>
        <v/>
      </c>
    </row>
    <row r="5799">
      <c r="A5799" t="inlineStr">
        <is>
          <t>2024-02-06</t>
        </is>
      </c>
      <c r="B5799" t="inlineStr">
        <is>
          <t>가비아</t>
        </is>
      </c>
      <c r="C5799" t="inlineStr">
        <is>
          <t>079940</t>
        </is>
      </c>
      <c r="D5799" t="inlineStr">
        <is>
          <t>연결</t>
        </is>
      </c>
      <c r="E5799" t="inlineStr">
        <is>
          <t>2023Q1</t>
        </is>
      </c>
      <c r="F5799" s="2" t="n">
        <v>74213</v>
      </c>
      <c r="G5799" t="inlineStr"/>
      <c r="H5799" t="inlineStr"/>
      <c r="I5799" s="2" t="n">
        <v>14238</v>
      </c>
      <c r="J5799" t="inlineStr"/>
      <c r="K5799" t="inlineStr"/>
      <c r="L5799" s="2" t="n">
        <v>12859</v>
      </c>
      <c r="M5799" t="inlineStr"/>
      <c r="N5799" t="inlineStr">
        <is>
          <t>20240206900484</t>
        </is>
      </c>
      <c r="O5799">
        <f>HYPERLINK("https://dart.fss.or.kr/dsaf001/main.do?rcpNo=20240206900484", "공시열람")</f>
        <v/>
      </c>
    </row>
    <row r="5800">
      <c r="A5800" t="inlineStr">
        <is>
          <t>2024-02-06</t>
        </is>
      </c>
      <c r="B5800" t="inlineStr">
        <is>
          <t>지누스</t>
        </is>
      </c>
      <c r="C5800" t="inlineStr">
        <is>
          <t>013890</t>
        </is>
      </c>
      <c r="D5800" t="inlineStr">
        <is>
          <t>연결</t>
        </is>
      </c>
      <c r="E5800" t="inlineStr">
        <is>
          <t>2023Q4</t>
        </is>
      </c>
      <c r="F5800" s="2" t="n">
        <v>282157</v>
      </c>
      <c r="G5800" t="n">
        <v>27.39</v>
      </c>
      <c r="H5800" t="n">
        <v>-11.39</v>
      </c>
      <c r="I5800" s="2" t="n">
        <v>1691</v>
      </c>
      <c r="J5800" t="n">
        <v>-46.52</v>
      </c>
      <c r="K5800" t="n">
        <v>-90.27</v>
      </c>
      <c r="L5800" s="2" t="n">
        <v>-6976</v>
      </c>
      <c r="M5800" t="n">
        <v>-32.07</v>
      </c>
      <c r="N5800" t="inlineStr">
        <is>
          <t>20240206800533</t>
        </is>
      </c>
      <c r="O5800">
        <f>HYPERLINK("https://dart.fss.or.kr/dsaf001/main.do?rcpNo=20240206800533", "공시열람")</f>
        <v/>
      </c>
    </row>
    <row r="5801">
      <c r="A5801" t="inlineStr">
        <is>
          <t>2024-02-06</t>
        </is>
      </c>
      <c r="B5801" t="inlineStr">
        <is>
          <t>한섬</t>
        </is>
      </c>
      <c r="C5801" t="inlineStr">
        <is>
          <t>020000</t>
        </is>
      </c>
      <c r="D5801" t="inlineStr">
        <is>
          <t>연결</t>
        </is>
      </c>
      <c r="E5801" t="inlineStr">
        <is>
          <t>2023Q4</t>
        </is>
      </c>
      <c r="F5801" s="2" t="n">
        <v>453211</v>
      </c>
      <c r="G5801" t="n">
        <v>39.8</v>
      </c>
      <c r="H5801" t="n">
        <v>0.3</v>
      </c>
      <c r="I5801" s="2" t="n">
        <v>31591</v>
      </c>
      <c r="J5801" t="n">
        <v>259.3</v>
      </c>
      <c r="K5801" t="n">
        <v>-35.7</v>
      </c>
      <c r="L5801" s="2" t="n">
        <v>22677</v>
      </c>
      <c r="M5801" t="n">
        <v>-42.3</v>
      </c>
      <c r="N5801" t="inlineStr">
        <is>
          <t>20240206800616</t>
        </is>
      </c>
      <c r="O5801">
        <f>HYPERLINK("https://dart.fss.or.kr/dsaf001/main.do?rcpNo=20240206800616", "공시열람")</f>
        <v/>
      </c>
    </row>
    <row r="5802">
      <c r="A5802" t="inlineStr">
        <is>
          <t>2024-02-06</t>
        </is>
      </c>
      <c r="B5802" t="inlineStr">
        <is>
          <t>현대에버다임</t>
        </is>
      </c>
      <c r="C5802" t="inlineStr">
        <is>
          <t>041440</t>
        </is>
      </c>
      <c r="D5802" t="inlineStr">
        <is>
          <t>연결</t>
        </is>
      </c>
      <c r="E5802" t="inlineStr">
        <is>
          <t>2023Q4</t>
        </is>
      </c>
      <c r="F5802" s="2" t="n">
        <v>87311</v>
      </c>
      <c r="G5802" t="inlineStr"/>
      <c r="H5802" t="inlineStr"/>
      <c r="I5802" s="2" t="n">
        <v>761</v>
      </c>
      <c r="J5802" t="inlineStr"/>
      <c r="K5802" t="inlineStr"/>
      <c r="L5802" s="2" t="n">
        <v>-3003</v>
      </c>
      <c r="M5802" t="inlineStr"/>
      <c r="N5802" t="inlineStr">
        <is>
          <t>20240206900761</t>
        </is>
      </c>
      <c r="O5802">
        <f>HYPERLINK("https://dart.fss.or.kr/dsaf001/main.do?rcpNo=20240206900761", "공시열람")</f>
        <v/>
      </c>
    </row>
    <row r="5803">
      <c r="A5803" t="inlineStr">
        <is>
          <t>2024-02-06</t>
        </is>
      </c>
      <c r="B5803" t="inlineStr">
        <is>
          <t>현대홈쇼핑</t>
        </is>
      </c>
      <c r="C5803" t="inlineStr">
        <is>
          <t>057050</t>
        </is>
      </c>
      <c r="D5803" t="inlineStr">
        <is>
          <t>연결</t>
        </is>
      </c>
      <c r="E5803" t="inlineStr">
        <is>
          <t>2023Q4</t>
        </is>
      </c>
      <c r="F5803" s="2" t="n">
        <v>542604</v>
      </c>
      <c r="G5803" t="inlineStr"/>
      <c r="H5803" t="inlineStr"/>
      <c r="I5803" s="2" t="n">
        <v>9280</v>
      </c>
      <c r="J5803" t="inlineStr"/>
      <c r="K5803" t="inlineStr"/>
      <c r="L5803" s="2" t="n">
        <v>813</v>
      </c>
      <c r="M5803" t="inlineStr"/>
      <c r="N5803" t="inlineStr">
        <is>
          <t>20240206800681</t>
        </is>
      </c>
      <c r="O5803">
        <f>HYPERLINK("https://dart.fss.or.kr/dsaf001/main.do?rcpNo=20240206800681", "공시열람")</f>
        <v/>
      </c>
    </row>
    <row r="5804">
      <c r="A5804" t="inlineStr">
        <is>
          <t>2024-02-06</t>
        </is>
      </c>
      <c r="B5804" t="inlineStr">
        <is>
          <t>SK가스</t>
        </is>
      </c>
      <c r="C5804" t="inlineStr">
        <is>
          <t>018670</t>
        </is>
      </c>
      <c r="D5804" t="inlineStr">
        <is>
          <t>연결</t>
        </is>
      </c>
      <c r="E5804" t="inlineStr">
        <is>
          <t>2023Q4</t>
        </is>
      </c>
      <c r="F5804" s="2" t="n">
        <v>1629933</v>
      </c>
      <c r="G5804" t="n">
        <v>-5.2</v>
      </c>
      <c r="H5804" t="n">
        <v>-16.5</v>
      </c>
      <c r="I5804" s="2" t="n">
        <v>-28572</v>
      </c>
      <c r="J5804" t="inlineStr"/>
      <c r="K5804" t="inlineStr"/>
      <c r="L5804" s="2" t="n">
        <v>30467</v>
      </c>
      <c r="M5804" t="n">
        <v>-78.2</v>
      </c>
      <c r="N5804" t="inlineStr">
        <is>
          <t>20240206800640</t>
        </is>
      </c>
      <c r="O5804">
        <f>HYPERLINK("https://dart.fss.or.kr/dsaf001/main.do?rcpNo=20240206800640", "공시열람")</f>
        <v/>
      </c>
    </row>
    <row r="5805">
      <c r="A5805" t="inlineStr">
        <is>
          <t>2024-02-06</t>
        </is>
      </c>
      <c r="B5805" t="inlineStr">
        <is>
          <t>하나투어</t>
        </is>
      </c>
      <c r="C5805" t="inlineStr">
        <is>
          <t>039130</t>
        </is>
      </c>
      <c r="D5805" t="inlineStr">
        <is>
          <t>연결</t>
        </is>
      </c>
      <c r="E5805" t="inlineStr">
        <is>
          <t>2023Q4</t>
        </is>
      </c>
      <c r="F5805" s="2" t="n">
        <v>119536</v>
      </c>
      <c r="G5805" t="n">
        <v>-5.65</v>
      </c>
      <c r="H5805" t="n">
        <v>159.02</v>
      </c>
      <c r="I5805" s="2" t="n">
        <v>11447</v>
      </c>
      <c r="J5805" t="n">
        <v>-13.37</v>
      </c>
      <c r="K5805" t="inlineStr"/>
      <c r="L5805" s="2" t="n">
        <v>15391</v>
      </c>
      <c r="M5805" t="n">
        <v>42.46</v>
      </c>
      <c r="N5805" t="inlineStr">
        <is>
          <t>20240206800606</t>
        </is>
      </c>
      <c r="O5805">
        <f>HYPERLINK("https://dart.fss.or.kr/dsaf001/main.do?rcpNo=20240206800606", "공시열람")</f>
        <v/>
      </c>
    </row>
    <row r="5806">
      <c r="A5806" t="inlineStr">
        <is>
          <t>2024-02-06</t>
        </is>
      </c>
      <c r="B5806" t="inlineStr">
        <is>
          <t>GC메디아이</t>
        </is>
      </c>
      <c r="C5806" t="inlineStr">
        <is>
          <t>032620</t>
        </is>
      </c>
      <c r="D5806" t="inlineStr">
        <is>
          <t>연결</t>
        </is>
      </c>
      <c r="E5806" t="inlineStr">
        <is>
          <t>2023Q4</t>
        </is>
      </c>
      <c r="F5806" s="2" t="n">
        <v>154041</v>
      </c>
      <c r="G5806" t="inlineStr"/>
      <c r="H5806" t="inlineStr"/>
      <c r="I5806" s="2" t="n">
        <v>3509</v>
      </c>
      <c r="J5806" t="inlineStr"/>
      <c r="K5806" t="inlineStr"/>
      <c r="L5806" s="2" t="n">
        <v>-961</v>
      </c>
      <c r="M5806" t="inlineStr"/>
      <c r="N5806" t="inlineStr">
        <is>
          <t>20240206900841</t>
        </is>
      </c>
      <c r="O5806">
        <f>HYPERLINK("https://dart.fss.or.kr/dsaf001/main.do?rcpNo=20240206900841", "공시열람")</f>
        <v/>
      </c>
    </row>
    <row r="5807">
      <c r="A5807" t="inlineStr">
        <is>
          <t>2024-02-06</t>
        </is>
      </c>
      <c r="B5807" t="inlineStr">
        <is>
          <t>제주은행</t>
        </is>
      </c>
      <c r="C5807" t="inlineStr">
        <is>
          <t>006220</t>
        </is>
      </c>
      <c r="D5807" t="inlineStr">
        <is>
          <t>연결</t>
        </is>
      </c>
      <c r="E5807" t="inlineStr">
        <is>
          <t>2023Q4</t>
        </is>
      </c>
      <c r="F5807" s="2" t="n">
        <v>97943</v>
      </c>
      <c r="G5807" t="inlineStr"/>
      <c r="H5807" t="inlineStr"/>
      <c r="I5807" s="2" t="n">
        <v>-9405</v>
      </c>
      <c r="J5807" t="inlineStr"/>
      <c r="K5807" t="inlineStr"/>
      <c r="L5807" s="2" t="n">
        <v>-8014</v>
      </c>
      <c r="M5807" t="inlineStr"/>
      <c r="N5807" t="inlineStr">
        <is>
          <t>20240206800873</t>
        </is>
      </c>
      <c r="O5807">
        <f>HYPERLINK("https://dart.fss.or.kr/dsaf001/main.do?rcpNo=20240206800873", "공시열람")</f>
        <v/>
      </c>
    </row>
    <row r="5808">
      <c r="A5808" t="inlineStr">
        <is>
          <t>2024-02-06</t>
        </is>
      </c>
      <c r="B5808" t="inlineStr">
        <is>
          <t>한진</t>
        </is>
      </c>
      <c r="C5808" t="inlineStr">
        <is>
          <t>002320</t>
        </is>
      </c>
      <c r="D5808" t="inlineStr">
        <is>
          <t>연결</t>
        </is>
      </c>
      <c r="E5808" t="inlineStr">
        <is>
          <t>2023Q4</t>
        </is>
      </c>
      <c r="F5808" s="2" t="n">
        <v>748700</v>
      </c>
      <c r="G5808" t="n">
        <v>8.199999999999999</v>
      </c>
      <c r="H5808" t="n">
        <v>3.9</v>
      </c>
      <c r="I5808" s="2" t="n">
        <v>29600</v>
      </c>
      <c r="J5808" t="n">
        <v>-12.2</v>
      </c>
      <c r="K5808" t="n">
        <v>28.7</v>
      </c>
      <c r="L5808" s="2" t="n">
        <v>5900</v>
      </c>
      <c r="M5808" t="n">
        <v>34.1</v>
      </c>
      <c r="N5808" t="inlineStr">
        <is>
          <t>20240206801027</t>
        </is>
      </c>
      <c r="O5808">
        <f>HYPERLINK("https://dart.fss.or.kr/dsaf001/main.do?rcpNo=20240206801027", "공시열람")</f>
        <v/>
      </c>
    </row>
    <row r="5809">
      <c r="A5809" t="inlineStr">
        <is>
          <t>2024-02-06</t>
        </is>
      </c>
      <c r="B5809" t="inlineStr">
        <is>
          <t>HD건설기계</t>
        </is>
      </c>
      <c r="C5809" t="inlineStr">
        <is>
          <t>267270</t>
        </is>
      </c>
      <c r="D5809" t="inlineStr">
        <is>
          <t>연결</t>
        </is>
      </c>
      <c r="E5809" t="inlineStr">
        <is>
          <t>2023Q4</t>
        </is>
      </c>
      <c r="F5809" s="2" t="n">
        <v>845900</v>
      </c>
      <c r="G5809" t="n">
        <v>-8.9</v>
      </c>
      <c r="H5809" t="n">
        <v>1.5</v>
      </c>
      <c r="I5809" s="2" t="n">
        <v>26800</v>
      </c>
      <c r="J5809" t="n">
        <v>-50.2</v>
      </c>
      <c r="K5809" t="n">
        <v>11.2</v>
      </c>
      <c r="L5809" s="2" t="n">
        <v>-42800</v>
      </c>
      <c r="M5809" t="n">
        <v>-93.7</v>
      </c>
      <c r="N5809" t="inlineStr">
        <is>
          <t>20240206800142</t>
        </is>
      </c>
      <c r="O5809">
        <f>HYPERLINK("https://dart.fss.or.kr/dsaf001/main.do?rcpNo=20240206800142", "공시열람")</f>
        <v/>
      </c>
    </row>
    <row r="5810">
      <c r="A5810" t="inlineStr">
        <is>
          <t>2024-02-06</t>
        </is>
      </c>
      <c r="B5810" t="inlineStr">
        <is>
          <t>한독</t>
        </is>
      </c>
      <c r="C5810" t="inlineStr">
        <is>
          <t>002390</t>
        </is>
      </c>
      <c r="D5810" t="inlineStr">
        <is>
          <t>별도</t>
        </is>
      </c>
      <c r="E5810" t="inlineStr">
        <is>
          <t>2023Q4</t>
        </is>
      </c>
      <c r="F5810" s="2" t="n">
        <v>124907</v>
      </c>
      <c r="G5810" t="n">
        <v>-0.95</v>
      </c>
      <c r="H5810" t="n">
        <v>-7.33</v>
      </c>
      <c r="I5810" s="2" t="n">
        <v>-2380</v>
      </c>
      <c r="J5810" t="inlineStr"/>
      <c r="K5810" t="inlineStr"/>
      <c r="L5810" s="2" t="n">
        <v>-9066</v>
      </c>
      <c r="M5810" t="inlineStr"/>
      <c r="N5810" t="inlineStr">
        <is>
          <t>20240206800865</t>
        </is>
      </c>
      <c r="O5810">
        <f>HYPERLINK("https://dart.fss.or.kr/dsaf001/main.do?rcpNo=20240206800865", "공시열람")</f>
        <v/>
      </c>
    </row>
    <row r="5811">
      <c r="A5811" t="inlineStr">
        <is>
          <t>2024-02-06</t>
        </is>
      </c>
      <c r="B5811" t="inlineStr">
        <is>
          <t>현대이지웰</t>
        </is>
      </c>
      <c r="C5811" t="inlineStr">
        <is>
          <t>090850</t>
        </is>
      </c>
      <c r="D5811" t="inlineStr">
        <is>
          <t>연결</t>
        </is>
      </c>
      <c r="E5811" t="inlineStr">
        <is>
          <t>2023Q4</t>
        </is>
      </c>
      <c r="F5811" s="2" t="n">
        <v>28909</v>
      </c>
      <c r="G5811" t="inlineStr"/>
      <c r="H5811" t="inlineStr"/>
      <c r="I5811" s="2" t="n">
        <v>1938</v>
      </c>
      <c r="J5811" t="inlineStr"/>
      <c r="K5811" t="inlineStr"/>
      <c r="L5811" s="2" t="n">
        <v>-14481</v>
      </c>
      <c r="M5811" t="inlineStr"/>
      <c r="N5811" t="inlineStr">
        <is>
          <t>20240206900778</t>
        </is>
      </c>
      <c r="O5811">
        <f>HYPERLINK("https://dart.fss.or.kr/dsaf001/main.do?rcpNo=20240206900778", "공시열람")</f>
        <v/>
      </c>
    </row>
    <row r="5812">
      <c r="A5812" t="inlineStr">
        <is>
          <t>2024-02-06</t>
        </is>
      </c>
      <c r="B5812" t="inlineStr">
        <is>
          <t>한화엔진</t>
        </is>
      </c>
      <c r="C5812" t="inlineStr">
        <is>
          <t>082740</t>
        </is>
      </c>
      <c r="D5812" t="inlineStr">
        <is>
          <t>별도</t>
        </is>
      </c>
      <c r="E5812" t="inlineStr">
        <is>
          <t>2023Q4</t>
        </is>
      </c>
      <c r="F5812" s="2" t="n">
        <v>854384</v>
      </c>
      <c r="G5812" t="n">
        <v>11.8</v>
      </c>
      <c r="H5812" t="inlineStr"/>
      <c r="I5812" s="2" t="n">
        <v>8729</v>
      </c>
      <c r="J5812" t="inlineStr"/>
      <c r="K5812" t="inlineStr"/>
      <c r="L5812" s="2" t="n">
        <v>-426</v>
      </c>
      <c r="M5812" t="inlineStr"/>
      <c r="N5812" t="inlineStr">
        <is>
          <t>20240206800872</t>
        </is>
      </c>
      <c r="O5812">
        <f>HYPERLINK("https://dart.fss.or.kr/dsaf001/main.do?rcpNo=20240206800872", "공시열람")</f>
        <v/>
      </c>
    </row>
    <row r="5813">
      <c r="A5813" t="inlineStr">
        <is>
          <t>2024-02-06</t>
        </is>
      </c>
      <c r="B5813" t="inlineStr">
        <is>
          <t>LX홀딩스</t>
        </is>
      </c>
      <c r="C5813" t="inlineStr">
        <is>
          <t>383800</t>
        </is>
      </c>
      <c r="D5813" t="inlineStr">
        <is>
          <t>연결</t>
        </is>
      </c>
      <c r="E5813" t="inlineStr">
        <is>
          <t>2023Q4</t>
        </is>
      </c>
      <c r="F5813" s="2" t="n">
        <v>9847</v>
      </c>
      <c r="G5813" t="n">
        <v>14</v>
      </c>
      <c r="H5813" t="n">
        <v>2477.2</v>
      </c>
      <c r="I5813" s="2" t="n">
        <v>-9077</v>
      </c>
      <c r="J5813" t="inlineStr"/>
      <c r="K5813" t="n">
        <v>71.8</v>
      </c>
      <c r="L5813" s="2" t="n">
        <v>-5363</v>
      </c>
      <c r="M5813" t="n">
        <v>71.3</v>
      </c>
      <c r="N5813" t="inlineStr">
        <is>
          <t>20240206800977</t>
        </is>
      </c>
      <c r="O5813">
        <f>HYPERLINK("https://dart.fss.or.kr/dsaf001/main.do?rcpNo=20240206800977", "공시열람")</f>
        <v/>
      </c>
    </row>
    <row r="5814">
      <c r="A5814" t="inlineStr">
        <is>
          <t>2024-02-06</t>
        </is>
      </c>
      <c r="B5814" t="inlineStr">
        <is>
          <t>와이엔텍</t>
        </is>
      </c>
      <c r="C5814" t="inlineStr">
        <is>
          <t>067900</t>
        </is>
      </c>
      <c r="D5814" t="inlineStr">
        <is>
          <t>연결</t>
        </is>
      </c>
      <c r="E5814" t="inlineStr">
        <is>
          <t>2023Q4</t>
        </is>
      </c>
      <c r="F5814" s="2" t="n">
        <v>121396</v>
      </c>
      <c r="G5814" t="inlineStr"/>
      <c r="H5814" t="inlineStr"/>
      <c r="I5814" s="2" t="n">
        <v>32296</v>
      </c>
      <c r="J5814" t="inlineStr"/>
      <c r="K5814" t="inlineStr"/>
      <c r="L5814" s="2" t="n">
        <v>21012</v>
      </c>
      <c r="M5814" t="inlineStr"/>
      <c r="N5814" t="inlineStr">
        <is>
          <t>20240206900997</t>
        </is>
      </c>
      <c r="O5814">
        <f>HYPERLINK("https://dart.fss.or.kr/dsaf001/main.do?rcpNo=20240206900997", "공시열람")</f>
        <v/>
      </c>
    </row>
    <row r="5815">
      <c r="A5815" t="inlineStr">
        <is>
          <t>2024-02-06</t>
        </is>
      </c>
      <c r="B5815" t="inlineStr">
        <is>
          <t>HD한국조선해양</t>
        </is>
      </c>
      <c r="C5815" t="inlineStr">
        <is>
          <t>009540</t>
        </is>
      </c>
      <c r="D5815" t="inlineStr">
        <is>
          <t>별도</t>
        </is>
      </c>
      <c r="E5815" t="inlineStr">
        <is>
          <t>2023Q4</t>
        </is>
      </c>
      <c r="F5815" s="2" t="n">
        <v>1696500</v>
      </c>
      <c r="G5815" t="n">
        <v>28.2</v>
      </c>
      <c r="H5815" t="n">
        <v>27.4</v>
      </c>
      <c r="I5815" s="2" t="n">
        <v>107300</v>
      </c>
      <c r="J5815" t="n">
        <v>43.8</v>
      </c>
      <c r="K5815" t="n">
        <v>-27.7</v>
      </c>
      <c r="L5815" s="2" t="n">
        <v>26100</v>
      </c>
      <c r="M5815" t="n">
        <v>-35.4</v>
      </c>
      <c r="N5815" t="inlineStr">
        <is>
          <t>20240206800261</t>
        </is>
      </c>
      <c r="O5815">
        <f>HYPERLINK("https://dart.fss.or.kr/dsaf001/main.do?rcpNo=20240206800261", "공시열람")</f>
        <v/>
      </c>
    </row>
    <row r="5816">
      <c r="A5816" t="inlineStr">
        <is>
          <t>2024-02-06</t>
        </is>
      </c>
      <c r="B5816" t="inlineStr">
        <is>
          <t>HD한국조선해양</t>
        </is>
      </c>
      <c r="C5816" t="inlineStr">
        <is>
          <t>009540</t>
        </is>
      </c>
      <c r="D5816" t="inlineStr">
        <is>
          <t>연결</t>
        </is>
      </c>
      <c r="E5816" t="inlineStr">
        <is>
          <t>2023Q4</t>
        </is>
      </c>
      <c r="F5816" s="2" t="n">
        <v>5989000</v>
      </c>
      <c r="G5816" t="n">
        <v>19.5</v>
      </c>
      <c r="H5816" t="n">
        <v>21.2</v>
      </c>
      <c r="I5816" s="2" t="n">
        <v>161100</v>
      </c>
      <c r="J5816" t="n">
        <v>133.5</v>
      </c>
      <c r="K5816" t="n">
        <v>37.6</v>
      </c>
      <c r="L5816" s="2" t="n">
        <v>-88600</v>
      </c>
      <c r="M5816" t="n">
        <v>58.3</v>
      </c>
      <c r="N5816" t="inlineStr">
        <is>
          <t>20240206800258</t>
        </is>
      </c>
      <c r="O5816">
        <f>HYPERLINK("https://dart.fss.or.kr/dsaf001/main.do?rcpNo=20240206800258", "공시열람")</f>
        <v/>
      </c>
    </row>
    <row r="5817">
      <c r="A5817" t="inlineStr">
        <is>
          <t>2024-02-06</t>
        </is>
      </c>
      <c r="B5817" t="inlineStr">
        <is>
          <t>HD현대</t>
        </is>
      </c>
      <c r="C5817" t="inlineStr">
        <is>
          <t>267250</t>
        </is>
      </c>
      <c r="D5817" t="inlineStr">
        <is>
          <t>연결</t>
        </is>
      </c>
      <c r="E5817" t="inlineStr">
        <is>
          <t>2023Q4</t>
        </is>
      </c>
      <c r="F5817" s="2" t="n">
        <v>16712800</v>
      </c>
      <c r="G5817" t="n">
        <v>21.8</v>
      </c>
      <c r="H5817" t="n">
        <v>1.2</v>
      </c>
      <c r="I5817" s="2" t="n">
        <v>357900</v>
      </c>
      <c r="J5817" t="n">
        <v>-46.4</v>
      </c>
      <c r="K5817" t="n">
        <v>30.4</v>
      </c>
      <c r="L5817" s="2" t="n">
        <v>-117000</v>
      </c>
      <c r="M5817" t="inlineStr"/>
      <c r="N5817" t="inlineStr">
        <is>
          <t>20240206800259</t>
        </is>
      </c>
      <c r="O5817">
        <f>HYPERLINK("https://dart.fss.or.kr/dsaf001/main.do?rcpNo=20240206800259", "공시열람")</f>
        <v/>
      </c>
    </row>
    <row r="5818">
      <c r="A5818" t="inlineStr">
        <is>
          <t>2024-02-06</t>
        </is>
      </c>
      <c r="B5818" t="inlineStr">
        <is>
          <t>JB금융지주</t>
        </is>
      </c>
      <c r="C5818" t="inlineStr">
        <is>
          <t>175330</t>
        </is>
      </c>
      <c r="D5818" t="inlineStr">
        <is>
          <t>연결</t>
        </is>
      </c>
      <c r="E5818" t="inlineStr">
        <is>
          <t>2023Q4</t>
        </is>
      </c>
      <c r="F5818" s="2" t="n">
        <v>252792</v>
      </c>
      <c r="G5818" t="n">
        <v>10.6</v>
      </c>
      <c r="H5818" t="n">
        <v>21</v>
      </c>
      <c r="I5818" s="2" t="n">
        <v>50009</v>
      </c>
      <c r="J5818" t="n">
        <v>-18.3</v>
      </c>
      <c r="K5818" t="n">
        <v>55.2</v>
      </c>
      <c r="L5818" s="2" t="n">
        <v>38811</v>
      </c>
      <c r="M5818" t="n">
        <v>61.4</v>
      </c>
      <c r="N5818" t="inlineStr">
        <is>
          <t>20240206800263</t>
        </is>
      </c>
      <c r="O5818">
        <f>HYPERLINK("https://dart.fss.or.kr/dsaf001/main.do?rcpNo=20240206800263", "공시열람")</f>
        <v/>
      </c>
    </row>
    <row r="5819">
      <c r="A5819" t="inlineStr">
        <is>
          <t>2024-02-06</t>
        </is>
      </c>
      <c r="B5819" t="inlineStr">
        <is>
          <t>SKC</t>
        </is>
      </c>
      <c r="C5819" t="inlineStr">
        <is>
          <t>011790</t>
        </is>
      </c>
      <c r="D5819" t="inlineStr">
        <is>
          <t>연결</t>
        </is>
      </c>
      <c r="E5819" t="inlineStr">
        <is>
          <t>2023Q4</t>
        </is>
      </c>
      <c r="F5819" s="2" t="n">
        <v>259800</v>
      </c>
      <c r="G5819" t="inlineStr"/>
      <c r="H5819" t="inlineStr"/>
      <c r="I5819" s="2" t="n">
        <v>-85100</v>
      </c>
      <c r="J5819" t="inlineStr"/>
      <c r="K5819" t="inlineStr"/>
      <c r="L5819" s="2" t="n">
        <v>-144100</v>
      </c>
      <c r="M5819" t="inlineStr"/>
      <c r="N5819" t="inlineStr">
        <is>
          <t>20240206800247</t>
        </is>
      </c>
      <c r="O5819">
        <f>HYPERLINK("https://dart.fss.or.kr/dsaf001/main.do?rcpNo=20240206800247", "공시열람")</f>
        <v/>
      </c>
    </row>
    <row r="5820">
      <c r="A5820" t="inlineStr">
        <is>
          <t>2024-02-06</t>
        </is>
      </c>
      <c r="B5820" t="inlineStr">
        <is>
          <t>HD현대중공업</t>
        </is>
      </c>
      <c r="C5820" t="inlineStr">
        <is>
          <t>329180</t>
        </is>
      </c>
      <c r="D5820" t="inlineStr">
        <is>
          <t>연결</t>
        </is>
      </c>
      <c r="E5820" t="inlineStr">
        <is>
          <t>2023Q4</t>
        </is>
      </c>
      <c r="F5820" s="2" t="n">
        <v>3413100</v>
      </c>
      <c r="G5820" t="n">
        <v>19.6</v>
      </c>
      <c r="H5820" t="n">
        <v>27.6</v>
      </c>
      <c r="I5820" s="2" t="n">
        <v>138700</v>
      </c>
      <c r="J5820" t="n">
        <v>975.2</v>
      </c>
      <c r="K5820" t="n">
        <v>524.8</v>
      </c>
      <c r="L5820" s="2" t="n">
        <v>31000</v>
      </c>
      <c r="M5820" t="inlineStr"/>
      <c r="N5820" t="inlineStr">
        <is>
          <t>20240206800243</t>
        </is>
      </c>
      <c r="O5820">
        <f>HYPERLINK("https://dart.fss.or.kr/dsaf001/main.do?rcpNo=20240206800243", "공시열람")</f>
        <v/>
      </c>
    </row>
    <row r="5821">
      <c r="A5821" t="inlineStr">
        <is>
          <t>2024-02-06</t>
        </is>
      </c>
      <c r="B5821" t="inlineStr">
        <is>
          <t>HD현대중공업</t>
        </is>
      </c>
      <c r="C5821" t="inlineStr">
        <is>
          <t>329180</t>
        </is>
      </c>
      <c r="D5821" t="inlineStr">
        <is>
          <t>별도</t>
        </is>
      </c>
      <c r="E5821" t="inlineStr">
        <is>
          <t>2023Q4</t>
        </is>
      </c>
      <c r="F5821" s="2" t="n">
        <v>3409700</v>
      </c>
      <c r="G5821" t="n">
        <v>19.6</v>
      </c>
      <c r="H5821" t="n">
        <v>27.1</v>
      </c>
      <c r="I5821" s="2" t="n">
        <v>139600</v>
      </c>
      <c r="J5821" t="n">
        <v>990.6</v>
      </c>
      <c r="K5821" t="n">
        <v>531.7</v>
      </c>
      <c r="L5821" s="2" t="n">
        <v>30200</v>
      </c>
      <c r="M5821" t="inlineStr"/>
      <c r="N5821" t="inlineStr">
        <is>
          <t>20240206800240</t>
        </is>
      </c>
      <c r="O5821">
        <f>HYPERLINK("https://dart.fss.or.kr/dsaf001/main.do?rcpNo=20240206800240", "공시열람")</f>
        <v/>
      </c>
    </row>
    <row r="5822">
      <c r="A5822" t="inlineStr">
        <is>
          <t>2024-02-06</t>
        </is>
      </c>
      <c r="B5822" t="inlineStr">
        <is>
          <t>GS리테일</t>
        </is>
      </c>
      <c r="C5822" t="inlineStr">
        <is>
          <t>007070</t>
        </is>
      </c>
      <c r="D5822" t="inlineStr">
        <is>
          <t>연결</t>
        </is>
      </c>
      <c r="E5822" t="inlineStr">
        <is>
          <t>2023Q4</t>
        </is>
      </c>
      <c r="F5822" s="2" t="n">
        <v>2931677</v>
      </c>
      <c r="G5822" t="inlineStr"/>
      <c r="H5822" t="inlineStr"/>
      <c r="I5822" s="2" t="n">
        <v>91416</v>
      </c>
      <c r="J5822" t="inlineStr"/>
      <c r="K5822" t="inlineStr"/>
      <c r="L5822" s="2" t="n">
        <v>-118614</v>
      </c>
      <c r="M5822" t="inlineStr"/>
      <c r="N5822" t="inlineStr">
        <is>
          <t>20240206800126</t>
        </is>
      </c>
      <c r="O5822">
        <f>HYPERLINK("https://dart.fss.or.kr/dsaf001/main.do?rcpNo=20240206800126", "공시열람")</f>
        <v/>
      </c>
    </row>
    <row r="5823">
      <c r="A5823" t="inlineStr">
        <is>
          <t>2024-02-05</t>
        </is>
      </c>
      <c r="B5823" t="inlineStr">
        <is>
          <t>위메이드플레이</t>
        </is>
      </c>
      <c r="C5823" t="inlineStr">
        <is>
          <t>123420</t>
        </is>
      </c>
      <c r="D5823" t="inlineStr">
        <is>
          <t>연결</t>
        </is>
      </c>
      <c r="E5823" t="inlineStr">
        <is>
          <t>2023Q4</t>
        </is>
      </c>
      <c r="F5823" s="2" t="n">
        <v>31259</v>
      </c>
      <c r="G5823" t="inlineStr"/>
      <c r="H5823" t="inlineStr"/>
      <c r="I5823" s="2" t="n">
        <v>-264</v>
      </c>
      <c r="J5823" t="inlineStr"/>
      <c r="K5823" t="inlineStr"/>
      <c r="L5823" s="2" t="n">
        <v>3982</v>
      </c>
      <c r="M5823" t="inlineStr"/>
      <c r="N5823" t="inlineStr">
        <is>
          <t>20240205900709</t>
        </is>
      </c>
      <c r="O5823">
        <f>HYPERLINK("https://dart.fss.or.kr/dsaf001/main.do?rcpNo=20240205900709", "공시열람")</f>
        <v/>
      </c>
    </row>
    <row r="5824">
      <c r="A5824" t="inlineStr">
        <is>
          <t>2024-02-05</t>
        </is>
      </c>
      <c r="B5824" t="inlineStr">
        <is>
          <t>SK텔레콤</t>
        </is>
      </c>
      <c r="C5824" t="inlineStr">
        <is>
          <t>017670</t>
        </is>
      </c>
      <c r="D5824" t="inlineStr">
        <is>
          <t>연결</t>
        </is>
      </c>
      <c r="E5824" t="inlineStr">
        <is>
          <t>2023Q4</t>
        </is>
      </c>
      <c r="F5824" s="2" t="n">
        <v>4527300</v>
      </c>
      <c r="G5824" t="n">
        <v>2.83</v>
      </c>
      <c r="H5824" t="n">
        <v>3.02</v>
      </c>
      <c r="I5824" s="2" t="n">
        <v>297100</v>
      </c>
      <c r="J5824" t="n">
        <v>-40.35</v>
      </c>
      <c r="K5824" t="n">
        <v>16.72</v>
      </c>
      <c r="L5824" s="2" t="n">
        <v>187400</v>
      </c>
      <c r="M5824" t="n">
        <v>-16.22</v>
      </c>
      <c r="N5824" t="inlineStr">
        <is>
          <t>20240205800072</t>
        </is>
      </c>
      <c r="O5824">
        <f>HYPERLINK("https://dart.fss.or.kr/dsaf001/main.do?rcpNo=20240205800072", "공시열람")</f>
        <v/>
      </c>
    </row>
    <row r="5825">
      <c r="A5825" t="inlineStr">
        <is>
          <t>2024-02-05</t>
        </is>
      </c>
      <c r="B5825" t="inlineStr">
        <is>
          <t>고려아연</t>
        </is>
      </c>
      <c r="C5825" t="inlineStr">
        <is>
          <t>010130</t>
        </is>
      </c>
      <c r="D5825" t="inlineStr">
        <is>
          <t>별도</t>
        </is>
      </c>
      <c r="E5825" t="inlineStr">
        <is>
          <t>2023Q4</t>
        </is>
      </c>
      <c r="F5825" s="2" t="n">
        <v>1905845</v>
      </c>
      <c r="G5825" t="n">
        <v>6.9</v>
      </c>
      <c r="H5825" t="n">
        <v>-11.9</v>
      </c>
      <c r="I5825" s="2" t="n">
        <v>221250</v>
      </c>
      <c r="J5825" t="n">
        <v>32.8</v>
      </c>
      <c r="K5825" t="n">
        <v>41.6</v>
      </c>
      <c r="L5825" s="2" t="n">
        <v>197713</v>
      </c>
      <c r="M5825" t="n">
        <v>37.5</v>
      </c>
      <c r="N5825" t="inlineStr">
        <is>
          <t>20240205801024</t>
        </is>
      </c>
      <c r="O5825">
        <f>HYPERLINK("https://dart.fss.or.kr/dsaf001/main.do?rcpNo=20240205801024", "공시열람")</f>
        <v/>
      </c>
    </row>
    <row r="5826">
      <c r="A5826" t="inlineStr">
        <is>
          <t>2024-02-05</t>
        </is>
      </c>
      <c r="B5826" t="inlineStr">
        <is>
          <t>고려아연</t>
        </is>
      </c>
      <c r="C5826" t="inlineStr">
        <is>
          <t>010130</t>
        </is>
      </c>
      <c r="D5826" t="inlineStr">
        <is>
          <t>연결</t>
        </is>
      </c>
      <c r="E5826" t="inlineStr">
        <is>
          <t>2023Q4</t>
        </is>
      </c>
      <c r="F5826" s="2" t="n">
        <v>2414535</v>
      </c>
      <c r="G5826" t="n">
        <v>5.3</v>
      </c>
      <c r="H5826" t="n">
        <v>-18.5</v>
      </c>
      <c r="I5826" s="2" t="n">
        <v>197176</v>
      </c>
      <c r="J5826" t="n">
        <v>22.9</v>
      </c>
      <c r="K5826" t="n">
        <v>92.2</v>
      </c>
      <c r="L5826" s="2" t="n">
        <v>192726</v>
      </c>
      <c r="M5826" t="n">
        <v>-25</v>
      </c>
      <c r="N5826" t="inlineStr">
        <is>
          <t>20240205801016</t>
        </is>
      </c>
      <c r="O5826">
        <f>HYPERLINK("https://dart.fss.or.kr/dsaf001/main.do?rcpNo=20240205801016", "공시열람")</f>
        <v/>
      </c>
    </row>
    <row r="5827">
      <c r="A5827" t="inlineStr">
        <is>
          <t>2024-02-05</t>
        </is>
      </c>
      <c r="B5827" t="inlineStr">
        <is>
          <t>현대퓨처넷</t>
        </is>
      </c>
      <c r="C5827" t="inlineStr">
        <is>
          <t>126560</t>
        </is>
      </c>
      <c r="D5827" t="inlineStr">
        <is>
          <t>연결</t>
        </is>
      </c>
      <c r="E5827" t="inlineStr">
        <is>
          <t>2023Q4</t>
        </is>
      </c>
      <c r="F5827" s="2" t="n">
        <v>39198</v>
      </c>
      <c r="G5827" t="n">
        <v>-6.7</v>
      </c>
      <c r="H5827" t="n">
        <v>24</v>
      </c>
      <c r="I5827" s="2" t="n">
        <v>-3909</v>
      </c>
      <c r="J5827" t="inlineStr"/>
      <c r="K5827" t="n">
        <v>-7.8</v>
      </c>
      <c r="L5827" s="2" t="n">
        <v>-16712</v>
      </c>
      <c r="M5827" t="n">
        <v>-4.7</v>
      </c>
      <c r="N5827" t="inlineStr">
        <is>
          <t>20240205800789</t>
        </is>
      </c>
      <c r="O5827">
        <f>HYPERLINK("https://dart.fss.or.kr/dsaf001/main.do?rcpNo=20240205800789", "공시열람")</f>
        <v/>
      </c>
    </row>
    <row r="5828">
      <c r="A5828" t="inlineStr">
        <is>
          <t>2024-02-05</t>
        </is>
      </c>
      <c r="B5828" t="inlineStr">
        <is>
          <t>HD현대에너지솔루션</t>
        </is>
      </c>
      <c r="C5828" t="inlineStr">
        <is>
          <t>322000</t>
        </is>
      </c>
      <c r="D5828" t="inlineStr">
        <is>
          <t>연결</t>
        </is>
      </c>
      <c r="E5828" t="inlineStr">
        <is>
          <t>2023Q4</t>
        </is>
      </c>
      <c r="F5828" s="2" t="n">
        <v>113326</v>
      </c>
      <c r="G5828" t="n">
        <v>-19.6</v>
      </c>
      <c r="H5828" t="n">
        <v>-59</v>
      </c>
      <c r="I5828" s="2" t="n">
        <v>-4876</v>
      </c>
      <c r="J5828" t="inlineStr"/>
      <c r="K5828" t="inlineStr"/>
      <c r="L5828" s="2" t="n">
        <v>-17370</v>
      </c>
      <c r="M5828" t="inlineStr"/>
      <c r="N5828" t="inlineStr">
        <is>
          <t>20240205800752</t>
        </is>
      </c>
      <c r="O5828">
        <f>HYPERLINK("https://dart.fss.or.kr/dsaf001/main.do?rcpNo=20240205800752", "공시열람")</f>
        <v/>
      </c>
    </row>
    <row r="5829">
      <c r="A5829" t="inlineStr">
        <is>
          <t>2024-02-05</t>
        </is>
      </c>
      <c r="B5829" t="inlineStr">
        <is>
          <t>해성디에스</t>
        </is>
      </c>
      <c r="C5829" t="inlineStr">
        <is>
          <t>195870</t>
        </is>
      </c>
      <c r="D5829" t="inlineStr">
        <is>
          <t>연결</t>
        </is>
      </c>
      <c r="E5829" t="inlineStr">
        <is>
          <t>2023Q4</t>
        </is>
      </c>
      <c r="F5829" s="2" t="n">
        <v>145100</v>
      </c>
      <c r="G5829" t="n">
        <v>-6.7</v>
      </c>
      <c r="H5829" t="n">
        <v>-27.1</v>
      </c>
      <c r="I5829" s="2" t="n">
        <v>16300</v>
      </c>
      <c r="J5829" t="n">
        <v>-15.6</v>
      </c>
      <c r="K5829" t="n">
        <v>-63.4</v>
      </c>
      <c r="L5829" s="2" t="n">
        <v>10600</v>
      </c>
      <c r="M5829" t="n">
        <v>-52.7</v>
      </c>
      <c r="N5829" t="inlineStr">
        <is>
          <t>20240205800730</t>
        </is>
      </c>
      <c r="O5829">
        <f>HYPERLINK("https://dart.fss.or.kr/dsaf001/main.do?rcpNo=20240205800730", "공시열람")</f>
        <v/>
      </c>
    </row>
    <row r="5830">
      <c r="A5830" t="inlineStr">
        <is>
          <t>2024-02-05</t>
        </is>
      </c>
      <c r="B5830" t="inlineStr">
        <is>
          <t>롯데칠성음료</t>
        </is>
      </c>
      <c r="C5830" t="inlineStr">
        <is>
          <t>005300</t>
        </is>
      </c>
      <c r="D5830" t="inlineStr">
        <is>
          <t>연결</t>
        </is>
      </c>
      <c r="E5830" t="inlineStr">
        <is>
          <t>2023Q4</t>
        </is>
      </c>
      <c r="F5830" s="2" t="n">
        <v>918360</v>
      </c>
      <c r="G5830" t="n">
        <v>10.6</v>
      </c>
      <c r="H5830" t="n">
        <v>37.3</v>
      </c>
      <c r="I5830" s="2" t="n">
        <v>7959</v>
      </c>
      <c r="J5830" t="n">
        <v>-90.59999999999999</v>
      </c>
      <c r="K5830" t="n">
        <v>-67.3</v>
      </c>
      <c r="L5830" s="2" t="n">
        <v>35293</v>
      </c>
      <c r="M5830" t="n">
        <v>509</v>
      </c>
      <c r="N5830" t="inlineStr">
        <is>
          <t>20240205800720</t>
        </is>
      </c>
      <c r="O5830">
        <f>HYPERLINK("https://dart.fss.or.kr/dsaf001/main.do?rcpNo=20240205800720", "공시열람")</f>
        <v/>
      </c>
    </row>
    <row r="5831">
      <c r="A5831" t="inlineStr">
        <is>
          <t>2024-02-05</t>
        </is>
      </c>
      <c r="B5831" t="inlineStr">
        <is>
          <t>바텍</t>
        </is>
      </c>
      <c r="C5831" t="inlineStr">
        <is>
          <t>043150</t>
        </is>
      </c>
      <c r="D5831" t="inlineStr">
        <is>
          <t>연결</t>
        </is>
      </c>
      <c r="E5831" t="inlineStr">
        <is>
          <t>2023Q4</t>
        </is>
      </c>
      <c r="F5831" s="2" t="n">
        <v>106741</v>
      </c>
      <c r="G5831" t="inlineStr"/>
      <c r="H5831" t="inlineStr"/>
      <c r="I5831" s="2" t="n">
        <v>14562</v>
      </c>
      <c r="J5831" t="inlineStr"/>
      <c r="K5831" t="inlineStr"/>
      <c r="L5831" s="2" t="n">
        <v>4787</v>
      </c>
      <c r="M5831" t="inlineStr"/>
      <c r="N5831" t="inlineStr">
        <is>
          <t>20240205900705</t>
        </is>
      </c>
      <c r="O5831">
        <f>HYPERLINK("https://dart.fss.or.kr/dsaf001/main.do?rcpNo=20240205900705", "공시열람")</f>
        <v/>
      </c>
    </row>
    <row r="5832">
      <c r="A5832" t="inlineStr">
        <is>
          <t>2024-02-05</t>
        </is>
      </c>
      <c r="B5832" t="inlineStr">
        <is>
          <t>HL만도</t>
        </is>
      </c>
      <c r="C5832" t="inlineStr">
        <is>
          <t>204320</t>
        </is>
      </c>
      <c r="D5832" t="inlineStr">
        <is>
          <t>연결</t>
        </is>
      </c>
      <c r="E5832" t="inlineStr">
        <is>
          <t>2023Q4</t>
        </is>
      </c>
      <c r="F5832" s="2" t="n">
        <v>2190435</v>
      </c>
      <c r="G5832" t="n">
        <v>3.4</v>
      </c>
      <c r="H5832" t="n">
        <v>0.4</v>
      </c>
      <c r="I5832" s="2" t="n">
        <v>50575</v>
      </c>
      <c r="J5832" t="n">
        <v>-38</v>
      </c>
      <c r="K5832" t="n">
        <v>-11</v>
      </c>
      <c r="L5832" s="2" t="n">
        <v>40720</v>
      </c>
      <c r="M5832" t="inlineStr"/>
      <c r="N5832" t="inlineStr">
        <is>
          <t>20240205800682</t>
        </is>
      </c>
      <c r="O5832">
        <f>HYPERLINK("https://dart.fss.or.kr/dsaf001/main.do?rcpNo=20240205800682", "공시열람")</f>
        <v/>
      </c>
    </row>
    <row r="5833">
      <c r="A5833" t="inlineStr">
        <is>
          <t>2024-02-05</t>
        </is>
      </c>
      <c r="B5833" t="inlineStr">
        <is>
          <t>대웅제약</t>
        </is>
      </c>
      <c r="C5833" t="inlineStr">
        <is>
          <t>069620</t>
        </is>
      </c>
      <c r="D5833" t="inlineStr">
        <is>
          <t>별도</t>
        </is>
      </c>
      <c r="E5833" t="inlineStr">
        <is>
          <t>2023Q4</t>
        </is>
      </c>
      <c r="F5833" s="2" t="n">
        <v>319551</v>
      </c>
      <c r="G5833" t="n">
        <v>5.45</v>
      </c>
      <c r="H5833" t="n">
        <v>8.75</v>
      </c>
      <c r="I5833" s="2" t="n">
        <v>32049</v>
      </c>
      <c r="J5833" t="n">
        <v>-6.28</v>
      </c>
      <c r="K5833" t="n">
        <v>109.4</v>
      </c>
      <c r="L5833" s="2" t="n">
        <v>42543</v>
      </c>
      <c r="M5833" t="inlineStr"/>
      <c r="N5833" t="inlineStr">
        <is>
          <t>20240205800632</t>
        </is>
      </c>
      <c r="O5833">
        <f>HYPERLINK("https://dart.fss.or.kr/dsaf001/main.do?rcpNo=20240205800632", "공시열람")</f>
        <v/>
      </c>
    </row>
    <row r="5834">
      <c r="A5834" t="inlineStr">
        <is>
          <t>2024-02-05</t>
        </is>
      </c>
      <c r="B5834" t="inlineStr">
        <is>
          <t>KG파이낸셜</t>
        </is>
      </c>
      <c r="C5834" t="inlineStr">
        <is>
          <t>046440</t>
        </is>
      </c>
      <c r="D5834" t="inlineStr">
        <is>
          <t>연결</t>
        </is>
      </c>
      <c r="E5834" t="inlineStr">
        <is>
          <t>2023Q4</t>
        </is>
      </c>
      <c r="F5834" s="2" t="n">
        <v>65773</v>
      </c>
      <c r="G5834" t="inlineStr"/>
      <c r="H5834" t="inlineStr"/>
      <c r="I5834" s="2" t="n">
        <v>9350</v>
      </c>
      <c r="J5834" t="inlineStr"/>
      <c r="K5834" t="inlineStr"/>
      <c r="L5834" s="2" t="n">
        <v>22370</v>
      </c>
      <c r="M5834" t="inlineStr"/>
      <c r="N5834" t="inlineStr">
        <is>
          <t>20240205900512</t>
        </is>
      </c>
      <c r="O5834">
        <f>HYPERLINK("https://dart.fss.or.kr/dsaf001/main.do?rcpNo=20240205900512", "공시열람")</f>
        <v/>
      </c>
    </row>
    <row r="5835">
      <c r="A5835" t="inlineStr">
        <is>
          <t>2024-02-05</t>
        </is>
      </c>
      <c r="B5835" t="inlineStr">
        <is>
          <t>케이티스카이라이프</t>
        </is>
      </c>
      <c r="C5835" t="inlineStr">
        <is>
          <t>053210</t>
        </is>
      </c>
      <c r="D5835" t="inlineStr">
        <is>
          <t>연결</t>
        </is>
      </c>
      <c r="E5835" t="inlineStr">
        <is>
          <t>2023Q4</t>
        </is>
      </c>
      <c r="F5835" s="2" t="n">
        <v>262159</v>
      </c>
      <c r="G5835" t="n">
        <v>0.6</v>
      </c>
      <c r="H5835" t="n">
        <v>-3.3</v>
      </c>
      <c r="I5835" s="2" t="n">
        <v>-26145</v>
      </c>
      <c r="J5835" t="inlineStr"/>
      <c r="K5835" t="inlineStr"/>
      <c r="L5835" s="2" t="n">
        <v>-136079</v>
      </c>
      <c r="M5835" t="n">
        <v>-512.7</v>
      </c>
      <c r="N5835" t="inlineStr">
        <is>
          <t>20240205800077</t>
        </is>
      </c>
      <c r="O5835">
        <f>HYPERLINK("https://dart.fss.or.kr/dsaf001/main.do?rcpNo=20240205800077", "공시열람")</f>
        <v/>
      </c>
    </row>
    <row r="5836">
      <c r="A5836" t="inlineStr">
        <is>
          <t>2024-02-05</t>
        </is>
      </c>
      <c r="B5836" t="inlineStr">
        <is>
          <t>케이티스카이라이프</t>
        </is>
      </c>
      <c r="C5836" t="inlineStr">
        <is>
          <t>053210</t>
        </is>
      </c>
      <c r="D5836" t="inlineStr">
        <is>
          <t>별도</t>
        </is>
      </c>
      <c r="E5836" t="inlineStr">
        <is>
          <t>2023Q4</t>
        </is>
      </c>
      <c r="F5836" s="2" t="n">
        <v>178602</v>
      </c>
      <c r="G5836" t="n">
        <v>-1.1</v>
      </c>
      <c r="H5836" t="n">
        <v>-2.1</v>
      </c>
      <c r="I5836" s="2" t="n">
        <v>-1574</v>
      </c>
      <c r="J5836" t="inlineStr"/>
      <c r="K5836" t="inlineStr"/>
      <c r="L5836" s="2" t="n">
        <v>-111414</v>
      </c>
      <c r="M5836" t="n">
        <v>-514.7</v>
      </c>
      <c r="N5836" t="inlineStr">
        <is>
          <t>20240205800075</t>
        </is>
      </c>
      <c r="O5836">
        <f>HYPERLINK("https://dart.fss.or.kr/dsaf001/main.do?rcpNo=20240205800075", "공시열람")</f>
        <v/>
      </c>
    </row>
    <row r="5837">
      <c r="A5837" t="inlineStr">
        <is>
          <t>2024-02-05</t>
        </is>
      </c>
      <c r="B5837" t="inlineStr">
        <is>
          <t>DB하이텍</t>
        </is>
      </c>
      <c r="C5837" t="inlineStr">
        <is>
          <t>000990</t>
        </is>
      </c>
      <c r="D5837" t="inlineStr">
        <is>
          <t>연결</t>
        </is>
      </c>
      <c r="E5837" t="inlineStr">
        <is>
          <t>2023Q4</t>
        </is>
      </c>
      <c r="F5837" s="2" t="n">
        <v>283045</v>
      </c>
      <c r="G5837" t="n">
        <v>5.69</v>
      </c>
      <c r="H5837" t="n">
        <v>-28.73</v>
      </c>
      <c r="I5837" s="2" t="n">
        <v>43072</v>
      </c>
      <c r="J5837" t="n">
        <v>-14.36</v>
      </c>
      <c r="K5837" t="n">
        <v>-71.97</v>
      </c>
      <c r="L5837" s="2" t="n">
        <v>35643</v>
      </c>
      <c r="M5837" t="n">
        <v>-47.88</v>
      </c>
      <c r="N5837" t="inlineStr">
        <is>
          <t>20240205800083</t>
        </is>
      </c>
      <c r="O5837">
        <f>HYPERLINK("https://dart.fss.or.kr/dsaf001/main.do?rcpNo=20240205800083", "공시열람")</f>
        <v/>
      </c>
    </row>
    <row r="5838">
      <c r="A5838" t="inlineStr">
        <is>
          <t>2024-02-05</t>
        </is>
      </c>
      <c r="B5838" t="inlineStr">
        <is>
          <t>케어젠</t>
        </is>
      </c>
      <c r="C5838" t="inlineStr">
        <is>
          <t>214370</t>
        </is>
      </c>
      <c r="D5838" t="inlineStr">
        <is>
          <t>연결</t>
        </is>
      </c>
      <c r="E5838" t="inlineStr">
        <is>
          <t>2023Q4</t>
        </is>
      </c>
      <c r="F5838" s="2" t="n">
        <v>17440</v>
      </c>
      <c r="G5838" t="inlineStr"/>
      <c r="H5838" t="inlineStr"/>
      <c r="I5838" s="2" t="n">
        <v>10342</v>
      </c>
      <c r="J5838" t="inlineStr"/>
      <c r="K5838" t="inlineStr"/>
      <c r="L5838" s="2" t="n">
        <v>8544</v>
      </c>
      <c r="M5838" t="inlineStr"/>
      <c r="N5838" t="inlineStr">
        <is>
          <t>20240205900616</t>
        </is>
      </c>
      <c r="O5838">
        <f>HYPERLINK("https://dart.fss.or.kr/dsaf001/main.do?rcpNo=20240205900616", "공시열람")</f>
        <v/>
      </c>
    </row>
    <row r="5839">
      <c r="A5839" t="inlineStr">
        <is>
          <t>2024-02-05</t>
        </is>
      </c>
      <c r="B5839" t="inlineStr">
        <is>
          <t>SK텔레콤</t>
        </is>
      </c>
      <c r="C5839" t="inlineStr">
        <is>
          <t>017670</t>
        </is>
      </c>
      <c r="D5839" t="inlineStr">
        <is>
          <t>별도</t>
        </is>
      </c>
      <c r="E5839" t="inlineStr">
        <is>
          <t>2023Q4</t>
        </is>
      </c>
      <c r="F5839" s="2" t="n">
        <v>3204300</v>
      </c>
      <c r="G5839" t="n">
        <v>1.77</v>
      </c>
      <c r="H5839" t="n">
        <v>3.49</v>
      </c>
      <c r="I5839" s="2" t="n">
        <v>254000</v>
      </c>
      <c r="J5839" t="n">
        <v>-37.61</v>
      </c>
      <c r="K5839" t="n">
        <v>30.51</v>
      </c>
      <c r="L5839" s="2" t="n">
        <v>114400</v>
      </c>
      <c r="M5839" t="n">
        <v>30.18</v>
      </c>
      <c r="N5839" t="inlineStr">
        <is>
          <t>20240205800071</t>
        </is>
      </c>
      <c r="O5839">
        <f>HYPERLINK("https://dart.fss.or.kr/dsaf001/main.do?rcpNo=20240205800071", "공시열람")</f>
        <v/>
      </c>
    </row>
    <row r="5840">
      <c r="A5840" t="inlineStr">
        <is>
          <t>2024-02-05</t>
        </is>
      </c>
      <c r="B5840" t="inlineStr">
        <is>
          <t>BNK금융지주</t>
        </is>
      </c>
      <c r="C5840" t="inlineStr">
        <is>
          <t>138930</t>
        </is>
      </c>
      <c r="D5840" t="inlineStr">
        <is>
          <t>연결</t>
        </is>
      </c>
      <c r="E5840" t="inlineStr">
        <is>
          <t>2023Q4</t>
        </is>
      </c>
      <c r="F5840" s="2" t="n">
        <v>2426755</v>
      </c>
      <c r="G5840" t="n">
        <v>3.4</v>
      </c>
      <c r="H5840" t="n">
        <v>30.56</v>
      </c>
      <c r="I5840" s="2" t="n">
        <v>-67681</v>
      </c>
      <c r="J5840" t="inlineStr"/>
      <c r="K5840" t="inlineStr"/>
      <c r="L5840" s="2" t="n">
        <v>-18657</v>
      </c>
      <c r="M5840" t="inlineStr"/>
      <c r="N5840" t="inlineStr">
        <is>
          <t>20240205801169</t>
        </is>
      </c>
      <c r="O5840">
        <f>HYPERLINK("https://dart.fss.or.kr/dsaf001/main.do?rcpNo=20240205801169", "공시열람")</f>
        <v/>
      </c>
    </row>
    <row r="5841">
      <c r="A5841" t="inlineStr">
        <is>
          <t>2024-02-02</t>
        </is>
      </c>
      <c r="B5841" t="inlineStr">
        <is>
          <t>NAVER</t>
        </is>
      </c>
      <c r="C5841" t="inlineStr">
        <is>
          <t>035420</t>
        </is>
      </c>
      <c r="D5841" t="inlineStr">
        <is>
          <t>연결</t>
        </is>
      </c>
      <c r="E5841" t="inlineStr">
        <is>
          <t>2023Q4</t>
        </is>
      </c>
      <c r="F5841" s="2" t="n">
        <v>2537000</v>
      </c>
      <c r="G5841" t="n">
        <v>3.8</v>
      </c>
      <c r="H5841" t="n">
        <v>11.7</v>
      </c>
      <c r="I5841" s="2" t="n">
        <v>405500</v>
      </c>
      <c r="J5841" t="n">
        <v>6.7</v>
      </c>
      <c r="K5841" t="n">
        <v>20.5</v>
      </c>
      <c r="L5841" s="2" t="n">
        <v>301800</v>
      </c>
      <c r="M5841" t="n">
        <v>129.1</v>
      </c>
      <c r="N5841" t="inlineStr">
        <is>
          <t>20240202800002</t>
        </is>
      </c>
      <c r="O5841">
        <f>HYPERLINK("https://dart.fss.or.kr/dsaf001/main.do?rcpNo=20240202800002", "공시열람")</f>
        <v/>
      </c>
    </row>
    <row r="5842">
      <c r="A5842" t="inlineStr">
        <is>
          <t>2024-02-02</t>
        </is>
      </c>
      <c r="B5842" t="inlineStr">
        <is>
          <t>고영</t>
        </is>
      </c>
      <c r="C5842" t="inlineStr">
        <is>
          <t>098460</t>
        </is>
      </c>
      <c r="D5842" t="inlineStr">
        <is>
          <t>연결</t>
        </is>
      </c>
      <c r="E5842" t="inlineStr">
        <is>
          <t>2023Q4</t>
        </is>
      </c>
      <c r="F5842" s="2" t="n">
        <v>58839</v>
      </c>
      <c r="G5842" t="inlineStr"/>
      <c r="H5842" t="inlineStr"/>
      <c r="I5842" s="2" t="n">
        <v>5801</v>
      </c>
      <c r="J5842" t="inlineStr"/>
      <c r="K5842" t="inlineStr"/>
      <c r="L5842" s="2" t="n">
        <v>1912</v>
      </c>
      <c r="M5842" t="inlineStr"/>
      <c r="N5842" t="inlineStr">
        <is>
          <t>20240202900550</t>
        </is>
      </c>
      <c r="O5842">
        <f>HYPERLINK("https://dart.fss.or.kr/dsaf001/main.do?rcpNo=20240202900550", "공시열람")</f>
        <v/>
      </c>
    </row>
    <row r="5843">
      <c r="A5843" t="inlineStr">
        <is>
          <t>2024-02-02</t>
        </is>
      </c>
      <c r="B5843" t="inlineStr">
        <is>
          <t>KZ정밀</t>
        </is>
      </c>
      <c r="C5843" t="inlineStr">
        <is>
          <t>036560</t>
        </is>
      </c>
      <c r="D5843" t="inlineStr">
        <is>
          <t>별도</t>
        </is>
      </c>
      <c r="E5843" t="inlineStr">
        <is>
          <t>2023Q4</t>
        </is>
      </c>
      <c r="F5843" s="2" t="n">
        <v>36869</v>
      </c>
      <c r="G5843" t="inlineStr"/>
      <c r="H5843" t="inlineStr"/>
      <c r="I5843" s="2" t="n">
        <v>4547</v>
      </c>
      <c r="J5843" t="inlineStr"/>
      <c r="K5843" t="inlineStr"/>
      <c r="L5843" s="2" t="n">
        <v>4466</v>
      </c>
      <c r="M5843" t="inlineStr"/>
      <c r="N5843" t="inlineStr">
        <is>
          <t>20240202900308</t>
        </is>
      </c>
      <c r="O5843">
        <f>HYPERLINK("https://dart.fss.or.kr/dsaf001/main.do?rcpNo=20240202900308", "공시열람")</f>
        <v/>
      </c>
    </row>
    <row r="5844">
      <c r="A5844" t="inlineStr">
        <is>
          <t>2024-02-02</t>
        </is>
      </c>
      <c r="B5844" t="inlineStr">
        <is>
          <t>HD현대일렉트릭</t>
        </is>
      </c>
      <c r="C5844" t="inlineStr">
        <is>
          <t>267260</t>
        </is>
      </c>
      <c r="D5844" t="inlineStr">
        <is>
          <t>연결</t>
        </is>
      </c>
      <c r="E5844" t="inlineStr">
        <is>
          <t>2023Q4</t>
        </is>
      </c>
      <c r="F5844" s="2" t="n">
        <v>797300</v>
      </c>
      <c r="G5844" t="n">
        <v>14.8</v>
      </c>
      <c r="H5844" t="n">
        <v>17.7</v>
      </c>
      <c r="I5844" s="2" t="n">
        <v>124700</v>
      </c>
      <c r="J5844" t="n">
        <v>46</v>
      </c>
      <c r="K5844" t="n">
        <v>143.6</v>
      </c>
      <c r="L5844" s="2" t="n">
        <v>139000</v>
      </c>
      <c r="M5844" t="n">
        <v>202.2</v>
      </c>
      <c r="N5844" t="inlineStr">
        <is>
          <t>20240202800309</t>
        </is>
      </c>
      <c r="O5844">
        <f>HYPERLINK("https://dart.fss.or.kr/dsaf001/main.do?rcpNo=20240202800309", "공시열람")</f>
        <v/>
      </c>
    </row>
    <row r="5845">
      <c r="A5845" t="inlineStr">
        <is>
          <t>2024-02-02</t>
        </is>
      </c>
      <c r="B5845" t="inlineStr">
        <is>
          <t>GKL</t>
        </is>
      </c>
      <c r="C5845" t="inlineStr">
        <is>
          <t>114090</t>
        </is>
      </c>
      <c r="D5845" t="inlineStr">
        <is>
          <t>별도</t>
        </is>
      </c>
      <c r="E5845" t="inlineStr">
        <is>
          <t>2023Q4</t>
        </is>
      </c>
      <c r="F5845" s="2" t="inlineStr"/>
      <c r="G5845" t="inlineStr"/>
      <c r="H5845" t="inlineStr"/>
      <c r="I5845" s="2" t="inlineStr"/>
      <c r="J5845" t="inlineStr"/>
      <c r="K5845" t="inlineStr"/>
      <c r="L5845" s="2" t="inlineStr"/>
      <c r="M5845" t="inlineStr"/>
      <c r="N5845" t="inlineStr">
        <is>
          <t>20240202800295</t>
        </is>
      </c>
      <c r="O5845">
        <f>HYPERLINK("https://dart.fss.or.kr/dsaf001/main.do?rcpNo=20240202800295", "공시열람")</f>
        <v/>
      </c>
    </row>
    <row r="5846">
      <c r="A5846" t="inlineStr">
        <is>
          <t>2024-02-02</t>
        </is>
      </c>
      <c r="B5846" t="inlineStr">
        <is>
          <t>LX인터내셔널</t>
        </is>
      </c>
      <c r="C5846" t="inlineStr">
        <is>
          <t>001120</t>
        </is>
      </c>
      <c r="D5846" t="inlineStr">
        <is>
          <t>연결</t>
        </is>
      </c>
      <c r="E5846" t="inlineStr">
        <is>
          <t>2023Q4</t>
        </is>
      </c>
      <c r="F5846" s="2" t="n">
        <v>3714700</v>
      </c>
      <c r="G5846" t="n">
        <v>1.5</v>
      </c>
      <c r="H5846" t="n">
        <v>-9.699999999999999</v>
      </c>
      <c r="I5846" s="2" t="n">
        <v>78500</v>
      </c>
      <c r="J5846" t="n">
        <v>23.4</v>
      </c>
      <c r="K5846" t="n">
        <v>-50.3</v>
      </c>
      <c r="L5846" s="2" t="n">
        <v>-84100</v>
      </c>
      <c r="M5846" t="inlineStr"/>
      <c r="N5846" t="inlineStr">
        <is>
          <t>20240202800279</t>
        </is>
      </c>
      <c r="O5846">
        <f>HYPERLINK("https://dart.fss.or.kr/dsaf001/main.do?rcpNo=20240202800279", "공시열람")</f>
        <v/>
      </c>
    </row>
    <row r="5847">
      <c r="A5847" t="inlineStr">
        <is>
          <t>2024-02-02</t>
        </is>
      </c>
      <c r="B5847" t="inlineStr">
        <is>
          <t>한국앤컴퍼니</t>
        </is>
      </c>
      <c r="C5847" t="inlineStr">
        <is>
          <t>000240</t>
        </is>
      </c>
      <c r="D5847" t="inlineStr">
        <is>
          <t>연결</t>
        </is>
      </c>
      <c r="E5847" t="inlineStr">
        <is>
          <t>2023Q4</t>
        </is>
      </c>
      <c r="F5847" s="2" t="n">
        <v>325883</v>
      </c>
      <c r="G5847" t="inlineStr"/>
      <c r="H5847" t="inlineStr"/>
      <c r="I5847" s="2" t="n">
        <v>77135</v>
      </c>
      <c r="J5847" t="inlineStr"/>
      <c r="K5847" t="inlineStr"/>
      <c r="L5847" s="2" t="n">
        <v>23885</v>
      </c>
      <c r="M5847" t="inlineStr"/>
      <c r="N5847" t="inlineStr">
        <is>
          <t>20240202801139</t>
        </is>
      </c>
      <c r="O5847">
        <f>HYPERLINK("https://dart.fss.or.kr/dsaf001/main.do?rcpNo=20240202801139", "공시열람")</f>
        <v/>
      </c>
    </row>
    <row r="5848">
      <c r="A5848" t="inlineStr">
        <is>
          <t>2024-02-02</t>
        </is>
      </c>
      <c r="B5848" t="inlineStr">
        <is>
          <t>윈스테크넷</t>
        </is>
      </c>
      <c r="C5848" t="inlineStr">
        <is>
          <t>136540</t>
        </is>
      </c>
      <c r="D5848" t="inlineStr">
        <is>
          <t>별도</t>
        </is>
      </c>
      <c r="E5848" t="inlineStr">
        <is>
          <t>2023Q4</t>
        </is>
      </c>
      <c r="F5848" s="2" t="n">
        <v>101692</v>
      </c>
      <c r="G5848" t="inlineStr"/>
      <c r="H5848" t="inlineStr"/>
      <c r="I5848" s="2" t="n">
        <v>22520</v>
      </c>
      <c r="J5848" t="inlineStr"/>
      <c r="K5848" t="inlineStr"/>
      <c r="L5848" s="2" t="n">
        <v>20945</v>
      </c>
      <c r="M5848" t="inlineStr"/>
      <c r="N5848" t="inlineStr">
        <is>
          <t>20240202900267</t>
        </is>
      </c>
      <c r="O5848">
        <f>HYPERLINK("https://dart.fss.or.kr/dsaf001/main.do?rcpNo=20240202900267", "공시열람")</f>
        <v/>
      </c>
    </row>
    <row r="5849">
      <c r="A5849" t="inlineStr">
        <is>
          <t>2024-02-02</t>
        </is>
      </c>
      <c r="B5849" t="inlineStr">
        <is>
          <t>윈스테크넷</t>
        </is>
      </c>
      <c r="C5849" t="inlineStr">
        <is>
          <t>136540</t>
        </is>
      </c>
      <c r="D5849" t="inlineStr">
        <is>
          <t>연결</t>
        </is>
      </c>
      <c r="E5849" t="inlineStr">
        <is>
          <t>2023Q4</t>
        </is>
      </c>
      <c r="F5849" s="2" t="n">
        <v>106855</v>
      </c>
      <c r="G5849" t="inlineStr"/>
      <c r="H5849" t="inlineStr"/>
      <c r="I5849" s="2" t="n">
        <v>23090</v>
      </c>
      <c r="J5849" t="inlineStr"/>
      <c r="K5849" t="inlineStr"/>
      <c r="L5849" s="2" t="n">
        <v>21084</v>
      </c>
      <c r="M5849" t="inlineStr"/>
      <c r="N5849" t="inlineStr">
        <is>
          <t>20240202900266</t>
        </is>
      </c>
      <c r="O5849">
        <f>HYPERLINK("https://dart.fss.or.kr/dsaf001/main.do?rcpNo=20240202900266", "공시열람")</f>
        <v/>
      </c>
    </row>
    <row r="5850">
      <c r="A5850" t="inlineStr">
        <is>
          <t>2024-02-02</t>
        </is>
      </c>
      <c r="B5850" t="inlineStr">
        <is>
          <t>파라다이스</t>
        </is>
      </c>
      <c r="C5850" t="inlineStr">
        <is>
          <t>034230</t>
        </is>
      </c>
      <c r="D5850" t="inlineStr">
        <is>
          <t>연결</t>
        </is>
      </c>
      <c r="E5850" t="inlineStr">
        <is>
          <t>2023Q4</t>
        </is>
      </c>
      <c r="F5850" s="2" t="inlineStr"/>
      <c r="G5850" t="inlineStr"/>
      <c r="H5850" t="inlineStr"/>
      <c r="I5850" s="2" t="inlineStr"/>
      <c r="J5850" t="inlineStr"/>
      <c r="K5850" t="inlineStr"/>
      <c r="L5850" s="2" t="inlineStr"/>
      <c r="M5850" t="inlineStr"/>
      <c r="N5850" t="inlineStr">
        <is>
          <t>20240202900137</t>
        </is>
      </c>
      <c r="O5850">
        <f>HYPERLINK("https://dart.fss.or.kr/dsaf001/main.do?rcpNo=20240202900137", "공시열람")</f>
        <v/>
      </c>
    </row>
    <row r="5851">
      <c r="A5851" t="inlineStr">
        <is>
          <t>2024-02-02</t>
        </is>
      </c>
      <c r="B5851" t="inlineStr">
        <is>
          <t>SK아이이테크놀로지</t>
        </is>
      </c>
      <c r="C5851" t="inlineStr">
        <is>
          <t>361610</t>
        </is>
      </c>
      <c r="D5851" t="inlineStr">
        <is>
          <t>연결</t>
        </is>
      </c>
      <c r="E5851" t="inlineStr">
        <is>
          <t>2023Q4</t>
        </is>
      </c>
      <c r="F5851" s="2" t="n">
        <v>172494</v>
      </c>
      <c r="G5851" t="inlineStr"/>
      <c r="H5851" t="inlineStr"/>
      <c r="I5851" s="2" t="n">
        <v>26879</v>
      </c>
      <c r="J5851" t="inlineStr"/>
      <c r="K5851" t="inlineStr"/>
      <c r="L5851" s="2" t="n">
        <v>71770</v>
      </c>
      <c r="M5851" t="inlineStr"/>
      <c r="N5851" t="inlineStr">
        <is>
          <t>20240202800054</t>
        </is>
      </c>
      <c r="O5851">
        <f>HYPERLINK("https://dart.fss.or.kr/dsaf001/main.do?rcpNo=20240202800054", "공시열람")</f>
        <v/>
      </c>
    </row>
    <row r="5852">
      <c r="A5852" t="inlineStr">
        <is>
          <t>2024-02-02</t>
        </is>
      </c>
      <c r="B5852" t="inlineStr">
        <is>
          <t>S-Oil</t>
        </is>
      </c>
      <c r="C5852" t="inlineStr">
        <is>
          <t>010950</t>
        </is>
      </c>
      <c r="D5852" t="inlineStr">
        <is>
          <t>연결</t>
        </is>
      </c>
      <c r="E5852" t="inlineStr">
        <is>
          <t>2023Q4</t>
        </is>
      </c>
      <c r="F5852" s="2" t="n">
        <v>9830431</v>
      </c>
      <c r="G5852" t="inlineStr"/>
      <c r="H5852" t="inlineStr"/>
      <c r="I5852" s="2" t="n">
        <v>7570</v>
      </c>
      <c r="J5852" t="inlineStr"/>
      <c r="K5852" t="inlineStr"/>
      <c r="L5852" s="2" t="n">
        <v>209835</v>
      </c>
      <c r="M5852" t="inlineStr"/>
      <c r="N5852" t="inlineStr">
        <is>
          <t>20240202800052</t>
        </is>
      </c>
      <c r="O5852">
        <f>HYPERLINK("https://dart.fss.or.kr/dsaf001/main.do?rcpNo=20240202800052", "공시열람")</f>
        <v/>
      </c>
    </row>
    <row r="5853">
      <c r="A5853" t="inlineStr">
        <is>
          <t>2024-02-02</t>
        </is>
      </c>
      <c r="B5853" t="inlineStr">
        <is>
          <t>한국타이어앤테크놀로지</t>
        </is>
      </c>
      <c r="C5853" t="inlineStr">
        <is>
          <t>161390</t>
        </is>
      </c>
      <c r="D5853" t="inlineStr">
        <is>
          <t>연결</t>
        </is>
      </c>
      <c r="E5853" t="inlineStr">
        <is>
          <t>2023Q4</t>
        </is>
      </c>
      <c r="F5853" s="2" t="n">
        <v>2232030</v>
      </c>
      <c r="G5853" t="n">
        <v>-4.6</v>
      </c>
      <c r="H5853" t="n">
        <v>-1.4</v>
      </c>
      <c r="I5853" s="2" t="n">
        <v>492409</v>
      </c>
      <c r="J5853" t="n">
        <v>24.2</v>
      </c>
      <c r="K5853" t="n">
        <v>132.2</v>
      </c>
      <c r="L5853" s="2" t="n">
        <v>177302</v>
      </c>
      <c r="M5853" t="n">
        <v>358.9</v>
      </c>
      <c r="N5853" t="inlineStr">
        <is>
          <t>20240202801005</t>
        </is>
      </c>
      <c r="O5853">
        <f>HYPERLINK("https://dart.fss.or.kr/dsaf001/main.do?rcpNo=20240202801005", "공시열람")</f>
        <v/>
      </c>
    </row>
    <row r="5854">
      <c r="A5854" t="inlineStr">
        <is>
          <t>2024-02-02</t>
        </is>
      </c>
      <c r="B5854" t="inlineStr">
        <is>
          <t>네오팜</t>
        </is>
      </c>
      <c r="C5854" t="inlineStr">
        <is>
          <t>092730</t>
        </is>
      </c>
      <c r="D5854" t="inlineStr">
        <is>
          <t>연결</t>
        </is>
      </c>
      <c r="E5854" t="inlineStr">
        <is>
          <t>2023Q4</t>
        </is>
      </c>
      <c r="F5854" s="2" t="n">
        <v>27213</v>
      </c>
      <c r="G5854" t="inlineStr"/>
      <c r="H5854" t="inlineStr"/>
      <c r="I5854" s="2" t="n">
        <v>6933</v>
      </c>
      <c r="J5854" t="inlineStr"/>
      <c r="K5854" t="inlineStr"/>
      <c r="L5854" s="2" t="n">
        <v>5605</v>
      </c>
      <c r="M5854" t="inlineStr"/>
      <c r="N5854" t="inlineStr">
        <is>
          <t>20240202900725</t>
        </is>
      </c>
      <c r="O5854">
        <f>HYPERLINK("https://dart.fss.or.kr/dsaf001/main.do?rcpNo=20240202900725", "공시열람")</f>
        <v/>
      </c>
    </row>
    <row r="5855">
      <c r="A5855" t="inlineStr">
        <is>
          <t>2024-02-02</t>
        </is>
      </c>
      <c r="B5855" t="inlineStr">
        <is>
          <t>NAVER</t>
        </is>
      </c>
      <c r="C5855" t="inlineStr">
        <is>
          <t>035420</t>
        </is>
      </c>
      <c r="D5855" t="inlineStr">
        <is>
          <t>별도</t>
        </is>
      </c>
      <c r="E5855" t="inlineStr">
        <is>
          <t>2023Q4</t>
        </is>
      </c>
      <c r="F5855" s="2" t="n">
        <v>1450500</v>
      </c>
      <c r="G5855" t="n">
        <v>3.1</v>
      </c>
      <c r="H5855" t="n">
        <v>1.7</v>
      </c>
      <c r="I5855" s="2" t="n">
        <v>442000</v>
      </c>
      <c r="J5855" t="n">
        <v>-1.4</v>
      </c>
      <c r="K5855" t="n">
        <v>17.9</v>
      </c>
      <c r="L5855" s="2" t="n">
        <v>295500</v>
      </c>
      <c r="M5855" t="inlineStr"/>
      <c r="N5855" t="inlineStr">
        <is>
          <t>20240202800003</t>
        </is>
      </c>
      <c r="O5855">
        <f>HYPERLINK("https://dart.fss.or.kr/dsaf001/main.do?rcpNo=20240202800003", "공시열람")</f>
        <v/>
      </c>
    </row>
    <row r="5856">
      <c r="A5856" t="inlineStr">
        <is>
          <t>2024-02-02</t>
        </is>
      </c>
      <c r="B5856" t="inlineStr">
        <is>
          <t>롯데관광개발</t>
        </is>
      </c>
      <c r="C5856" t="inlineStr">
        <is>
          <t>032350</t>
        </is>
      </c>
      <c r="D5856" t="inlineStr">
        <is>
          <t>연결</t>
        </is>
      </c>
      <c r="E5856" t="inlineStr">
        <is>
          <t>2023Q4</t>
        </is>
      </c>
      <c r="F5856" s="2" t="inlineStr"/>
      <c r="G5856" t="inlineStr"/>
      <c r="H5856" t="inlineStr"/>
      <c r="I5856" s="2" t="inlineStr"/>
      <c r="J5856" t="inlineStr"/>
      <c r="K5856" t="inlineStr"/>
      <c r="L5856" s="2" t="inlineStr"/>
      <c r="M5856" t="inlineStr"/>
      <c r="N5856" t="inlineStr">
        <is>
          <t>20240202800015</t>
        </is>
      </c>
      <c r="O5856">
        <f>HYPERLINK("https://dart.fss.or.kr/dsaf001/main.do?rcpNo=20240202800015", "공시열람")</f>
        <v/>
      </c>
    </row>
    <row r="5857">
      <c r="A5857" t="inlineStr">
        <is>
          <t>2024-02-02</t>
        </is>
      </c>
      <c r="B5857" t="inlineStr">
        <is>
          <t>빅텍</t>
        </is>
      </c>
      <c r="C5857" t="inlineStr">
        <is>
          <t>065450</t>
        </is>
      </c>
      <c r="D5857" t="inlineStr">
        <is>
          <t>별도</t>
        </is>
      </c>
      <c r="E5857" t="inlineStr">
        <is>
          <t>2023Q4</t>
        </is>
      </c>
      <c r="F5857" s="2" t="n">
        <v>18954</v>
      </c>
      <c r="G5857" t="inlineStr"/>
      <c r="H5857" t="inlineStr"/>
      <c r="I5857" s="2" t="n">
        <v>-988</v>
      </c>
      <c r="J5857" t="inlineStr"/>
      <c r="K5857" t="inlineStr"/>
      <c r="L5857" s="2" t="n">
        <v>-224</v>
      </c>
      <c r="M5857" t="inlineStr"/>
      <c r="N5857" t="inlineStr">
        <is>
          <t>20240202900560</t>
        </is>
      </c>
      <c r="O5857">
        <f>HYPERLINK("https://dart.fss.or.kr/dsaf001/main.do?rcpNo=20240202900560", "공시열람")</f>
        <v/>
      </c>
    </row>
    <row r="5858">
      <c r="A5858" t="inlineStr">
        <is>
          <t>2024-02-01</t>
        </is>
      </c>
      <c r="B5858" t="inlineStr">
        <is>
          <t>칩스앤미디어</t>
        </is>
      </c>
      <c r="C5858" t="inlineStr">
        <is>
          <t>094360</t>
        </is>
      </c>
      <c r="D5858" t="inlineStr">
        <is>
          <t>연결</t>
        </is>
      </c>
      <c r="E5858" t="inlineStr">
        <is>
          <t>2023Q4</t>
        </is>
      </c>
      <c r="F5858" s="2" t="n">
        <v>7395</v>
      </c>
      <c r="G5858" t="inlineStr"/>
      <c r="H5858" t="inlineStr"/>
      <c r="I5858" s="2" t="n">
        <v>2317</v>
      </c>
      <c r="J5858" t="inlineStr"/>
      <c r="K5858" t="inlineStr"/>
      <c r="L5858" s="2" t="n">
        <v>-21357</v>
      </c>
      <c r="M5858" t="inlineStr"/>
      <c r="N5858" t="inlineStr">
        <is>
          <t>20240201900220</t>
        </is>
      </c>
      <c r="O5858">
        <f>HYPERLINK("https://dart.fss.or.kr/dsaf001/main.do?rcpNo=20240201900220", "공시열람")</f>
        <v/>
      </c>
    </row>
    <row r="5859">
      <c r="A5859" t="inlineStr">
        <is>
          <t>2024-02-01</t>
        </is>
      </c>
      <c r="B5859" t="inlineStr">
        <is>
          <t>HL D&amp;I</t>
        </is>
      </c>
      <c r="C5859" t="inlineStr">
        <is>
          <t>014790</t>
        </is>
      </c>
      <c r="D5859" t="inlineStr">
        <is>
          <t>연결</t>
        </is>
      </c>
      <c r="E5859" t="inlineStr">
        <is>
          <t>2023Q4</t>
        </is>
      </c>
      <c r="F5859" s="2" t="n">
        <v>434259</v>
      </c>
      <c r="G5859" t="n">
        <v>5.5</v>
      </c>
      <c r="H5859" t="n">
        <v>-0.9</v>
      </c>
      <c r="I5859" s="2" t="n">
        <v>21026</v>
      </c>
      <c r="J5859" t="n">
        <v>95.90000000000001</v>
      </c>
      <c r="K5859" t="n">
        <v>-33</v>
      </c>
      <c r="L5859" s="2" t="n">
        <v>16780</v>
      </c>
      <c r="M5859" t="n">
        <v>741.3</v>
      </c>
      <c r="N5859" t="inlineStr">
        <is>
          <t>20240201800218</t>
        </is>
      </c>
      <c r="O5859">
        <f>HYPERLINK("https://dart.fss.or.kr/dsaf001/main.do?rcpNo=20240201800218", "공시열람")</f>
        <v/>
      </c>
    </row>
    <row r="5860">
      <c r="A5860" t="inlineStr">
        <is>
          <t>2024-02-01</t>
        </is>
      </c>
      <c r="B5860" t="inlineStr">
        <is>
          <t>동아쏘시오홀딩스</t>
        </is>
      </c>
      <c r="C5860" t="inlineStr">
        <is>
          <t>000640</t>
        </is>
      </c>
      <c r="D5860" t="inlineStr">
        <is>
          <t>연결</t>
        </is>
      </c>
      <c r="E5860" t="inlineStr">
        <is>
          <t>2023Q4</t>
        </is>
      </c>
      <c r="F5860" s="2" t="n">
        <v>302208</v>
      </c>
      <c r="G5860" t="n">
        <v>4.49</v>
      </c>
      <c r="H5860" t="n">
        <v>15.74</v>
      </c>
      <c r="I5860" s="2" t="n">
        <v>16157</v>
      </c>
      <c r="J5860" t="n">
        <v>-34.78</v>
      </c>
      <c r="K5860" t="n">
        <v>405.73</v>
      </c>
      <c r="L5860" s="2" t="inlineStr"/>
      <c r="M5860" t="inlineStr"/>
      <c r="N5860" t="inlineStr">
        <is>
          <t>20240201800178</t>
        </is>
      </c>
      <c r="O5860">
        <f>HYPERLINK("https://dart.fss.or.kr/dsaf001/main.do?rcpNo=20240201800178", "공시열람")</f>
        <v/>
      </c>
    </row>
    <row r="5861">
      <c r="A5861" t="inlineStr">
        <is>
          <t>2024-02-01</t>
        </is>
      </c>
      <c r="B5861" t="inlineStr">
        <is>
          <t>에스티팜</t>
        </is>
      </c>
      <c r="C5861" t="inlineStr">
        <is>
          <t>237690</t>
        </is>
      </c>
      <c r="D5861" t="inlineStr">
        <is>
          <t>연결</t>
        </is>
      </c>
      <c r="E5861" t="inlineStr">
        <is>
          <t>2023Q4</t>
        </is>
      </c>
      <c r="F5861" s="2" t="n">
        <v>119739</v>
      </c>
      <c r="G5861" t="inlineStr"/>
      <c r="H5861" t="inlineStr"/>
      <c r="I5861" s="2" t="n">
        <v>21449</v>
      </c>
      <c r="J5861" t="inlineStr"/>
      <c r="K5861" t="inlineStr"/>
      <c r="L5861" s="2" t="n">
        <v>8918</v>
      </c>
      <c r="M5861" t="inlineStr"/>
      <c r="N5861" t="inlineStr">
        <is>
          <t>20240201900172</t>
        </is>
      </c>
      <c r="O5861">
        <f>HYPERLINK("https://dart.fss.or.kr/dsaf001/main.do?rcpNo=20240201900172", "공시열람")</f>
        <v/>
      </c>
    </row>
    <row r="5862">
      <c r="A5862" t="inlineStr">
        <is>
          <t>2024-02-01</t>
        </is>
      </c>
      <c r="B5862" t="inlineStr">
        <is>
          <t>현대자동차</t>
        </is>
      </c>
      <c r="C5862" t="inlineStr">
        <is>
          <t>005380</t>
        </is>
      </c>
      <c r="D5862" t="inlineStr">
        <is>
          <t>별도</t>
        </is>
      </c>
      <c r="E5862" t="inlineStr">
        <is>
          <t>2023Q4</t>
        </is>
      </c>
      <c r="F5862" s="2" t="inlineStr"/>
      <c r="G5862" t="inlineStr"/>
      <c r="H5862" t="inlineStr"/>
      <c r="I5862" s="2" t="inlineStr"/>
      <c r="J5862" t="inlineStr"/>
      <c r="K5862" t="inlineStr"/>
      <c r="L5862" s="2" t="inlineStr"/>
      <c r="M5862" t="inlineStr"/>
      <c r="N5862" t="inlineStr">
        <is>
          <t>20240201800562</t>
        </is>
      </c>
      <c r="O5862">
        <f>HYPERLINK("https://dart.fss.or.kr/dsaf001/main.do?rcpNo=20240201800562", "공시열람")</f>
        <v/>
      </c>
    </row>
    <row r="5863">
      <c r="A5863" t="inlineStr">
        <is>
          <t>2024-02-01</t>
        </is>
      </c>
      <c r="B5863" t="inlineStr">
        <is>
          <t>DL이앤씨</t>
        </is>
      </c>
      <c r="C5863" t="inlineStr">
        <is>
          <t>375500</t>
        </is>
      </c>
      <c r="D5863" t="inlineStr">
        <is>
          <t>연결</t>
        </is>
      </c>
      <c r="E5863" t="inlineStr">
        <is>
          <t>2023Q4</t>
        </is>
      </c>
      <c r="F5863" s="2" t="n">
        <v>2336458</v>
      </c>
      <c r="G5863" t="n">
        <v>27.16</v>
      </c>
      <c r="H5863" t="n">
        <v>3.55</v>
      </c>
      <c r="I5863" s="2" t="n">
        <v>88749</v>
      </c>
      <c r="J5863" t="n">
        <v>10.39</v>
      </c>
      <c r="K5863" t="n">
        <v>-26.19</v>
      </c>
      <c r="L5863" s="2" t="n">
        <v>5866</v>
      </c>
      <c r="M5863" t="n">
        <v>-88.89</v>
      </c>
      <c r="N5863" t="inlineStr">
        <is>
          <t>20240201800408</t>
        </is>
      </c>
      <c r="O5863">
        <f>HYPERLINK("https://dart.fss.or.kr/dsaf001/main.do?rcpNo=20240201800408", "공시열람")</f>
        <v/>
      </c>
    </row>
    <row r="5864">
      <c r="A5864" t="inlineStr">
        <is>
          <t>2024-02-01</t>
        </is>
      </c>
      <c r="B5864" t="inlineStr">
        <is>
          <t>기아</t>
        </is>
      </c>
      <c r="C5864" t="inlineStr">
        <is>
          <t>000270</t>
        </is>
      </c>
      <c r="D5864" t="inlineStr">
        <is>
          <t>별도</t>
        </is>
      </c>
      <c r="E5864" t="inlineStr">
        <is>
          <t>2023Q4</t>
        </is>
      </c>
      <c r="F5864" s="2" t="inlineStr"/>
      <c r="G5864" t="inlineStr"/>
      <c r="H5864" t="inlineStr"/>
      <c r="I5864" s="2" t="inlineStr"/>
      <c r="J5864" t="inlineStr"/>
      <c r="K5864" t="inlineStr"/>
      <c r="L5864" s="2" t="inlineStr"/>
      <c r="M5864" t="inlineStr"/>
      <c r="N5864" t="inlineStr">
        <is>
          <t>20240201800368</t>
        </is>
      </c>
      <c r="O5864">
        <f>HYPERLINK("https://dart.fss.or.kr/dsaf001/main.do?rcpNo=20240201800368", "공시열람")</f>
        <v/>
      </c>
    </row>
    <row r="5865">
      <c r="A5865" t="inlineStr">
        <is>
          <t>2024-02-01</t>
        </is>
      </c>
      <c r="B5865" t="inlineStr">
        <is>
          <t>SK바이오사이언스</t>
        </is>
      </c>
      <c r="C5865" t="inlineStr">
        <is>
          <t>302440</t>
        </is>
      </c>
      <c r="D5865" t="inlineStr">
        <is>
          <t>연결</t>
        </is>
      </c>
      <c r="E5865" t="inlineStr">
        <is>
          <t>2023Q4</t>
        </is>
      </c>
      <c r="F5865" s="2" t="n">
        <v>90604</v>
      </c>
      <c r="G5865" t="n">
        <v>-60.9</v>
      </c>
      <c r="H5865" t="n">
        <v>-35.4</v>
      </c>
      <c r="I5865" s="2" t="n">
        <v>-8427</v>
      </c>
      <c r="J5865" t="inlineStr"/>
      <c r="K5865" t="inlineStr"/>
      <c r="L5865" s="2" t="n">
        <v>4170</v>
      </c>
      <c r="M5865" t="n">
        <v>-85</v>
      </c>
      <c r="N5865" t="inlineStr">
        <is>
          <t>20240201800448</t>
        </is>
      </c>
      <c r="O5865">
        <f>HYPERLINK("https://dart.fss.or.kr/dsaf001/main.do?rcpNo=20240201800448", "공시열람")</f>
        <v/>
      </c>
    </row>
    <row r="5866">
      <c r="A5866" t="inlineStr">
        <is>
          <t>2024-02-01</t>
        </is>
      </c>
      <c r="B5866" t="inlineStr">
        <is>
          <t>KG모빌리티</t>
        </is>
      </c>
      <c r="C5866" t="inlineStr">
        <is>
          <t>003620</t>
        </is>
      </c>
      <c r="D5866" t="inlineStr">
        <is>
          <t>별도</t>
        </is>
      </c>
      <c r="E5866" t="inlineStr">
        <is>
          <t>2023Q4</t>
        </is>
      </c>
      <c r="F5866" s="2" t="inlineStr"/>
      <c r="G5866" t="inlineStr"/>
      <c r="H5866" t="inlineStr"/>
      <c r="I5866" s="2" t="inlineStr"/>
      <c r="J5866" t="inlineStr"/>
      <c r="K5866" t="inlineStr"/>
      <c r="L5866" s="2" t="inlineStr"/>
      <c r="M5866" t="inlineStr"/>
      <c r="N5866" t="inlineStr">
        <is>
          <t>20240201800322</t>
        </is>
      </c>
      <c r="O5866">
        <f>HYPERLINK("https://dart.fss.or.kr/dsaf001/main.do?rcpNo=20240201800322", "공시열람")</f>
        <v/>
      </c>
    </row>
    <row r="5867">
      <c r="A5867" t="inlineStr">
        <is>
          <t>2024-01-31</t>
        </is>
      </c>
      <c r="B5867" t="inlineStr">
        <is>
          <t>LG생활건강</t>
        </is>
      </c>
      <c r="C5867" t="inlineStr">
        <is>
          <t>051900</t>
        </is>
      </c>
      <c r="D5867" t="inlineStr">
        <is>
          <t>연결</t>
        </is>
      </c>
      <c r="E5867" t="inlineStr">
        <is>
          <t>2023Q4</t>
        </is>
      </c>
      <c r="F5867" s="2" t="n">
        <v>1567200</v>
      </c>
      <c r="G5867" t="inlineStr"/>
      <c r="H5867" t="inlineStr"/>
      <c r="I5867" s="2" t="n">
        <v>54700</v>
      </c>
      <c r="J5867" t="inlineStr"/>
      <c r="K5867" t="inlineStr"/>
      <c r="L5867" s="2" t="n">
        <v>-120400</v>
      </c>
      <c r="M5867" t="inlineStr"/>
      <c r="N5867" t="inlineStr">
        <is>
          <t>20240131800586</t>
        </is>
      </c>
      <c r="O5867">
        <f>HYPERLINK("https://dart.fss.or.kr/dsaf001/main.do?rcpNo=20240131800586", "공시열람")</f>
        <v/>
      </c>
    </row>
    <row r="5868">
      <c r="A5868" t="inlineStr">
        <is>
          <t>2024-01-31</t>
        </is>
      </c>
      <c r="B5868" t="inlineStr">
        <is>
          <t>포스코인터내셔널</t>
        </is>
      </c>
      <c r="C5868" t="inlineStr">
        <is>
          <t>047050</t>
        </is>
      </c>
      <c r="D5868" t="inlineStr">
        <is>
          <t>연결</t>
        </is>
      </c>
      <c r="E5868" t="inlineStr">
        <is>
          <t>2023Q4</t>
        </is>
      </c>
      <c r="F5868" s="2" t="n">
        <v>7909426</v>
      </c>
      <c r="G5868" t="inlineStr"/>
      <c r="H5868" t="inlineStr"/>
      <c r="I5868" s="2" t="n">
        <v>214645</v>
      </c>
      <c r="J5868" t="inlineStr"/>
      <c r="K5868" t="inlineStr"/>
      <c r="L5868" s="2" t="n">
        <v>73407</v>
      </c>
      <c r="M5868" t="inlineStr"/>
      <c r="N5868" t="inlineStr">
        <is>
          <t>20240131800564</t>
        </is>
      </c>
      <c r="O5868">
        <f>HYPERLINK("https://dart.fss.or.kr/dsaf001/main.do?rcpNo=20240131800564", "공시열람")</f>
        <v/>
      </c>
    </row>
    <row r="5869">
      <c r="A5869" t="inlineStr">
        <is>
          <t>2024-01-31</t>
        </is>
      </c>
      <c r="B5869" t="inlineStr">
        <is>
          <t>삼성전자</t>
        </is>
      </c>
      <c r="C5869" t="inlineStr">
        <is>
          <t>005930</t>
        </is>
      </c>
      <c r="D5869" t="inlineStr">
        <is>
          <t>연결</t>
        </is>
      </c>
      <c r="E5869" t="inlineStr">
        <is>
          <t>2023Q4</t>
        </is>
      </c>
      <c r="F5869" s="2" t="n">
        <v>68</v>
      </c>
      <c r="G5869" t="n">
        <v>0.5600000000000001</v>
      </c>
      <c r="H5869" t="n">
        <v>-3.81</v>
      </c>
      <c r="I5869" s="2" t="n">
        <v>3</v>
      </c>
      <c r="J5869" t="n">
        <v>16.07</v>
      </c>
      <c r="K5869" t="n">
        <v>-34.4</v>
      </c>
      <c r="L5869" s="2" t="inlineStr"/>
      <c r="M5869" t="inlineStr"/>
      <c r="N5869" t="inlineStr">
        <is>
          <t>20240131800033</t>
        </is>
      </c>
      <c r="O5869">
        <f>HYPERLINK("https://dart.fss.or.kr/dsaf001/main.do?rcpNo=20240131800033", "공시열람")</f>
        <v/>
      </c>
    </row>
    <row r="5870">
      <c r="A5870" t="inlineStr">
        <is>
          <t>2024-01-31</t>
        </is>
      </c>
      <c r="B5870" t="inlineStr">
        <is>
          <t>LS마린솔루션</t>
        </is>
      </c>
      <c r="C5870" t="inlineStr">
        <is>
          <t>060370</t>
        </is>
      </c>
      <c r="D5870" t="inlineStr">
        <is>
          <t>별도</t>
        </is>
      </c>
      <c r="E5870" t="inlineStr">
        <is>
          <t>2023Q4</t>
        </is>
      </c>
      <c r="F5870" s="2" t="n">
        <v>24172</v>
      </c>
      <c r="G5870" t="inlineStr"/>
      <c r="H5870" t="inlineStr"/>
      <c r="I5870" s="2" t="n">
        <v>1990</v>
      </c>
      <c r="J5870" t="inlineStr"/>
      <c r="K5870" t="inlineStr"/>
      <c r="L5870" s="2" t="n">
        <v>1768</v>
      </c>
      <c r="M5870" t="inlineStr"/>
      <c r="N5870" t="inlineStr">
        <is>
          <t>20240131900082</t>
        </is>
      </c>
      <c r="O5870">
        <f>HYPERLINK("https://dart.fss.or.kr/dsaf001/main.do?rcpNo=20240131900082", "공시열람")</f>
        <v/>
      </c>
    </row>
    <row r="5871">
      <c r="A5871" t="inlineStr">
        <is>
          <t>2024-01-31</t>
        </is>
      </c>
      <c r="B5871" t="inlineStr">
        <is>
          <t>포스코DX</t>
        </is>
      </c>
      <c r="C5871" t="inlineStr">
        <is>
          <t>022100</t>
        </is>
      </c>
      <c r="D5871" t="inlineStr">
        <is>
          <t>연결</t>
        </is>
      </c>
      <c r="E5871" t="inlineStr">
        <is>
          <t>2023Q4</t>
        </is>
      </c>
      <c r="F5871" s="2" t="n">
        <v>355669</v>
      </c>
      <c r="G5871" t="n">
        <v>0.3</v>
      </c>
      <c r="H5871" t="n">
        <v>-19.6</v>
      </c>
      <c r="I5871" s="2" t="n">
        <v>14128</v>
      </c>
      <c r="J5871" t="n">
        <v>-56.1</v>
      </c>
      <c r="K5871" t="n">
        <v>-7.5</v>
      </c>
      <c r="L5871" s="2" t="n">
        <v>11867</v>
      </c>
      <c r="M5871" t="n">
        <v>232.7</v>
      </c>
      <c r="N5871" t="inlineStr">
        <is>
          <t>20240131800105</t>
        </is>
      </c>
      <c r="O5871">
        <f>HYPERLINK("https://dart.fss.or.kr/dsaf001/main.do?rcpNo=20240131800105", "공시열람")</f>
        <v/>
      </c>
    </row>
    <row r="5872">
      <c r="A5872" t="inlineStr">
        <is>
          <t>2024-01-31</t>
        </is>
      </c>
      <c r="B5872" t="inlineStr">
        <is>
          <t>GS건설</t>
        </is>
      </c>
      <c r="C5872" t="inlineStr">
        <is>
          <t>006360</t>
        </is>
      </c>
      <c r="D5872" t="inlineStr">
        <is>
          <t>연결</t>
        </is>
      </c>
      <c r="E5872" t="inlineStr">
        <is>
          <t>2023Q4</t>
        </is>
      </c>
      <c r="F5872" s="2" t="n">
        <v>3321371</v>
      </c>
      <c r="G5872" t="n">
        <v>6.88</v>
      </c>
      <c r="H5872" t="n">
        <v>-15.32</v>
      </c>
      <c r="I5872" s="2" t="n">
        <v>-193749</v>
      </c>
      <c r="J5872" t="inlineStr"/>
      <c r="K5872" t="inlineStr"/>
      <c r="L5872" s="2" t="n">
        <v>-313664</v>
      </c>
      <c r="M5872" t="n">
        <v>479.01</v>
      </c>
      <c r="N5872" t="inlineStr">
        <is>
          <t>20240131800091</t>
        </is>
      </c>
      <c r="O5872">
        <f>HYPERLINK("https://dart.fss.or.kr/dsaf001/main.do?rcpNo=20240131800091", "공시열람")</f>
        <v/>
      </c>
    </row>
    <row r="5873">
      <c r="A5873" t="inlineStr">
        <is>
          <t>2024-01-31</t>
        </is>
      </c>
      <c r="B5873" t="inlineStr">
        <is>
          <t>현대로템</t>
        </is>
      </c>
      <c r="C5873" t="inlineStr">
        <is>
          <t>064350</t>
        </is>
      </c>
      <c r="D5873" t="inlineStr">
        <is>
          <t>연결</t>
        </is>
      </c>
      <c r="E5873" t="inlineStr">
        <is>
          <t>2023Q4</t>
        </is>
      </c>
      <c r="F5873" s="2" t="n">
        <v>989176</v>
      </c>
      <c r="G5873" t="n">
        <v>6.7</v>
      </c>
      <c r="H5873" t="n">
        <v>7.8</v>
      </c>
      <c r="I5873" s="2" t="n">
        <v>69782</v>
      </c>
      <c r="J5873" t="n">
        <v>69.7</v>
      </c>
      <c r="K5873" t="n">
        <v>15</v>
      </c>
      <c r="L5873" s="2" t="n">
        <v>46185</v>
      </c>
      <c r="M5873" t="n">
        <v>-62.5</v>
      </c>
      <c r="N5873" t="inlineStr">
        <is>
          <t>20240131800155</t>
        </is>
      </c>
      <c r="O5873">
        <f>HYPERLINK("https://dart.fss.or.kr/dsaf001/main.do?rcpNo=20240131800155", "공시열람")</f>
        <v/>
      </c>
    </row>
    <row r="5874">
      <c r="A5874" t="inlineStr">
        <is>
          <t>2024-01-31</t>
        </is>
      </c>
      <c r="B5874" t="inlineStr">
        <is>
          <t>이노션</t>
        </is>
      </c>
      <c r="C5874" t="inlineStr">
        <is>
          <t>214320</t>
        </is>
      </c>
      <c r="D5874" t="inlineStr">
        <is>
          <t>연결</t>
        </is>
      </c>
      <c r="E5874" t="inlineStr">
        <is>
          <t>2023Q4</t>
        </is>
      </c>
      <c r="F5874" s="2" t="n">
        <v>638959</v>
      </c>
      <c r="G5874" t="n">
        <v>28.4</v>
      </c>
      <c r="H5874" t="n">
        <v>20.3</v>
      </c>
      <c r="I5874" s="2" t="n">
        <v>47665</v>
      </c>
      <c r="J5874" t="n">
        <v>16.7</v>
      </c>
      <c r="K5874" t="n">
        <v>-3.6</v>
      </c>
      <c r="L5874" s="2" t="n">
        <v>16270</v>
      </c>
      <c r="M5874" t="n">
        <v>-30.3</v>
      </c>
      <c r="N5874" t="inlineStr">
        <is>
          <t>20240131800533</t>
        </is>
      </c>
      <c r="O5874">
        <f>HYPERLINK("https://dart.fss.or.kr/dsaf001/main.do?rcpNo=20240131800533", "공시열람")</f>
        <v/>
      </c>
    </row>
    <row r="5875">
      <c r="A5875" t="inlineStr">
        <is>
          <t>2024-01-31</t>
        </is>
      </c>
      <c r="B5875" t="inlineStr">
        <is>
          <t>사람인</t>
        </is>
      </c>
      <c r="C5875" t="inlineStr">
        <is>
          <t>143240</t>
        </is>
      </c>
      <c r="D5875" t="inlineStr">
        <is>
          <t>연결</t>
        </is>
      </c>
      <c r="E5875" t="inlineStr">
        <is>
          <t>2023Q4</t>
        </is>
      </c>
      <c r="F5875" s="2" t="n">
        <v>31887</v>
      </c>
      <c r="G5875" t="inlineStr"/>
      <c r="H5875" t="inlineStr"/>
      <c r="I5875" s="2" t="n">
        <v>2984</v>
      </c>
      <c r="J5875" t="inlineStr"/>
      <c r="K5875" t="inlineStr"/>
      <c r="L5875" s="2" t="n">
        <v>1424</v>
      </c>
      <c r="M5875" t="inlineStr"/>
      <c r="N5875" t="inlineStr">
        <is>
          <t>20240131900596</t>
        </is>
      </c>
      <c r="O5875">
        <f>HYPERLINK("https://dart.fss.or.kr/dsaf001/main.do?rcpNo=20240131900596", "공시열람")</f>
        <v/>
      </c>
    </row>
    <row r="5876">
      <c r="A5876" t="inlineStr">
        <is>
          <t>2024-01-31</t>
        </is>
      </c>
      <c r="B5876" t="inlineStr">
        <is>
          <t>삼성전자</t>
        </is>
      </c>
      <c r="C5876" t="inlineStr">
        <is>
          <t>005930</t>
        </is>
      </c>
      <c r="D5876" t="inlineStr">
        <is>
          <t>연결</t>
        </is>
      </c>
      <c r="E5876" t="inlineStr">
        <is>
          <t>2023Q4</t>
        </is>
      </c>
      <c r="F5876" s="2" t="n">
        <v>67779900</v>
      </c>
      <c r="G5876" t="n">
        <v>0.5600000000000001</v>
      </c>
      <c r="H5876" t="n">
        <v>-3.81</v>
      </c>
      <c r="I5876" s="2" t="n">
        <v>2824700</v>
      </c>
      <c r="J5876" t="n">
        <v>16.07</v>
      </c>
      <c r="K5876" t="n">
        <v>-34.4</v>
      </c>
      <c r="L5876" s="2" t="n">
        <v>6344800</v>
      </c>
      <c r="M5876" t="n">
        <v>-73.39</v>
      </c>
      <c r="N5876" t="inlineStr">
        <is>
          <t>20240131800032</t>
        </is>
      </c>
      <c r="O5876">
        <f>HYPERLINK("https://dart.fss.or.kr/dsaf001/main.do?rcpNo=20240131800032", "공시열람")</f>
        <v/>
      </c>
    </row>
    <row r="5877">
      <c r="A5877" t="inlineStr">
        <is>
          <t>2024-01-31</t>
        </is>
      </c>
      <c r="B5877" t="inlineStr">
        <is>
          <t>삼성전기</t>
        </is>
      </c>
      <c r="C5877" t="inlineStr">
        <is>
          <t>009150</t>
        </is>
      </c>
      <c r="D5877" t="inlineStr">
        <is>
          <t>연결</t>
        </is>
      </c>
      <c r="E5877" t="inlineStr">
        <is>
          <t>2023Q4</t>
        </is>
      </c>
      <c r="F5877" s="2" t="n">
        <v>2306222</v>
      </c>
      <c r="G5877" t="inlineStr"/>
      <c r="H5877" t="inlineStr"/>
      <c r="I5877" s="2" t="n">
        <v>110412</v>
      </c>
      <c r="J5877" t="inlineStr"/>
      <c r="K5877" t="inlineStr"/>
      <c r="L5877" s="2" t="n">
        <v>48050</v>
      </c>
      <c r="M5877" t="inlineStr"/>
      <c r="N5877" t="inlineStr">
        <is>
          <t>20240131800325</t>
        </is>
      </c>
      <c r="O5877">
        <f>HYPERLINK("https://dart.fss.or.kr/dsaf001/main.do?rcpNo=20240131800325", "공시열람")</f>
        <v/>
      </c>
    </row>
    <row r="5878">
      <c r="A5878" t="inlineStr">
        <is>
          <t>2024-01-31</t>
        </is>
      </c>
      <c r="B5878" t="inlineStr">
        <is>
          <t>효성 ITX</t>
        </is>
      </c>
      <c r="C5878" t="inlineStr">
        <is>
          <t>094280</t>
        </is>
      </c>
      <c r="D5878" t="inlineStr">
        <is>
          <t>연결</t>
        </is>
      </c>
      <c r="E5878" t="inlineStr">
        <is>
          <t>2023Q4</t>
        </is>
      </c>
      <c r="F5878" s="2" t="n">
        <v>134270</v>
      </c>
      <c r="G5878" t="n">
        <v>9.82</v>
      </c>
      <c r="H5878" t="n">
        <v>6.64</v>
      </c>
      <c r="I5878" s="2" t="n">
        <v>4901</v>
      </c>
      <c r="J5878" t="n">
        <v>12.55</v>
      </c>
      <c r="K5878" t="n">
        <v>13.05</v>
      </c>
      <c r="L5878" s="2" t="n">
        <v>3974</v>
      </c>
      <c r="M5878" t="n">
        <v>18.57</v>
      </c>
      <c r="N5878" t="inlineStr">
        <is>
          <t>20240131800730</t>
        </is>
      </c>
      <c r="O5878">
        <f>HYPERLINK("https://dart.fss.or.kr/dsaf001/main.do?rcpNo=20240131800730", "공시열람")</f>
        <v/>
      </c>
    </row>
    <row r="5879">
      <c r="A5879" t="inlineStr">
        <is>
          <t>2024-01-31</t>
        </is>
      </c>
      <c r="B5879" t="inlineStr">
        <is>
          <t>유진테크</t>
        </is>
      </c>
      <c r="C5879" t="inlineStr">
        <is>
          <t>084370</t>
        </is>
      </c>
      <c r="D5879" t="inlineStr">
        <is>
          <t>연결</t>
        </is>
      </c>
      <c r="E5879" t="inlineStr">
        <is>
          <t>2023Q4</t>
        </is>
      </c>
      <c r="F5879" s="2" t="n">
        <v>276533</v>
      </c>
      <c r="G5879" t="inlineStr"/>
      <c r="H5879" t="inlineStr"/>
      <c r="I5879" s="2" t="n">
        <v>24326</v>
      </c>
      <c r="J5879" t="inlineStr"/>
      <c r="K5879" t="inlineStr"/>
      <c r="L5879" s="2" t="n">
        <v>25397</v>
      </c>
      <c r="M5879" t="inlineStr"/>
      <c r="N5879" t="inlineStr">
        <is>
          <t>20240131900792</t>
        </is>
      </c>
      <c r="O5879">
        <f>HYPERLINK("https://dart.fss.or.kr/dsaf001/main.do?rcpNo=20240131900792", "공시열람")</f>
        <v/>
      </c>
    </row>
    <row r="5880">
      <c r="A5880" t="inlineStr">
        <is>
          <t>2024-01-31</t>
        </is>
      </c>
      <c r="B5880" t="inlineStr">
        <is>
          <t>포스코엠텍</t>
        </is>
      </c>
      <c r="C5880" t="inlineStr">
        <is>
          <t>009520</t>
        </is>
      </c>
      <c r="D5880" t="inlineStr">
        <is>
          <t>별도</t>
        </is>
      </c>
      <c r="E5880" t="inlineStr">
        <is>
          <t>2023Q4</t>
        </is>
      </c>
      <c r="F5880" s="2" t="n">
        <v>93898</v>
      </c>
      <c r="G5880" t="inlineStr"/>
      <c r="H5880" t="inlineStr"/>
      <c r="I5880" s="2" t="n">
        <v>430</v>
      </c>
      <c r="J5880" t="inlineStr"/>
      <c r="K5880" t="inlineStr"/>
      <c r="L5880" s="2" t="n">
        <v>679</v>
      </c>
      <c r="M5880" t="inlineStr"/>
      <c r="N5880" t="inlineStr">
        <is>
          <t>20240131900235</t>
        </is>
      </c>
      <c r="O5880">
        <f>HYPERLINK("https://dart.fss.or.kr/dsaf001/main.do?rcpNo=20240131900235", "공시열람")</f>
        <v/>
      </c>
    </row>
    <row r="5881">
      <c r="A5881" t="inlineStr">
        <is>
          <t>2024-01-31</t>
        </is>
      </c>
      <c r="B5881" t="inlineStr">
        <is>
          <t>삼성물산</t>
        </is>
      </c>
      <c r="C5881" t="inlineStr">
        <is>
          <t>028260</t>
        </is>
      </c>
      <c r="D5881" t="inlineStr">
        <is>
          <t>연결</t>
        </is>
      </c>
      <c r="E5881" t="inlineStr">
        <is>
          <t>2023Q4</t>
        </is>
      </c>
      <c r="F5881" s="2" t="n">
        <v>10099746</v>
      </c>
      <c r="G5881" t="inlineStr"/>
      <c r="H5881" t="inlineStr"/>
      <c r="I5881" s="2" t="n">
        <v>626967</v>
      </c>
      <c r="J5881" t="inlineStr"/>
      <c r="K5881" t="inlineStr"/>
      <c r="L5881" s="2" t="n">
        <v>571314</v>
      </c>
      <c r="M5881" t="inlineStr"/>
      <c r="N5881" t="inlineStr">
        <is>
          <t>20240131800555</t>
        </is>
      </c>
      <c r="O5881">
        <f>HYPERLINK("https://dart.fss.or.kr/dsaf001/main.do?rcpNo=20240131800555", "공시열람")</f>
        <v/>
      </c>
    </row>
    <row r="5882">
      <c r="A5882" t="inlineStr">
        <is>
          <t>2024-01-31</t>
        </is>
      </c>
      <c r="B5882" t="inlineStr">
        <is>
          <t>LX하우시스</t>
        </is>
      </c>
      <c r="C5882" t="inlineStr">
        <is>
          <t>108670</t>
        </is>
      </c>
      <c r="D5882" t="inlineStr">
        <is>
          <t>연결</t>
        </is>
      </c>
      <c r="E5882" t="inlineStr">
        <is>
          <t>2023Q4</t>
        </is>
      </c>
      <c r="F5882" s="2" t="n">
        <v>882713</v>
      </c>
      <c r="G5882" t="n">
        <v>2.1</v>
      </c>
      <c r="H5882" t="n">
        <v>-0.5</v>
      </c>
      <c r="I5882" s="2" t="n">
        <v>8867</v>
      </c>
      <c r="J5882" t="n">
        <v>-75</v>
      </c>
      <c r="K5882" t="inlineStr"/>
      <c r="L5882" s="2" t="n">
        <v>-4430</v>
      </c>
      <c r="M5882" t="n">
        <v>94.3</v>
      </c>
      <c r="N5882" t="inlineStr">
        <is>
          <t>20240131800693</t>
        </is>
      </c>
      <c r="O5882">
        <f>HYPERLINK("https://dart.fss.or.kr/dsaf001/main.do?rcpNo=20240131800693", "공시열람")</f>
        <v/>
      </c>
    </row>
    <row r="5883">
      <c r="A5883" t="inlineStr">
        <is>
          <t>2024-01-31</t>
        </is>
      </c>
      <c r="B5883" t="inlineStr">
        <is>
          <t>포스코스틸리온</t>
        </is>
      </c>
      <c r="C5883" t="inlineStr">
        <is>
          <t>058430</t>
        </is>
      </c>
      <c r="D5883" t="inlineStr">
        <is>
          <t>연결</t>
        </is>
      </c>
      <c r="E5883" t="inlineStr">
        <is>
          <t>2023Q4</t>
        </is>
      </c>
      <c r="F5883" s="2" t="n">
        <v>1158500</v>
      </c>
      <c r="G5883" t="n">
        <v>-3.6</v>
      </c>
      <c r="H5883" t="inlineStr"/>
      <c r="I5883" s="2" t="n">
        <v>30600</v>
      </c>
      <c r="J5883" t="n">
        <v>-19.9</v>
      </c>
      <c r="K5883" t="inlineStr"/>
      <c r="L5883" s="2" t="n">
        <v>25200</v>
      </c>
      <c r="M5883" t="inlineStr"/>
      <c r="N5883" t="inlineStr">
        <is>
          <t>20240131800009</t>
        </is>
      </c>
      <c r="O5883">
        <f>HYPERLINK("https://dart.fss.or.kr/dsaf001/main.do?rcpNo=20240131800009", "공시열람")</f>
        <v/>
      </c>
    </row>
    <row r="5884">
      <c r="A5884" t="inlineStr">
        <is>
          <t>2024-01-31</t>
        </is>
      </c>
      <c r="B5884" t="inlineStr">
        <is>
          <t>포스코스틸리온</t>
        </is>
      </c>
      <c r="C5884" t="inlineStr">
        <is>
          <t>058430</t>
        </is>
      </c>
      <c r="D5884" t="inlineStr">
        <is>
          <t>별도</t>
        </is>
      </c>
      <c r="E5884" t="inlineStr">
        <is>
          <t>2023Q4</t>
        </is>
      </c>
      <c r="F5884" s="2" t="n">
        <v>1132500</v>
      </c>
      <c r="G5884" t="n">
        <v>-4.2</v>
      </c>
      <c r="H5884" t="inlineStr"/>
      <c r="I5884" s="2" t="n">
        <v>27100</v>
      </c>
      <c r="J5884" t="n">
        <v>-18.1</v>
      </c>
      <c r="K5884" t="inlineStr"/>
      <c r="L5884" s="2" t="n">
        <v>32300</v>
      </c>
      <c r="M5884" t="inlineStr"/>
      <c r="N5884" t="inlineStr">
        <is>
          <t>20240131800007</t>
        </is>
      </c>
      <c r="O5884">
        <f>HYPERLINK("https://dart.fss.or.kr/dsaf001/main.do?rcpNo=20240131800007", "공시열람")</f>
        <v/>
      </c>
    </row>
    <row r="5885">
      <c r="A5885" t="inlineStr">
        <is>
          <t>2024-01-31</t>
        </is>
      </c>
      <c r="B5885" t="inlineStr">
        <is>
          <t>현대위아</t>
        </is>
      </c>
      <c r="C5885" t="inlineStr">
        <is>
          <t>011210</t>
        </is>
      </c>
      <c r="D5885" t="inlineStr">
        <is>
          <t>연결</t>
        </is>
      </c>
      <c r="E5885" t="inlineStr">
        <is>
          <t>2023Q4</t>
        </is>
      </c>
      <c r="F5885" s="2" t="n">
        <v>2111213</v>
      </c>
      <c r="G5885" t="n">
        <v>0.6</v>
      </c>
      <c r="H5885" t="n">
        <v>-6.1</v>
      </c>
      <c r="I5885" s="2" t="n">
        <v>44765</v>
      </c>
      <c r="J5885" t="n">
        <v>-34.5</v>
      </c>
      <c r="K5885" t="n">
        <v>-13.6</v>
      </c>
      <c r="L5885" s="2" t="n">
        <v>18605</v>
      </c>
      <c r="M5885" t="inlineStr"/>
      <c r="N5885" t="inlineStr">
        <is>
          <t>20240131800309</t>
        </is>
      </c>
      <c r="O5885">
        <f>HYPERLINK("https://dart.fss.or.kr/dsaf001/main.do?rcpNo=20240131800309", "공시열람")</f>
        <v/>
      </c>
    </row>
    <row r="5886">
      <c r="A5886" t="inlineStr">
        <is>
          <t>2024-01-31</t>
        </is>
      </c>
      <c r="B5886" t="inlineStr">
        <is>
          <t>비씨엔씨</t>
        </is>
      </c>
      <c r="C5886" t="inlineStr">
        <is>
          <t>146320</t>
        </is>
      </c>
      <c r="D5886" t="inlineStr">
        <is>
          <t>별도</t>
        </is>
      </c>
      <c r="E5886" t="inlineStr">
        <is>
          <t>2023Q4</t>
        </is>
      </c>
      <c r="F5886" s="2" t="n">
        <v>17577</v>
      </c>
      <c r="G5886" t="inlineStr"/>
      <c r="H5886" t="inlineStr"/>
      <c r="I5886" s="2" t="n">
        <v>925</v>
      </c>
      <c r="J5886" t="inlineStr"/>
      <c r="K5886" t="inlineStr"/>
      <c r="L5886" s="2" t="n">
        <v>1863</v>
      </c>
      <c r="M5886" t="inlineStr"/>
      <c r="N5886" t="inlineStr">
        <is>
          <t>20240131900647</t>
        </is>
      </c>
      <c r="O5886">
        <f>HYPERLINK("https://dart.fss.or.kr/dsaf001/main.do?rcpNo=20240131900647", "공시열람")</f>
        <v/>
      </c>
    </row>
    <row r="5887">
      <c r="A5887" t="inlineStr">
        <is>
          <t>2024-01-31</t>
        </is>
      </c>
      <c r="B5887" t="inlineStr">
        <is>
          <t>하나금융지주</t>
        </is>
      </c>
      <c r="C5887" t="inlineStr">
        <is>
          <t>086790</t>
        </is>
      </c>
      <c r="D5887" t="inlineStr">
        <is>
          <t>연결</t>
        </is>
      </c>
      <c r="E5887" t="inlineStr">
        <is>
          <t>2023Q4</t>
        </is>
      </c>
      <c r="F5887" s="2" t="n">
        <v>14270603</v>
      </c>
      <c r="G5887" t="n">
        <v>-20.08</v>
      </c>
      <c r="H5887" t="n">
        <v>195.05</v>
      </c>
      <c r="I5887" s="2" t="n">
        <v>692206</v>
      </c>
      <c r="J5887" t="n">
        <v>-41.64</v>
      </c>
      <c r="K5887" t="n">
        <v>-29.8</v>
      </c>
      <c r="L5887" s="2" t="n">
        <v>489607</v>
      </c>
      <c r="M5887" t="n">
        <v>-33.18</v>
      </c>
      <c r="N5887" t="inlineStr">
        <is>
          <t>20240131800352</t>
        </is>
      </c>
      <c r="O5887">
        <f>HYPERLINK("https://dart.fss.or.kr/dsaf001/main.do?rcpNo=20240131800352", "공시열람")</f>
        <v/>
      </c>
    </row>
    <row r="5888">
      <c r="A5888" t="inlineStr">
        <is>
          <t>2024-01-31</t>
        </is>
      </c>
      <c r="B5888" t="inlineStr">
        <is>
          <t>하나금융지주</t>
        </is>
      </c>
      <c r="C5888" t="inlineStr">
        <is>
          <t>086790</t>
        </is>
      </c>
      <c r="D5888" t="inlineStr">
        <is>
          <t>연결</t>
        </is>
      </c>
      <c r="E5888" t="inlineStr">
        <is>
          <t>2023Q4</t>
        </is>
      </c>
      <c r="F5888" s="2" t="n">
        <v>10005519</v>
      </c>
      <c r="G5888" t="n">
        <v>-29.4</v>
      </c>
      <c r="H5888" t="n">
        <v>125.77</v>
      </c>
      <c r="I5888" s="2" t="n">
        <v>941975</v>
      </c>
      <c r="J5888" t="n">
        <v>-16.69</v>
      </c>
      <c r="K5888" t="n">
        <v>-18.45</v>
      </c>
      <c r="L5888" s="2" t="n">
        <v>712925</v>
      </c>
      <c r="M5888" t="n">
        <v>-16.63</v>
      </c>
      <c r="N5888" t="inlineStr">
        <is>
          <t>20240131800353</t>
        </is>
      </c>
      <c r="O5888">
        <f>HYPERLINK("https://dart.fss.or.kr/dsaf001/main.do?rcpNo=20240131800353", "공시열람")</f>
        <v/>
      </c>
    </row>
    <row r="5889">
      <c r="A5889" t="inlineStr">
        <is>
          <t>2024-01-31</t>
        </is>
      </c>
      <c r="B5889" t="inlineStr">
        <is>
          <t>하나금융지주</t>
        </is>
      </c>
      <c r="C5889" t="inlineStr">
        <is>
          <t>086790</t>
        </is>
      </c>
      <c r="D5889" t="inlineStr">
        <is>
          <t>연결</t>
        </is>
      </c>
      <c r="E5889" t="inlineStr">
        <is>
          <t>2023Q4</t>
        </is>
      </c>
      <c r="F5889" s="2" t="n">
        <v>2911087</v>
      </c>
      <c r="G5889" t="n">
        <v>17.22</v>
      </c>
      <c r="H5889" t="inlineStr"/>
      <c r="I5889" s="2" t="n">
        <v>-340888</v>
      </c>
      <c r="J5889" t="n">
        <v>-498.86</v>
      </c>
      <c r="K5889" t="n">
        <v>-72.41</v>
      </c>
      <c r="L5889" s="2" t="n">
        <v>-252918</v>
      </c>
      <c r="M5889" t="n">
        <v>-64.17</v>
      </c>
      <c r="N5889" t="inlineStr">
        <is>
          <t>20240131800354</t>
        </is>
      </c>
      <c r="O5889">
        <f>HYPERLINK("https://dart.fss.or.kr/dsaf001/main.do?rcpNo=20240131800354", "공시열람")</f>
        <v/>
      </c>
    </row>
    <row r="5890">
      <c r="A5890" t="inlineStr">
        <is>
          <t>2024-01-31</t>
        </is>
      </c>
      <c r="B5890" t="inlineStr">
        <is>
          <t>녹십자웰빙</t>
        </is>
      </c>
      <c r="C5890" t="inlineStr">
        <is>
          <t>234690</t>
        </is>
      </c>
      <c r="D5890" t="inlineStr">
        <is>
          <t>별도</t>
        </is>
      </c>
      <c r="E5890" t="inlineStr">
        <is>
          <t>2023Q4</t>
        </is>
      </c>
      <c r="F5890" s="2" t="n">
        <v>33904</v>
      </c>
      <c r="G5890" t="inlineStr"/>
      <c r="H5890" t="inlineStr"/>
      <c r="I5890" s="2" t="n">
        <v>2064</v>
      </c>
      <c r="J5890" t="inlineStr"/>
      <c r="K5890" t="inlineStr"/>
      <c r="L5890" s="2" t="n">
        <v>1091</v>
      </c>
      <c r="M5890" t="inlineStr"/>
      <c r="N5890" t="inlineStr">
        <is>
          <t>20240131900345</t>
        </is>
      </c>
      <c r="O5890">
        <f>HYPERLINK("https://dart.fss.or.kr/dsaf001/main.do?rcpNo=20240131900345", "공시열람")</f>
        <v/>
      </c>
    </row>
    <row r="5891">
      <c r="A5891" t="inlineStr">
        <is>
          <t>2024-01-31</t>
        </is>
      </c>
      <c r="B5891" t="inlineStr">
        <is>
          <t>넥센타이어</t>
        </is>
      </c>
      <c r="C5891" t="inlineStr">
        <is>
          <t>002350</t>
        </is>
      </c>
      <c r="D5891" t="inlineStr">
        <is>
          <t>연결</t>
        </is>
      </c>
      <c r="E5891" t="inlineStr">
        <is>
          <t>2023Q4</t>
        </is>
      </c>
      <c r="F5891" s="2" t="n">
        <v>678135</v>
      </c>
      <c r="G5891" t="inlineStr"/>
      <c r="H5891" t="inlineStr"/>
      <c r="I5891" s="2" t="n">
        <v>63860</v>
      </c>
      <c r="J5891" t="inlineStr"/>
      <c r="K5891" t="inlineStr"/>
      <c r="L5891" s="2" t="n">
        <v>18048</v>
      </c>
      <c r="M5891" t="inlineStr"/>
      <c r="N5891" t="inlineStr">
        <is>
          <t>20240131800374</t>
        </is>
      </c>
      <c r="O5891">
        <f>HYPERLINK("https://dart.fss.or.kr/dsaf001/main.do?rcpNo=20240131800374", "공시열람")</f>
        <v/>
      </c>
    </row>
    <row r="5892">
      <c r="A5892" t="inlineStr">
        <is>
          <t>2024-01-31</t>
        </is>
      </c>
      <c r="B5892" t="inlineStr">
        <is>
          <t>POSCO홀딩스</t>
        </is>
      </c>
      <c r="C5892" t="inlineStr">
        <is>
          <t>005490</t>
        </is>
      </c>
      <c r="D5892" t="inlineStr">
        <is>
          <t>연결</t>
        </is>
      </c>
      <c r="E5892" t="inlineStr">
        <is>
          <t>2023Q4</t>
        </is>
      </c>
      <c r="F5892" s="2" t="n">
        <v>77</v>
      </c>
      <c r="G5892" t="inlineStr"/>
      <c r="H5892" t="inlineStr"/>
      <c r="I5892" s="2" t="n">
        <v>4</v>
      </c>
      <c r="J5892" t="inlineStr"/>
      <c r="K5892" t="inlineStr"/>
      <c r="L5892" s="2" t="n">
        <v>2</v>
      </c>
      <c r="M5892" t="inlineStr"/>
      <c r="N5892" t="inlineStr">
        <is>
          <t>20240131800429</t>
        </is>
      </c>
      <c r="O5892">
        <f>HYPERLINK("https://dart.fss.or.kr/dsaf001/main.do?rcpNo=20240131800429", "공시열람")</f>
        <v/>
      </c>
    </row>
    <row r="5893">
      <c r="A5893" t="inlineStr">
        <is>
          <t>2024-01-31</t>
        </is>
      </c>
      <c r="B5893" t="inlineStr">
        <is>
          <t>POSCO홀딩스</t>
        </is>
      </c>
      <c r="C5893" t="inlineStr">
        <is>
          <t>005490</t>
        </is>
      </c>
      <c r="D5893" t="inlineStr">
        <is>
          <t>연결</t>
        </is>
      </c>
      <c r="E5893" t="inlineStr">
        <is>
          <t>2023Q4</t>
        </is>
      </c>
      <c r="F5893" s="2" t="n">
        <v>43</v>
      </c>
      <c r="G5893" t="inlineStr"/>
      <c r="H5893" t="inlineStr"/>
      <c r="I5893" s="2" t="n">
        <v>2</v>
      </c>
      <c r="J5893" t="inlineStr"/>
      <c r="K5893" t="inlineStr"/>
      <c r="L5893" s="2" t="n">
        <v>1</v>
      </c>
      <c r="M5893" t="inlineStr"/>
      <c r="N5893" t="inlineStr">
        <is>
          <t>20240131800428</t>
        </is>
      </c>
      <c r="O5893">
        <f>HYPERLINK("https://dart.fss.or.kr/dsaf001/main.do?rcpNo=20240131800428", "공시열람")</f>
        <v/>
      </c>
    </row>
    <row r="5894">
      <c r="A5894" t="inlineStr">
        <is>
          <t>2024-01-31</t>
        </is>
      </c>
      <c r="B5894" t="inlineStr">
        <is>
          <t>LG화학</t>
        </is>
      </c>
      <c r="C5894" t="inlineStr">
        <is>
          <t>051910</t>
        </is>
      </c>
      <c r="D5894" t="inlineStr">
        <is>
          <t>연결</t>
        </is>
      </c>
      <c r="E5894" t="inlineStr">
        <is>
          <t>2023Q4</t>
        </is>
      </c>
      <c r="F5894" s="2" t="n">
        <v>13134802</v>
      </c>
      <c r="G5894" t="n">
        <v>-2.7</v>
      </c>
      <c r="H5894" t="n">
        <v>-3.8</v>
      </c>
      <c r="I5894" s="2" t="n">
        <v>247427</v>
      </c>
      <c r="J5894" t="n">
        <v>-71.2</v>
      </c>
      <c r="K5894" t="n">
        <v>18.2</v>
      </c>
      <c r="L5894" s="2" t="n">
        <v>128519</v>
      </c>
      <c r="M5894" t="inlineStr"/>
      <c r="N5894" t="inlineStr">
        <is>
          <t>20240131800516</t>
        </is>
      </c>
      <c r="O5894">
        <f>HYPERLINK("https://dart.fss.or.kr/dsaf001/main.do?rcpNo=20240131800516", "공시열람")</f>
        <v/>
      </c>
    </row>
    <row r="5895">
      <c r="A5895" t="inlineStr">
        <is>
          <t>2024-01-31</t>
        </is>
      </c>
      <c r="B5895" t="inlineStr">
        <is>
          <t>지씨셀</t>
        </is>
      </c>
      <c r="C5895" t="inlineStr">
        <is>
          <t>144510</t>
        </is>
      </c>
      <c r="D5895" t="inlineStr">
        <is>
          <t>연결</t>
        </is>
      </c>
      <c r="E5895" t="inlineStr">
        <is>
          <t>2023Q4</t>
        </is>
      </c>
      <c r="F5895" s="2" t="n">
        <v>52516</v>
      </c>
      <c r="G5895" t="inlineStr"/>
      <c r="H5895" t="inlineStr"/>
      <c r="I5895" s="2" t="n">
        <v>3725</v>
      </c>
      <c r="J5895" t="inlineStr"/>
      <c r="K5895" t="inlineStr"/>
      <c r="L5895" s="2" t="n">
        <v>2317</v>
      </c>
      <c r="M5895" t="inlineStr"/>
      <c r="N5895" t="inlineStr">
        <is>
          <t>20240131900224</t>
        </is>
      </c>
      <c r="O5895">
        <f>HYPERLINK("https://dart.fss.or.kr/dsaf001/main.do?rcpNo=20240131900224", "공시열람")</f>
        <v/>
      </c>
    </row>
    <row r="5896">
      <c r="A5896" t="inlineStr">
        <is>
          <t>2024-01-30</t>
        </is>
      </c>
      <c r="B5896" t="inlineStr">
        <is>
          <t>유니드</t>
        </is>
      </c>
      <c r="C5896" t="inlineStr">
        <is>
          <t>014830</t>
        </is>
      </c>
      <c r="D5896" t="inlineStr">
        <is>
          <t>연결</t>
        </is>
      </c>
      <c r="E5896" t="inlineStr">
        <is>
          <t>2023Q4</t>
        </is>
      </c>
      <c r="F5896" s="2" t="n">
        <v>247327</v>
      </c>
      <c r="G5896" t="inlineStr"/>
      <c r="H5896" t="inlineStr"/>
      <c r="I5896" s="2" t="n">
        <v>21534</v>
      </c>
      <c r="J5896" t="inlineStr"/>
      <c r="K5896" t="inlineStr"/>
      <c r="L5896" s="2" t="n">
        <v>12720</v>
      </c>
      <c r="M5896" t="inlineStr"/>
      <c r="N5896" t="inlineStr">
        <is>
          <t>20240130800228</t>
        </is>
      </c>
      <c r="O5896">
        <f>HYPERLINK("https://dart.fss.or.kr/dsaf001/main.do?rcpNo=20240130800228", "공시열람")</f>
        <v/>
      </c>
    </row>
    <row r="5897">
      <c r="A5897" t="inlineStr">
        <is>
          <t>2024-01-30</t>
        </is>
      </c>
      <c r="B5897" t="inlineStr">
        <is>
          <t>자이에스앤디</t>
        </is>
      </c>
      <c r="C5897" t="inlineStr">
        <is>
          <t>317400</t>
        </is>
      </c>
      <c r="D5897" t="inlineStr">
        <is>
          <t>연결</t>
        </is>
      </c>
      <c r="E5897" t="inlineStr">
        <is>
          <t>2023Q4</t>
        </is>
      </c>
      <c r="F5897" s="2" t="n">
        <v>479750</v>
      </c>
      <c r="G5897" t="n">
        <v>-6.42</v>
      </c>
      <c r="H5897" t="n">
        <v>-45.98</v>
      </c>
      <c r="I5897" s="2" t="n">
        <v>19973</v>
      </c>
      <c r="J5897" t="n">
        <v>-6.59</v>
      </c>
      <c r="K5897" t="n">
        <v>-68.97</v>
      </c>
      <c r="L5897" s="2" t="n">
        <v>16077</v>
      </c>
      <c r="M5897" t="n">
        <v>-68.38</v>
      </c>
      <c r="N5897" t="inlineStr">
        <is>
          <t>20240130800221</t>
        </is>
      </c>
      <c r="O5897">
        <f>HYPERLINK("https://dart.fss.or.kr/dsaf001/main.do?rcpNo=20240130800221", "공시열람")</f>
        <v/>
      </c>
    </row>
    <row r="5898">
      <c r="A5898" t="inlineStr">
        <is>
          <t>2024-01-30</t>
        </is>
      </c>
      <c r="B5898" t="inlineStr">
        <is>
          <t>삼성E&amp;A</t>
        </is>
      </c>
      <c r="C5898" t="inlineStr">
        <is>
          <t>028050</t>
        </is>
      </c>
      <c r="D5898" t="inlineStr">
        <is>
          <t>연결</t>
        </is>
      </c>
      <c r="E5898" t="inlineStr">
        <is>
          <t>2023Q4</t>
        </is>
      </c>
      <c r="F5898" s="2" t="n">
        <v>2827466</v>
      </c>
      <c r="G5898" t="n">
        <v>14.1</v>
      </c>
      <c r="H5898" t="n">
        <v>-3.8</v>
      </c>
      <c r="I5898" s="2" t="n">
        <v>269850</v>
      </c>
      <c r="J5898" t="n">
        <v>75.90000000000001</v>
      </c>
      <c r="K5898" t="n">
        <v>25.8</v>
      </c>
      <c r="L5898" s="2" t="n">
        <v>112419</v>
      </c>
      <c r="M5898" t="n">
        <v>-37.5</v>
      </c>
      <c r="N5898" t="inlineStr">
        <is>
          <t>20240130800412</t>
        </is>
      </c>
      <c r="O5898">
        <f>HYPERLINK("https://dart.fss.or.kr/dsaf001/main.do?rcpNo=20240130800412", "공시열람")</f>
        <v/>
      </c>
    </row>
    <row r="5899">
      <c r="A5899" t="inlineStr">
        <is>
          <t>2024-01-30</t>
        </is>
      </c>
      <c r="B5899" t="inlineStr">
        <is>
          <t>금호타이어</t>
        </is>
      </c>
      <c r="C5899" t="inlineStr">
        <is>
          <t>073240</t>
        </is>
      </c>
      <c r="D5899" t="inlineStr">
        <is>
          <t>연결</t>
        </is>
      </c>
      <c r="E5899" t="inlineStr">
        <is>
          <t>2023Q4</t>
        </is>
      </c>
      <c r="F5899" s="2" t="n">
        <v>1060475</v>
      </c>
      <c r="G5899" t="n">
        <v>8.5</v>
      </c>
      <c r="H5899" t="n">
        <v>11.8</v>
      </c>
      <c r="I5899" s="2" t="n">
        <v>149468</v>
      </c>
      <c r="J5899" t="n">
        <v>55.3</v>
      </c>
      <c r="K5899" t="n">
        <v>710.6</v>
      </c>
      <c r="L5899" s="2" t="n">
        <v>89077</v>
      </c>
      <c r="M5899" t="inlineStr"/>
      <c r="N5899" t="inlineStr">
        <is>
          <t>20240130800332</t>
        </is>
      </c>
      <c r="O5899">
        <f>HYPERLINK("https://dart.fss.or.kr/dsaf001/main.do?rcpNo=20240130800332", "공시열람")</f>
        <v/>
      </c>
    </row>
    <row r="5900">
      <c r="A5900" t="inlineStr">
        <is>
          <t>2024-01-30</t>
        </is>
      </c>
      <c r="B5900" t="inlineStr">
        <is>
          <t>엘에스일렉트릭</t>
        </is>
      </c>
      <c r="C5900" t="inlineStr">
        <is>
          <t>010120</t>
        </is>
      </c>
      <c r="D5900" t="inlineStr">
        <is>
          <t>연결</t>
        </is>
      </c>
      <c r="E5900" t="inlineStr">
        <is>
          <t>2023Q4</t>
        </is>
      </c>
      <c r="F5900" s="2" t="n">
        <v>1030378</v>
      </c>
      <c r="G5900" t="n">
        <v>0.76</v>
      </c>
      <c r="H5900" t="n">
        <v>10.84</v>
      </c>
      <c r="I5900" s="2" t="n">
        <v>68089</v>
      </c>
      <c r="J5900" t="n">
        <v>-2.9</v>
      </c>
      <c r="K5900" t="n">
        <v>160.69</v>
      </c>
      <c r="L5900" s="2" t="n">
        <v>43875</v>
      </c>
      <c r="M5900" t="n">
        <v>165.82</v>
      </c>
      <c r="N5900" t="inlineStr">
        <is>
          <t>20240130800380</t>
        </is>
      </c>
      <c r="O5900">
        <f>HYPERLINK("https://dart.fss.or.kr/dsaf001/main.do?rcpNo=20240130800380", "공시열람")</f>
        <v/>
      </c>
    </row>
    <row r="5901">
      <c r="A5901" t="inlineStr">
        <is>
          <t>2024-01-30</t>
        </is>
      </c>
      <c r="B5901" t="inlineStr">
        <is>
          <t>아모레퍼시픽</t>
        </is>
      </c>
      <c r="C5901" t="inlineStr">
        <is>
          <t>090430</t>
        </is>
      </c>
      <c r="D5901" t="inlineStr">
        <is>
          <t>연결</t>
        </is>
      </c>
      <c r="E5901" t="inlineStr">
        <is>
          <t>2023Q4</t>
        </is>
      </c>
      <c r="F5901" s="2" t="n">
        <v>926049</v>
      </c>
      <c r="G5901" t="n">
        <v>4.2</v>
      </c>
      <c r="H5901" t="n">
        <v>-14.9</v>
      </c>
      <c r="I5901" s="2" t="n">
        <v>20676</v>
      </c>
      <c r="J5901" t="n">
        <v>19.8</v>
      </c>
      <c r="K5901" t="n">
        <v>-63.7</v>
      </c>
      <c r="L5901" s="2" t="n">
        <v>38230</v>
      </c>
      <c r="M5901" t="n">
        <v>55.5</v>
      </c>
      <c r="N5901" t="inlineStr">
        <is>
          <t>20240130800423</t>
        </is>
      </c>
      <c r="O5901">
        <f>HYPERLINK("https://dart.fss.or.kr/dsaf001/main.do?rcpNo=20240130800423", "공시열람")</f>
        <v/>
      </c>
    </row>
    <row r="5902">
      <c r="A5902" t="inlineStr">
        <is>
          <t>2024-01-30</t>
        </is>
      </c>
      <c r="B5902" t="inlineStr">
        <is>
          <t>포스코퓨처엠</t>
        </is>
      </c>
      <c r="C5902" t="inlineStr">
        <is>
          <t>003670</t>
        </is>
      </c>
      <c r="D5902" t="inlineStr">
        <is>
          <t>연결</t>
        </is>
      </c>
      <c r="E5902" t="inlineStr">
        <is>
          <t>2023Q4</t>
        </is>
      </c>
      <c r="F5902" s="2" t="n">
        <v>1145840</v>
      </c>
      <c r="G5902" t="n">
        <v>-10.9</v>
      </c>
      <c r="H5902" t="n">
        <v>46.8</v>
      </c>
      <c r="I5902" s="2" t="n">
        <v>-73659</v>
      </c>
      <c r="J5902" t="inlineStr"/>
      <c r="K5902" t="inlineStr"/>
      <c r="L5902" s="2" t="n">
        <v>-102057</v>
      </c>
      <c r="M5902" t="n">
        <v>-290.6</v>
      </c>
      <c r="N5902" t="inlineStr">
        <is>
          <t>20240130800452</t>
        </is>
      </c>
      <c r="O5902">
        <f>HYPERLINK("https://dart.fss.or.kr/dsaf001/main.do?rcpNo=20240130800452", "공시열람")</f>
        <v/>
      </c>
    </row>
    <row r="5903">
      <c r="A5903" t="inlineStr">
        <is>
          <t>2024-01-30</t>
        </is>
      </c>
      <c r="B5903" t="inlineStr">
        <is>
          <t>제일기획</t>
        </is>
      </c>
      <c r="C5903" t="inlineStr">
        <is>
          <t>030000</t>
        </is>
      </c>
      <c r="D5903" t="inlineStr">
        <is>
          <t>연결</t>
        </is>
      </c>
      <c r="E5903" t="inlineStr">
        <is>
          <t>2023Q4</t>
        </is>
      </c>
      <c r="F5903" s="2" t="n">
        <v>1146964</v>
      </c>
      <c r="G5903" t="n">
        <v>6.37</v>
      </c>
      <c r="H5903" t="n">
        <v>-4.76</v>
      </c>
      <c r="I5903" s="2" t="n">
        <v>75985</v>
      </c>
      <c r="J5903" t="n">
        <v>-18.68</v>
      </c>
      <c r="K5903" t="n">
        <v>5.84</v>
      </c>
      <c r="L5903" s="2" t="n">
        <v>17300</v>
      </c>
      <c r="M5903" t="n">
        <v>-29.96</v>
      </c>
      <c r="N5903" t="inlineStr">
        <is>
          <t>20240130800184</t>
        </is>
      </c>
      <c r="O5903">
        <f>HYPERLINK("https://dart.fss.or.kr/dsaf001/main.do?rcpNo=20240130800184", "공시열람")</f>
        <v/>
      </c>
    </row>
    <row r="5904">
      <c r="A5904" t="inlineStr">
        <is>
          <t>2024-01-30</t>
        </is>
      </c>
      <c r="B5904" t="inlineStr">
        <is>
          <t>NI스틸</t>
        </is>
      </c>
      <c r="C5904" t="inlineStr">
        <is>
          <t>008260</t>
        </is>
      </c>
      <c r="D5904" t="inlineStr">
        <is>
          <t>별도</t>
        </is>
      </c>
      <c r="E5904" t="inlineStr">
        <is>
          <t>2023Q4</t>
        </is>
      </c>
      <c r="F5904" s="2" t="n">
        <v>382911</v>
      </c>
      <c r="G5904" t="n">
        <v>7.7</v>
      </c>
      <c r="H5904" t="inlineStr"/>
      <c r="I5904" s="2" t="n">
        <v>70585</v>
      </c>
      <c r="J5904" t="n">
        <v>4.2</v>
      </c>
      <c r="K5904" t="inlineStr"/>
      <c r="L5904" s="2" t="n">
        <v>50149</v>
      </c>
      <c r="M5904" t="inlineStr"/>
      <c r="N5904" t="inlineStr">
        <is>
          <t>20240130800115</t>
        </is>
      </c>
      <c r="O5904">
        <f>HYPERLINK("https://dart.fss.or.kr/dsaf001/main.do?rcpNo=20240130800115", "공시열람")</f>
        <v/>
      </c>
    </row>
    <row r="5905">
      <c r="A5905" t="inlineStr">
        <is>
          <t>2024-01-30</t>
        </is>
      </c>
      <c r="B5905" t="inlineStr">
        <is>
          <t>삼성SDI</t>
        </is>
      </c>
      <c r="C5905" t="inlineStr">
        <is>
          <t>006400</t>
        </is>
      </c>
      <c r="D5905" t="inlineStr">
        <is>
          <t>연결</t>
        </is>
      </c>
      <c r="E5905" t="inlineStr">
        <is>
          <t>2023Q4</t>
        </is>
      </c>
      <c r="F5905" s="2" t="n">
        <v>5564765</v>
      </c>
      <c r="G5905" t="n">
        <v>-6.4</v>
      </c>
      <c r="H5905" t="n">
        <v>-6.7</v>
      </c>
      <c r="I5905" s="2" t="n">
        <v>311788</v>
      </c>
      <c r="J5905" t="n">
        <v>-37.1</v>
      </c>
      <c r="K5905" t="n">
        <v>-36.5</v>
      </c>
      <c r="L5905" s="2" t="n">
        <v>493345</v>
      </c>
      <c r="M5905" t="n">
        <v>-21.6</v>
      </c>
      <c r="N5905" t="inlineStr">
        <is>
          <t>20240130800092</t>
        </is>
      </c>
      <c r="O5905">
        <f>HYPERLINK("https://dart.fss.or.kr/dsaf001/main.do?rcpNo=20240130800092", "공시열람")</f>
        <v/>
      </c>
    </row>
    <row r="5906">
      <c r="A5906" t="inlineStr">
        <is>
          <t>2024-01-30</t>
        </is>
      </c>
      <c r="B5906" t="inlineStr">
        <is>
          <t>한진칼</t>
        </is>
      </c>
      <c r="C5906" t="inlineStr">
        <is>
          <t>180640</t>
        </is>
      </c>
      <c r="D5906" t="inlineStr">
        <is>
          <t>연결</t>
        </is>
      </c>
      <c r="E5906" t="inlineStr">
        <is>
          <t>2023Q4</t>
        </is>
      </c>
      <c r="F5906" s="2" t="n">
        <v>275727</v>
      </c>
      <c r="G5906" t="n">
        <v>37.6</v>
      </c>
      <c r="H5906" t="inlineStr"/>
      <c r="I5906" s="2" t="n">
        <v>46674</v>
      </c>
      <c r="J5906" t="n">
        <v>222.2</v>
      </c>
      <c r="K5906" t="inlineStr"/>
      <c r="L5906" s="2" t="n">
        <v>377962</v>
      </c>
      <c r="M5906" t="inlineStr"/>
      <c r="N5906" t="inlineStr">
        <is>
          <t>20240130800721</t>
        </is>
      </c>
      <c r="O5906">
        <f>HYPERLINK("https://dart.fss.or.kr/dsaf001/main.do?rcpNo=20240130800721", "공시열람")</f>
        <v/>
      </c>
    </row>
    <row r="5907">
      <c r="A5907" t="inlineStr">
        <is>
          <t>2024-01-30</t>
        </is>
      </c>
      <c r="B5907" t="inlineStr">
        <is>
          <t>현대제철</t>
        </is>
      </c>
      <c r="C5907" t="inlineStr">
        <is>
          <t>004020</t>
        </is>
      </c>
      <c r="D5907" t="inlineStr">
        <is>
          <t>별도</t>
        </is>
      </c>
      <c r="E5907" t="inlineStr">
        <is>
          <t>2023Q4</t>
        </is>
      </c>
      <c r="F5907" s="2" t="n">
        <v>4899400</v>
      </c>
      <c r="G5907" t="n">
        <v>-6.6</v>
      </c>
      <c r="H5907" t="n">
        <v>-2.2</v>
      </c>
      <c r="I5907" s="2" t="n">
        <v>-299200</v>
      </c>
      <c r="J5907" t="inlineStr"/>
      <c r="K5907" t="n">
        <v>-2</v>
      </c>
      <c r="L5907" s="2" t="n">
        <v>-281700</v>
      </c>
      <c r="M5907" t="n">
        <v>9.1</v>
      </c>
      <c r="N5907" t="inlineStr">
        <is>
          <t>20240130800298</t>
        </is>
      </c>
      <c r="O5907">
        <f>HYPERLINK("https://dart.fss.or.kr/dsaf001/main.do?rcpNo=20240130800298", "공시열람")</f>
        <v/>
      </c>
    </row>
    <row r="5908">
      <c r="A5908" t="inlineStr">
        <is>
          <t>2024-01-30</t>
        </is>
      </c>
      <c r="B5908" t="inlineStr">
        <is>
          <t>아모레퍼시픽홀딩스</t>
        </is>
      </c>
      <c r="C5908" t="inlineStr">
        <is>
          <t>002790</t>
        </is>
      </c>
      <c r="D5908" t="inlineStr">
        <is>
          <t>연결</t>
        </is>
      </c>
      <c r="E5908" t="inlineStr">
        <is>
          <t>2023Q4</t>
        </is>
      </c>
      <c r="F5908" s="2" t="n">
        <v>1018006</v>
      </c>
      <c r="G5908" t="n">
        <v>5.7</v>
      </c>
      <c r="H5908" t="n">
        <v>-14</v>
      </c>
      <c r="I5908" s="2" t="n">
        <v>29852</v>
      </c>
      <c r="J5908" t="n">
        <v>3.7</v>
      </c>
      <c r="K5908" t="n">
        <v>-62</v>
      </c>
      <c r="L5908" s="2" t="n">
        <v>47890</v>
      </c>
      <c r="M5908" t="n">
        <v>348.7</v>
      </c>
      <c r="N5908" t="inlineStr">
        <is>
          <t>20240130800593</t>
        </is>
      </c>
      <c r="O5908">
        <f>HYPERLINK("https://dart.fss.or.kr/dsaf001/main.do?rcpNo=20240130800593", "공시열람")</f>
        <v/>
      </c>
    </row>
    <row r="5909">
      <c r="A5909" t="inlineStr">
        <is>
          <t>2024-01-30</t>
        </is>
      </c>
      <c r="B5909" t="inlineStr">
        <is>
          <t>포스코퓨처엠</t>
        </is>
      </c>
      <c r="C5909" t="inlineStr">
        <is>
          <t>003670</t>
        </is>
      </c>
      <c r="D5909" t="inlineStr">
        <is>
          <t>별도</t>
        </is>
      </c>
      <c r="E5909" t="inlineStr">
        <is>
          <t>2023Q4</t>
        </is>
      </c>
      <c r="F5909" s="2" t="n">
        <v>1104842</v>
      </c>
      <c r="G5909" t="n">
        <v>-8.6</v>
      </c>
      <c r="H5909" t="n">
        <v>53.7</v>
      </c>
      <c r="I5909" s="2" t="n">
        <v>-65432</v>
      </c>
      <c r="J5909" t="inlineStr"/>
      <c r="K5909" t="inlineStr"/>
      <c r="L5909" s="2" t="n">
        <v>-77677</v>
      </c>
      <c r="M5909" t="n">
        <v>-195.6</v>
      </c>
      <c r="N5909" t="inlineStr">
        <is>
          <t>20240130800475</t>
        </is>
      </c>
      <c r="O5909">
        <f>HYPERLINK("https://dart.fss.or.kr/dsaf001/main.do?rcpNo=20240130800475", "공시열람")</f>
        <v/>
      </c>
    </row>
    <row r="5910">
      <c r="A5910" t="inlineStr">
        <is>
          <t>2024-01-30</t>
        </is>
      </c>
      <c r="B5910" t="inlineStr">
        <is>
          <t>대한항공</t>
        </is>
      </c>
      <c r="C5910" t="inlineStr">
        <is>
          <t>003490</t>
        </is>
      </c>
      <c r="D5910" t="inlineStr">
        <is>
          <t>별도</t>
        </is>
      </c>
      <c r="E5910" t="inlineStr">
        <is>
          <t>2023Q4</t>
        </is>
      </c>
      <c r="F5910" s="2" t="n">
        <v>3980106</v>
      </c>
      <c r="G5910" t="n">
        <v>3</v>
      </c>
      <c r="H5910" t="n">
        <v>10.4</v>
      </c>
      <c r="I5910" s="2" t="n">
        <v>183608</v>
      </c>
      <c r="J5910" t="n">
        <v>-64.7</v>
      </c>
      <c r="K5910" t="n">
        <v>-64.7</v>
      </c>
      <c r="L5910" s="2" t="n">
        <v>-234594</v>
      </c>
      <c r="M5910" t="inlineStr"/>
      <c r="N5910" t="inlineStr">
        <is>
          <t>20240130800767</t>
        </is>
      </c>
      <c r="O5910">
        <f>HYPERLINK("https://dart.fss.or.kr/dsaf001/main.do?rcpNo=20240130800767", "공시열람")</f>
        <v/>
      </c>
    </row>
    <row r="5911">
      <c r="A5911" t="inlineStr">
        <is>
          <t>2024-01-30</t>
        </is>
      </c>
      <c r="B5911" t="inlineStr">
        <is>
          <t>현대제철</t>
        </is>
      </c>
      <c r="C5911" t="inlineStr">
        <is>
          <t>004020</t>
        </is>
      </c>
      <c r="D5911" t="inlineStr">
        <is>
          <t>연결</t>
        </is>
      </c>
      <c r="E5911" t="inlineStr">
        <is>
          <t>2023Q4</t>
        </is>
      </c>
      <c r="F5911" s="2" t="n">
        <v>6104200</v>
      </c>
      <c r="G5911" t="n">
        <v>-2.8</v>
      </c>
      <c r="H5911" t="n">
        <v>2.1</v>
      </c>
      <c r="I5911" s="2" t="n">
        <v>-220100</v>
      </c>
      <c r="J5911" t="inlineStr"/>
      <c r="K5911" t="n">
        <v>20.3</v>
      </c>
      <c r="L5911" s="2" t="n">
        <v>-190900</v>
      </c>
      <c r="M5911" t="n">
        <v>31.9</v>
      </c>
      <c r="N5911" t="inlineStr">
        <is>
          <t>20240130800300</t>
        </is>
      </c>
      <c r="O5911">
        <f>HYPERLINK("https://dart.fss.or.kr/dsaf001/main.do?rcpNo=20240130800300", "공시열람")</f>
        <v/>
      </c>
    </row>
    <row r="5912">
      <c r="A5912" t="inlineStr">
        <is>
          <t>2024-01-30</t>
        </is>
      </c>
      <c r="B5912" t="inlineStr">
        <is>
          <t>대우건설</t>
        </is>
      </c>
      <c r="C5912" t="inlineStr">
        <is>
          <t>047040</t>
        </is>
      </c>
      <c r="D5912" t="inlineStr">
        <is>
          <t>연결</t>
        </is>
      </c>
      <c r="E5912" t="inlineStr">
        <is>
          <t>2023Q4</t>
        </is>
      </c>
      <c r="F5912" s="2" t="n">
        <v>2778200</v>
      </c>
      <c r="G5912" t="n">
        <v>-7.1</v>
      </c>
      <c r="H5912" t="n">
        <v>-13.4</v>
      </c>
      <c r="I5912" s="2" t="n">
        <v>77900</v>
      </c>
      <c r="J5912" t="n">
        <v>-59</v>
      </c>
      <c r="K5912" t="n">
        <v>-68.40000000000001</v>
      </c>
      <c r="L5912" s="2" t="n">
        <v>109300</v>
      </c>
      <c r="M5912" t="n">
        <v>-2.1</v>
      </c>
      <c r="N5912" t="inlineStr">
        <is>
          <t>20240130800052</t>
        </is>
      </c>
      <c r="O5912">
        <f>HYPERLINK("https://dart.fss.or.kr/dsaf001/main.do?rcpNo=20240130800052", "공시열람")</f>
        <v/>
      </c>
    </row>
    <row r="5913">
      <c r="A5913" t="inlineStr">
        <is>
          <t>2024-01-30</t>
        </is>
      </c>
      <c r="B5913" t="inlineStr">
        <is>
          <t>한솔홀딩스</t>
        </is>
      </c>
      <c r="C5913" t="inlineStr">
        <is>
          <t>004150</t>
        </is>
      </c>
      <c r="D5913" t="inlineStr">
        <is>
          <t>별도</t>
        </is>
      </c>
      <c r="E5913" t="inlineStr">
        <is>
          <t>2023Q4</t>
        </is>
      </c>
      <c r="F5913" s="2" t="inlineStr"/>
      <c r="G5913" t="inlineStr"/>
      <c r="H5913" t="inlineStr"/>
      <c r="I5913" s="2" t="inlineStr"/>
      <c r="J5913" t="inlineStr"/>
      <c r="K5913" t="inlineStr"/>
      <c r="L5913" s="2" t="inlineStr"/>
      <c r="M5913" t="inlineStr"/>
      <c r="N5913" t="inlineStr">
        <is>
          <t>20240130800696</t>
        </is>
      </c>
      <c r="O5913">
        <f>HYPERLINK("https://dart.fss.or.kr/dsaf001/main.do?rcpNo=20240130800696", "공시열람")</f>
        <v/>
      </c>
    </row>
    <row r="5914">
      <c r="A5914" t="inlineStr">
        <is>
          <t>2024-01-30</t>
        </is>
      </c>
      <c r="B5914" t="inlineStr">
        <is>
          <t>라온로보틱스</t>
        </is>
      </c>
      <c r="C5914" t="inlineStr">
        <is>
          <t>232680</t>
        </is>
      </c>
      <c r="D5914" t="inlineStr">
        <is>
          <t>별도</t>
        </is>
      </c>
      <c r="E5914" t="inlineStr">
        <is>
          <t>2023Q4</t>
        </is>
      </c>
      <c r="F5914" s="2" t="n">
        <v>10471</v>
      </c>
      <c r="G5914" t="inlineStr"/>
      <c r="H5914" t="inlineStr"/>
      <c r="I5914" s="2" t="n">
        <v>1746</v>
      </c>
      <c r="J5914" t="inlineStr"/>
      <c r="K5914" t="inlineStr"/>
      <c r="L5914" s="2" t="n">
        <v>1729</v>
      </c>
      <c r="M5914" t="inlineStr"/>
      <c r="N5914" t="inlineStr">
        <is>
          <t>20240130900572</t>
        </is>
      </c>
      <c r="O5914">
        <f>HYPERLINK("https://dart.fss.or.kr/dsaf001/main.do?rcpNo=20240130900572", "공시열람")</f>
        <v/>
      </c>
    </row>
    <row r="5915">
      <c r="A5915" t="inlineStr">
        <is>
          <t>2024-01-29</t>
        </is>
      </c>
      <c r="B5915" t="inlineStr">
        <is>
          <t>롯데에너지머티리얼즈</t>
        </is>
      </c>
      <c r="C5915" t="inlineStr">
        <is>
          <t>020150</t>
        </is>
      </c>
      <c r="D5915" t="inlineStr">
        <is>
          <t>연결</t>
        </is>
      </c>
      <c r="E5915" t="inlineStr">
        <is>
          <t>2023Q4</t>
        </is>
      </c>
      <c r="F5915" s="2" t="n">
        <v>229500</v>
      </c>
      <c r="G5915" t="n">
        <v>5.5</v>
      </c>
      <c r="H5915" t="n">
        <v>34.1</v>
      </c>
      <c r="I5915" s="2" t="n">
        <v>1300</v>
      </c>
      <c r="J5915" t="n">
        <v>-56.6</v>
      </c>
      <c r="K5915" t="n">
        <v>-91.3</v>
      </c>
      <c r="L5915" s="2" t="n">
        <v>-5800</v>
      </c>
      <c r="M5915" t="inlineStr"/>
      <c r="N5915" t="inlineStr">
        <is>
          <t>20240129800730</t>
        </is>
      </c>
      <c r="O5915">
        <f>HYPERLINK("https://dart.fss.or.kr/dsaf001/main.do?rcpNo=20240129800730", "공시열람")</f>
        <v/>
      </c>
    </row>
    <row r="5916">
      <c r="A5916" t="inlineStr">
        <is>
          <t>2024-01-29</t>
        </is>
      </c>
      <c r="B5916" t="inlineStr">
        <is>
          <t>효성티앤씨</t>
        </is>
      </c>
      <c r="C5916" t="inlineStr">
        <is>
          <t>298020</t>
        </is>
      </c>
      <c r="D5916" t="inlineStr">
        <is>
          <t>연결</t>
        </is>
      </c>
      <c r="E5916" t="inlineStr">
        <is>
          <t>2023Q4</t>
        </is>
      </c>
      <c r="F5916" s="2" t="n">
        <v>1766968</v>
      </c>
      <c r="G5916" t="n">
        <v>-10.3</v>
      </c>
      <c r="H5916" t="n">
        <v>-2.4</v>
      </c>
      <c r="I5916" s="2" t="n">
        <v>28985</v>
      </c>
      <c r="J5916" t="n">
        <v>-42.7</v>
      </c>
      <c r="K5916" t="inlineStr"/>
      <c r="L5916" s="2" t="n">
        <v>35474</v>
      </c>
      <c r="M5916" t="inlineStr"/>
      <c r="N5916" t="inlineStr">
        <is>
          <t>20240129801084</t>
        </is>
      </c>
      <c r="O5916">
        <f>HYPERLINK("https://dart.fss.or.kr/dsaf001/main.do?rcpNo=20240129801084", "공시열람")</f>
        <v/>
      </c>
    </row>
    <row r="5917">
      <c r="A5917" t="inlineStr">
        <is>
          <t>2024-01-29</t>
        </is>
      </c>
      <c r="B5917" t="inlineStr">
        <is>
          <t>효성중공업</t>
        </is>
      </c>
      <c r="C5917" t="inlineStr">
        <is>
          <t>298040</t>
        </is>
      </c>
      <c r="D5917" t="inlineStr">
        <is>
          <t>연결</t>
        </is>
      </c>
      <c r="E5917" t="inlineStr">
        <is>
          <t>2023Q4</t>
        </is>
      </c>
      <c r="F5917" s="2" t="n">
        <v>1292011</v>
      </c>
      <c r="G5917" t="n">
        <v>24.3</v>
      </c>
      <c r="H5917" t="n">
        <v>7.89</v>
      </c>
      <c r="I5917" s="2" t="n">
        <v>63444</v>
      </c>
      <c r="J5917" t="n">
        <v>-32.9</v>
      </c>
      <c r="K5917" t="n">
        <v>27.34</v>
      </c>
      <c r="L5917" s="2" t="n">
        <v>28881</v>
      </c>
      <c r="M5917" t="n">
        <v>1891.79</v>
      </c>
      <c r="N5917" t="inlineStr">
        <is>
          <t>20240129801030</t>
        </is>
      </c>
      <c r="O5917">
        <f>HYPERLINK("https://dart.fss.or.kr/dsaf001/main.do?rcpNo=20240129801030", "공시열람")</f>
        <v/>
      </c>
    </row>
    <row r="5918">
      <c r="A5918" t="inlineStr">
        <is>
          <t>2024-01-29</t>
        </is>
      </c>
      <c r="B5918" t="inlineStr">
        <is>
          <t>HS효성첨단소재</t>
        </is>
      </c>
      <c r="C5918" t="inlineStr">
        <is>
          <t>298050</t>
        </is>
      </c>
      <c r="D5918" t="inlineStr">
        <is>
          <t>연결</t>
        </is>
      </c>
      <c r="E5918" t="inlineStr">
        <is>
          <t>2023Q4</t>
        </is>
      </c>
      <c r="F5918" s="2" t="n">
        <v>768155</v>
      </c>
      <c r="G5918" t="n">
        <v>-1.94</v>
      </c>
      <c r="H5918" t="n">
        <v>-8.32</v>
      </c>
      <c r="I5918" s="2" t="n">
        <v>20760</v>
      </c>
      <c r="J5918" t="n">
        <v>-41.77</v>
      </c>
      <c r="K5918" t="n">
        <v>-58.31</v>
      </c>
      <c r="L5918" s="2" t="n">
        <v>-9398</v>
      </c>
      <c r="M5918" t="inlineStr"/>
      <c r="N5918" t="inlineStr">
        <is>
          <t>20240129800997</t>
        </is>
      </c>
      <c r="O5918">
        <f>HYPERLINK("https://dart.fss.or.kr/dsaf001/main.do?rcpNo=20240129800997", "공시열람")</f>
        <v/>
      </c>
    </row>
    <row r="5919">
      <c r="A5919" t="inlineStr">
        <is>
          <t>2024-01-29</t>
        </is>
      </c>
      <c r="B5919" t="inlineStr">
        <is>
          <t>효성</t>
        </is>
      </c>
      <c r="C5919" t="inlineStr">
        <is>
          <t>004800</t>
        </is>
      </c>
      <c r="D5919" t="inlineStr">
        <is>
          <t>연결</t>
        </is>
      </c>
      <c r="E5919" t="inlineStr">
        <is>
          <t>2023Q4</t>
        </is>
      </c>
      <c r="F5919" s="2" t="n">
        <v>924765</v>
      </c>
      <c r="G5919" t="n">
        <v>14.9</v>
      </c>
      <c r="H5919" t="n">
        <v>-8.9</v>
      </c>
      <c r="I5919" s="2" t="n">
        <v>19504</v>
      </c>
      <c r="J5919" t="n">
        <v>-56</v>
      </c>
      <c r="K5919" t="inlineStr"/>
      <c r="L5919" s="2" t="n">
        <v>-8865</v>
      </c>
      <c r="M5919" t="n">
        <v>65.5</v>
      </c>
      <c r="N5919" t="inlineStr">
        <is>
          <t>20240129800982</t>
        </is>
      </c>
      <c r="O5919">
        <f>HYPERLINK("https://dart.fss.or.kr/dsaf001/main.do?rcpNo=20240129800982", "공시열람")</f>
        <v/>
      </c>
    </row>
    <row r="5920">
      <c r="A5920" t="inlineStr">
        <is>
          <t>2024-01-29</t>
        </is>
      </c>
      <c r="B5920" t="inlineStr">
        <is>
          <t>옵티시스</t>
        </is>
      </c>
      <c r="C5920" t="inlineStr">
        <is>
          <t>109080</t>
        </is>
      </c>
      <c r="D5920" t="inlineStr">
        <is>
          <t>별도</t>
        </is>
      </c>
      <c r="E5920" t="inlineStr">
        <is>
          <t>2023Q4</t>
        </is>
      </c>
      <c r="F5920" s="2" t="n">
        <v>6699</v>
      </c>
      <c r="G5920" t="inlineStr"/>
      <c r="H5920" t="inlineStr"/>
      <c r="I5920" s="2" t="n">
        <v>498</v>
      </c>
      <c r="J5920" t="inlineStr"/>
      <c r="K5920" t="inlineStr"/>
      <c r="L5920" s="2" t="n">
        <v>1102</v>
      </c>
      <c r="M5920" t="inlineStr"/>
      <c r="N5920" t="inlineStr">
        <is>
          <t>20240129900959</t>
        </is>
      </c>
      <c r="O5920">
        <f>HYPERLINK("https://dart.fss.or.kr/dsaf001/main.do?rcpNo=20240129900959", "공시열람")</f>
        <v/>
      </c>
    </row>
    <row r="5921">
      <c r="A5921" t="inlineStr">
        <is>
          <t>2024-01-29</t>
        </is>
      </c>
      <c r="B5921" t="inlineStr">
        <is>
          <t>효성화학</t>
        </is>
      </c>
      <c r="C5921" t="inlineStr">
        <is>
          <t>298000</t>
        </is>
      </c>
      <c r="D5921" t="inlineStr">
        <is>
          <t>연결</t>
        </is>
      </c>
      <c r="E5921" t="inlineStr">
        <is>
          <t>2023Q4</t>
        </is>
      </c>
      <c r="F5921" s="2" t="n">
        <v>686533</v>
      </c>
      <c r="G5921" t="n">
        <v>-3.54</v>
      </c>
      <c r="H5921" t="n">
        <v>0.65</v>
      </c>
      <c r="I5921" s="2" t="n">
        <v>-37464</v>
      </c>
      <c r="J5921" t="n">
        <v>-1221.48</v>
      </c>
      <c r="K5921" t="n">
        <v>60.86</v>
      </c>
      <c r="L5921" s="2" t="n">
        <v>-74110</v>
      </c>
      <c r="M5921" t="n">
        <v>38.13</v>
      </c>
      <c r="N5921" t="inlineStr">
        <is>
          <t>20240129800866</t>
        </is>
      </c>
      <c r="O5921">
        <f>HYPERLINK("https://dart.fss.or.kr/dsaf001/main.do?rcpNo=20240129800866", "공시열람")</f>
        <v/>
      </c>
    </row>
    <row r="5922">
      <c r="A5922" t="inlineStr">
        <is>
          <t>2024-01-29</t>
        </is>
      </c>
      <c r="B5922" t="inlineStr">
        <is>
          <t>국도화학</t>
        </is>
      </c>
      <c r="C5922" t="inlineStr">
        <is>
          <t>007690</t>
        </is>
      </c>
      <c r="D5922" t="inlineStr">
        <is>
          <t>연결</t>
        </is>
      </c>
      <c r="E5922" t="inlineStr">
        <is>
          <t>2023Q4</t>
        </is>
      </c>
      <c r="F5922" s="2" t="n">
        <v>305801</v>
      </c>
      <c r="G5922" t="n">
        <v>-3.1</v>
      </c>
      <c r="H5922" t="n">
        <v>14.3</v>
      </c>
      <c r="I5922" s="2" t="n">
        <v>-797</v>
      </c>
      <c r="J5922" t="n">
        <v>64.5</v>
      </c>
      <c r="K5922" t="inlineStr"/>
      <c r="L5922" s="2" t="n">
        <v>-4212</v>
      </c>
      <c r="M5922" t="n">
        <v>65.59999999999999</v>
      </c>
      <c r="N5922" t="inlineStr">
        <is>
          <t>20240129800814</t>
        </is>
      </c>
      <c r="O5922">
        <f>HYPERLINK("https://dart.fss.or.kr/dsaf001/main.do?rcpNo=20240129800814", "공시열람")</f>
        <v/>
      </c>
    </row>
    <row r="5923">
      <c r="A5923" t="inlineStr">
        <is>
          <t>2024-01-29</t>
        </is>
      </c>
      <c r="B5923" t="inlineStr">
        <is>
          <t>에스케이바이오팜</t>
        </is>
      </c>
      <c r="C5923" t="inlineStr">
        <is>
          <t>326030</t>
        </is>
      </c>
      <c r="D5923" t="inlineStr">
        <is>
          <t>연결</t>
        </is>
      </c>
      <c r="E5923" t="inlineStr">
        <is>
          <t>2023Q4</t>
        </is>
      </c>
      <c r="F5923" s="2" t="n">
        <v>126756</v>
      </c>
      <c r="G5923" t="n">
        <v>40.3</v>
      </c>
      <c r="H5923" t="n">
        <v>101.9</v>
      </c>
      <c r="I5923" s="2" t="n">
        <v>15214</v>
      </c>
      <c r="J5923" t="inlineStr"/>
      <c r="K5923" t="inlineStr"/>
      <c r="L5923" s="2" t="n">
        <v>7810</v>
      </c>
      <c r="M5923" t="inlineStr"/>
      <c r="N5923" t="inlineStr">
        <is>
          <t>20240129800262</t>
        </is>
      </c>
      <c r="O5923">
        <f>HYPERLINK("https://dart.fss.or.kr/dsaf001/main.do?rcpNo=20240129800262", "공시열람")</f>
        <v/>
      </c>
    </row>
    <row r="5924">
      <c r="A5924" t="inlineStr">
        <is>
          <t>2024-01-29</t>
        </is>
      </c>
      <c r="B5924" t="inlineStr">
        <is>
          <t>메디아나</t>
        </is>
      </c>
      <c r="C5924" t="inlineStr">
        <is>
          <t>041920</t>
        </is>
      </c>
      <c r="D5924" t="inlineStr">
        <is>
          <t>연결</t>
        </is>
      </c>
      <c r="E5924" t="inlineStr">
        <is>
          <t>2023Q4</t>
        </is>
      </c>
      <c r="F5924" s="2" t="n">
        <v>16617</v>
      </c>
      <c r="G5924" t="inlineStr"/>
      <c r="H5924" t="inlineStr"/>
      <c r="I5924" s="2" t="n">
        <v>1023</v>
      </c>
      <c r="J5924" t="inlineStr"/>
      <c r="K5924" t="inlineStr"/>
      <c r="L5924" s="2" t="n">
        <v>-679</v>
      </c>
      <c r="M5924" t="inlineStr"/>
      <c r="N5924" t="inlineStr">
        <is>
          <t>20240129900165</t>
        </is>
      </c>
      <c r="O5924">
        <f>HYPERLINK("https://dart.fss.or.kr/dsaf001/main.do?rcpNo=20240129900165", "공시열람")</f>
        <v/>
      </c>
    </row>
    <row r="5925">
      <c r="A5925" t="inlineStr">
        <is>
          <t>2024-01-29</t>
        </is>
      </c>
      <c r="B5925" t="inlineStr">
        <is>
          <t>브리지텍</t>
        </is>
      </c>
      <c r="C5925" t="inlineStr">
        <is>
          <t>064480</t>
        </is>
      </c>
      <c r="D5925" t="inlineStr">
        <is>
          <t>별도</t>
        </is>
      </c>
      <c r="E5925" t="inlineStr">
        <is>
          <t>2023Q4</t>
        </is>
      </c>
      <c r="F5925" s="2" t="n">
        <v>53544</v>
      </c>
      <c r="G5925" t="inlineStr"/>
      <c r="H5925" t="inlineStr"/>
      <c r="I5925" s="2" t="n">
        <v>4163</v>
      </c>
      <c r="J5925" t="inlineStr"/>
      <c r="K5925" t="inlineStr"/>
      <c r="L5925" s="2" t="n">
        <v>3574</v>
      </c>
      <c r="M5925" t="inlineStr"/>
      <c r="N5925" t="inlineStr">
        <is>
          <t>20240129900670</t>
        </is>
      </c>
      <c r="O5925">
        <f>HYPERLINK("https://dart.fss.or.kr/dsaf001/main.do?rcpNo=20240129900670", "공시열람")</f>
        <v/>
      </c>
    </row>
    <row r="5926">
      <c r="A5926" t="inlineStr">
        <is>
          <t>2024-01-29</t>
        </is>
      </c>
      <c r="B5926" t="inlineStr">
        <is>
          <t>엠로</t>
        </is>
      </c>
      <c r="C5926" t="inlineStr">
        <is>
          <t>058970</t>
        </is>
      </c>
      <c r="D5926" t="inlineStr">
        <is>
          <t>별도</t>
        </is>
      </c>
      <c r="E5926" t="inlineStr">
        <is>
          <t>2023Q4</t>
        </is>
      </c>
      <c r="F5926" s="2" t="n">
        <v>16389</v>
      </c>
      <c r="G5926" t="inlineStr"/>
      <c r="H5926" t="inlineStr"/>
      <c r="I5926" s="2" t="n">
        <v>1012</v>
      </c>
      <c r="J5926" t="inlineStr"/>
      <c r="K5926" t="inlineStr"/>
      <c r="L5926" s="2" t="n">
        <v>-5064</v>
      </c>
      <c r="M5926" t="inlineStr"/>
      <c r="N5926" t="inlineStr">
        <is>
          <t>20240129900641</t>
        </is>
      </c>
      <c r="O5926">
        <f>HYPERLINK("https://dart.fss.or.kr/dsaf001/main.do?rcpNo=20240129900641", "공시열람")</f>
        <v/>
      </c>
    </row>
    <row r="5927">
      <c r="A5927" t="inlineStr">
        <is>
          <t>2024-01-29</t>
        </is>
      </c>
      <c r="B5927" t="inlineStr">
        <is>
          <t>엠로</t>
        </is>
      </c>
      <c r="C5927" t="inlineStr">
        <is>
          <t>058970</t>
        </is>
      </c>
      <c r="D5927" t="inlineStr">
        <is>
          <t>연결</t>
        </is>
      </c>
      <c r="E5927" t="inlineStr">
        <is>
          <t>2023Q4</t>
        </is>
      </c>
      <c r="F5927" s="2" t="n">
        <v>17403</v>
      </c>
      <c r="G5927" t="inlineStr"/>
      <c r="H5927" t="inlineStr"/>
      <c r="I5927" s="2" t="n">
        <v>1098</v>
      </c>
      <c r="J5927" t="inlineStr"/>
      <c r="K5927" t="inlineStr"/>
      <c r="L5927" s="2" t="n">
        <v>-4972</v>
      </c>
      <c r="M5927" t="inlineStr"/>
      <c r="N5927" t="inlineStr">
        <is>
          <t>20240129900638</t>
        </is>
      </c>
      <c r="O5927">
        <f>HYPERLINK("https://dart.fss.or.kr/dsaf001/main.do?rcpNo=20240129900638", "공시열람")</f>
        <v/>
      </c>
    </row>
    <row r="5928">
      <c r="A5928" t="inlineStr">
        <is>
          <t>2024-01-29</t>
        </is>
      </c>
      <c r="B5928" t="inlineStr">
        <is>
          <t>금호석유화학</t>
        </is>
      </c>
      <c r="C5928" t="inlineStr">
        <is>
          <t>011780</t>
        </is>
      </c>
      <c r="D5928" t="inlineStr">
        <is>
          <t>연결</t>
        </is>
      </c>
      <c r="E5928" t="inlineStr">
        <is>
          <t>2023Q4</t>
        </is>
      </c>
      <c r="F5928" s="2" t="n">
        <v>1515916</v>
      </c>
      <c r="G5928" t="n">
        <v>0.6</v>
      </c>
      <c r="H5928" t="n">
        <v>-7.9</v>
      </c>
      <c r="I5928" s="2" t="n">
        <v>36696</v>
      </c>
      <c r="J5928" t="n">
        <v>-56.4</v>
      </c>
      <c r="K5928" t="n">
        <v>-67.8</v>
      </c>
      <c r="L5928" s="2" t="n">
        <v>82482</v>
      </c>
      <c r="M5928" t="n">
        <v>-44.7</v>
      </c>
      <c r="N5928" t="inlineStr">
        <is>
          <t>20240129800535</t>
        </is>
      </c>
      <c r="O5928">
        <f>HYPERLINK("https://dart.fss.or.kr/dsaf001/main.do?rcpNo=20240129800535", "공시열람")</f>
        <v/>
      </c>
    </row>
    <row r="5929">
      <c r="A5929" t="inlineStr">
        <is>
          <t>2024-01-29</t>
        </is>
      </c>
      <c r="B5929" t="inlineStr">
        <is>
          <t>롯데이노베이트</t>
        </is>
      </c>
      <c r="C5929" t="inlineStr">
        <is>
          <t>286940</t>
        </is>
      </c>
      <c r="D5929" t="inlineStr">
        <is>
          <t>연결</t>
        </is>
      </c>
      <c r="E5929" t="inlineStr">
        <is>
          <t>2023Q4</t>
        </is>
      </c>
      <c r="F5929" s="2" t="n">
        <v>346369</v>
      </c>
      <c r="G5929" t="n">
        <v>17.4</v>
      </c>
      <c r="H5929" t="n">
        <v>8.800000000000001</v>
      </c>
      <c r="I5929" s="2" t="n">
        <v>18038</v>
      </c>
      <c r="J5929" t="n">
        <v>12</v>
      </c>
      <c r="K5929" t="n">
        <v>14.7</v>
      </c>
      <c r="L5929" s="2" t="n">
        <v>13290</v>
      </c>
      <c r="M5929" t="n">
        <v>-25.6</v>
      </c>
      <c r="N5929" t="inlineStr">
        <is>
          <t>20240129800272</t>
        </is>
      </c>
      <c r="O5929">
        <f>HYPERLINK("https://dart.fss.or.kr/dsaf001/main.do?rcpNo=20240129800272", "공시열람")</f>
        <v/>
      </c>
    </row>
    <row r="5930">
      <c r="A5930" t="inlineStr">
        <is>
          <t>2024-01-29</t>
        </is>
      </c>
      <c r="B5930" t="inlineStr">
        <is>
          <t>더블유씨피</t>
        </is>
      </c>
      <c r="C5930" t="inlineStr">
        <is>
          <t>393890</t>
        </is>
      </c>
      <c r="D5930" t="inlineStr">
        <is>
          <t>연결</t>
        </is>
      </c>
      <c r="E5930" t="inlineStr">
        <is>
          <t>2023Q4</t>
        </is>
      </c>
      <c r="F5930" s="2" t="n">
        <v>92222</v>
      </c>
      <c r="G5930" t="inlineStr"/>
      <c r="H5930" t="inlineStr"/>
      <c r="I5930" s="2" t="n">
        <v>3940</v>
      </c>
      <c r="J5930" t="inlineStr"/>
      <c r="K5930" t="inlineStr"/>
      <c r="L5930" s="2" t="n">
        <v>3489</v>
      </c>
      <c r="M5930" t="inlineStr"/>
      <c r="N5930" t="inlineStr">
        <is>
          <t>20240129900128</t>
        </is>
      </c>
      <c r="O5930">
        <f>HYPERLINK("https://dart.fss.or.kr/dsaf001/main.do?rcpNo=20240129900128", "공시열람")</f>
        <v/>
      </c>
    </row>
    <row r="5931">
      <c r="A5931" t="inlineStr">
        <is>
          <t>2024-01-29</t>
        </is>
      </c>
      <c r="B5931" t="inlineStr">
        <is>
          <t>보령</t>
        </is>
      </c>
      <c r="C5931" t="inlineStr">
        <is>
          <t>003850</t>
        </is>
      </c>
      <c r="D5931" t="inlineStr">
        <is>
          <t>연결</t>
        </is>
      </c>
      <c r="E5931" t="inlineStr">
        <is>
          <t>2023Q4</t>
        </is>
      </c>
      <c r="F5931" s="2" t="n">
        <v>231237</v>
      </c>
      <c r="G5931" t="n">
        <v>11</v>
      </c>
      <c r="H5931" t="n">
        <v>14.78</v>
      </c>
      <c r="I5931" s="2" t="n">
        <v>14775</v>
      </c>
      <c r="J5931" t="n">
        <v>-19.95</v>
      </c>
      <c r="K5931" t="n">
        <v>60.91</v>
      </c>
      <c r="L5931" s="2" t="n">
        <v>5737</v>
      </c>
      <c r="M5931" t="inlineStr"/>
      <c r="N5931" t="inlineStr">
        <is>
          <t>20240129800725</t>
        </is>
      </c>
      <c r="O5931">
        <f>HYPERLINK("https://dart.fss.or.kr/dsaf001/main.do?rcpNo=20240129800725", "공시열람")</f>
        <v/>
      </c>
    </row>
    <row r="5932">
      <c r="A5932" t="inlineStr">
        <is>
          <t>2024-01-26</t>
        </is>
      </c>
      <c r="B5932" t="inlineStr">
        <is>
          <t>LG에너지솔루션</t>
        </is>
      </c>
      <c r="C5932" t="inlineStr">
        <is>
          <t>373220</t>
        </is>
      </c>
      <c r="D5932" t="inlineStr">
        <is>
          <t>연결</t>
        </is>
      </c>
      <c r="E5932" t="inlineStr">
        <is>
          <t>2023Q4</t>
        </is>
      </c>
      <c r="F5932" s="2" t="n">
        <v>8001400</v>
      </c>
      <c r="G5932" t="n">
        <v>-2.7</v>
      </c>
      <c r="H5932" t="n">
        <v>-6.3</v>
      </c>
      <c r="I5932" s="2" t="n">
        <v>338200</v>
      </c>
      <c r="J5932" t="n">
        <v>-53.7</v>
      </c>
      <c r="K5932" t="n">
        <v>42.5</v>
      </c>
      <c r="L5932" s="2" t="n">
        <v>190300</v>
      </c>
      <c r="M5932" t="n">
        <v>-31</v>
      </c>
      <c r="N5932" t="inlineStr">
        <is>
          <t>20240126800047</t>
        </is>
      </c>
      <c r="O5932">
        <f>HYPERLINK("https://dart.fss.or.kr/dsaf001/main.do?rcpNo=20240126800047", "공시열람")</f>
        <v/>
      </c>
    </row>
    <row r="5933">
      <c r="A5933" t="inlineStr">
        <is>
          <t>2024-01-26</t>
        </is>
      </c>
      <c r="B5933" t="inlineStr">
        <is>
          <t>송원산업</t>
        </is>
      </c>
      <c r="C5933" t="inlineStr">
        <is>
          <t>004430</t>
        </is>
      </c>
      <c r="D5933" t="inlineStr">
        <is>
          <t>연결</t>
        </is>
      </c>
      <c r="E5933" t="inlineStr">
        <is>
          <t>2023Q4</t>
        </is>
      </c>
      <c r="F5933" s="2" t="n">
        <v>245709</v>
      </c>
      <c r="G5933" t="inlineStr"/>
      <c r="H5933" t="inlineStr"/>
      <c r="I5933" s="2" t="n">
        <v>3547</v>
      </c>
      <c r="J5933" t="inlineStr"/>
      <c r="K5933" t="inlineStr"/>
      <c r="L5933" s="2" t="n">
        <v>2893</v>
      </c>
      <c r="M5933" t="inlineStr"/>
      <c r="N5933" t="inlineStr">
        <is>
          <t>20240126800219</t>
        </is>
      </c>
      <c r="O5933">
        <f>HYPERLINK("https://dart.fss.or.kr/dsaf001/main.do?rcpNo=20240126800219", "공시열람")</f>
        <v/>
      </c>
    </row>
    <row r="5934">
      <c r="A5934" t="inlineStr">
        <is>
          <t>2024-01-26</t>
        </is>
      </c>
      <c r="B5934" t="inlineStr">
        <is>
          <t>크래프톤</t>
        </is>
      </c>
      <c r="C5934" t="inlineStr">
        <is>
          <t>259960</t>
        </is>
      </c>
      <c r="D5934" t="inlineStr">
        <is>
          <t>연결</t>
        </is>
      </c>
      <c r="E5934" t="inlineStr">
        <is>
          <t>2023Q4</t>
        </is>
      </c>
      <c r="F5934" s="2" t="n">
        <v>534600</v>
      </c>
      <c r="G5934" t="n">
        <v>18.7</v>
      </c>
      <c r="H5934" t="n">
        <v>12.8</v>
      </c>
      <c r="I5934" s="2" t="n">
        <v>164300</v>
      </c>
      <c r="J5934" t="n">
        <v>-13.2</v>
      </c>
      <c r="K5934" t="n">
        <v>30.3</v>
      </c>
      <c r="L5934" s="2" t="n">
        <v>-13200</v>
      </c>
      <c r="M5934" t="n">
        <v>92</v>
      </c>
      <c r="N5934" t="inlineStr">
        <is>
          <t>20240126800653</t>
        </is>
      </c>
      <c r="O5934">
        <f>HYPERLINK("https://dart.fss.or.kr/dsaf001/main.do?rcpNo=20240126800653", "공시열람")</f>
        <v/>
      </c>
    </row>
    <row r="5935">
      <c r="A5935" t="inlineStr">
        <is>
          <t>2024-01-26</t>
        </is>
      </c>
      <c r="B5935" t="inlineStr">
        <is>
          <t>현대모비스</t>
        </is>
      </c>
      <c r="C5935" t="inlineStr">
        <is>
          <t>012330</t>
        </is>
      </c>
      <c r="D5935" t="inlineStr">
        <is>
          <t>연결</t>
        </is>
      </c>
      <c r="E5935" t="inlineStr">
        <is>
          <t>2023Q4</t>
        </is>
      </c>
      <c r="F5935" s="2" t="n">
        <v>14672199</v>
      </c>
      <c r="G5935" t="inlineStr"/>
      <c r="H5935" t="inlineStr"/>
      <c r="I5935" s="2" t="n">
        <v>523216</v>
      </c>
      <c r="J5935" t="inlineStr"/>
      <c r="K5935" t="inlineStr"/>
      <c r="L5935" s="2" t="n">
        <v>651386</v>
      </c>
      <c r="M5935" t="inlineStr"/>
      <c r="N5935" t="inlineStr">
        <is>
          <t>20240126800084</t>
        </is>
      </c>
      <c r="O5935">
        <f>HYPERLINK("https://dart.fss.or.kr/dsaf001/main.do?rcpNo=20240126800084", "공시열람")</f>
        <v/>
      </c>
    </row>
    <row r="5936">
      <c r="A5936" t="inlineStr">
        <is>
          <t>2024-01-26</t>
        </is>
      </c>
      <c r="B5936" t="inlineStr">
        <is>
          <t>현대오토에버</t>
        </is>
      </c>
      <c r="C5936" t="inlineStr">
        <is>
          <t>307950</t>
        </is>
      </c>
      <c r="D5936" t="inlineStr">
        <is>
          <t>연결</t>
        </is>
      </c>
      <c r="E5936" t="inlineStr">
        <is>
          <t>2023Q4</t>
        </is>
      </c>
      <c r="F5936" s="2" t="n">
        <v>899369</v>
      </c>
      <c r="G5936" t="n">
        <v>20.59</v>
      </c>
      <c r="H5936" t="n">
        <v>7.81</v>
      </c>
      <c r="I5936" s="2" t="n">
        <v>52864</v>
      </c>
      <c r="J5936" t="n">
        <v>16.83</v>
      </c>
      <c r="K5936" t="n">
        <v>-8.81</v>
      </c>
      <c r="L5936" s="2" t="n">
        <v>33088</v>
      </c>
      <c r="M5936" t="n">
        <v>-25.16</v>
      </c>
      <c r="N5936" t="inlineStr">
        <is>
          <t>20240126800281</t>
        </is>
      </c>
      <c r="O5936">
        <f>HYPERLINK("https://dart.fss.or.kr/dsaf001/main.do?rcpNo=20240126800281", "공시열람")</f>
        <v/>
      </c>
    </row>
    <row r="5937">
      <c r="A5937" t="inlineStr">
        <is>
          <t>2024-01-26</t>
        </is>
      </c>
      <c r="B5937" t="inlineStr">
        <is>
          <t>애경산업</t>
        </is>
      </c>
      <c r="C5937" t="inlineStr">
        <is>
          <t>018250</t>
        </is>
      </c>
      <c r="D5937" t="inlineStr">
        <is>
          <t>연결</t>
        </is>
      </c>
      <c r="E5937" t="inlineStr">
        <is>
          <t>2023Q4</t>
        </is>
      </c>
      <c r="F5937" s="2" t="n">
        <v>175767</v>
      </c>
      <c r="G5937" t="n">
        <v>1.1</v>
      </c>
      <c r="H5937" t="n">
        <v>5.2</v>
      </c>
      <c r="I5937" s="2" t="n">
        <v>11609</v>
      </c>
      <c r="J5937" t="n">
        <v>-36.8</v>
      </c>
      <c r="K5937" t="n">
        <v>-1.5</v>
      </c>
      <c r="L5937" s="2" t="n">
        <v>6288</v>
      </c>
      <c r="M5937" t="inlineStr"/>
      <c r="N5937" t="inlineStr">
        <is>
          <t>20240126800353</t>
        </is>
      </c>
      <c r="O5937">
        <f>HYPERLINK("https://dart.fss.or.kr/dsaf001/main.do?rcpNo=20240126800353", "공시열람")</f>
        <v/>
      </c>
    </row>
    <row r="5938">
      <c r="A5938" t="inlineStr">
        <is>
          <t>2024-01-26</t>
        </is>
      </c>
      <c r="B5938" t="inlineStr">
        <is>
          <t>다올투자증권</t>
        </is>
      </c>
      <c r="C5938" t="inlineStr">
        <is>
          <t>030210</t>
        </is>
      </c>
      <c r="D5938" t="inlineStr">
        <is>
          <t>연결</t>
        </is>
      </c>
      <c r="E5938" t="inlineStr">
        <is>
          <t>2023Q4</t>
        </is>
      </c>
      <c r="F5938" s="2" t="n">
        <v>382734</v>
      </c>
      <c r="G5938" t="n">
        <v>29.79</v>
      </c>
      <c r="H5938" t="n">
        <v>24.31</v>
      </c>
      <c r="I5938" s="2" t="n">
        <v>6052</v>
      </c>
      <c r="J5938" t="inlineStr"/>
      <c r="K5938" t="inlineStr"/>
      <c r="L5938" s="2" t="n">
        <v>4135</v>
      </c>
      <c r="M5938" t="inlineStr"/>
      <c r="N5938" t="inlineStr">
        <is>
          <t>20240126800398</t>
        </is>
      </c>
      <c r="O5938">
        <f>HYPERLINK("https://dart.fss.or.kr/dsaf001/main.do?rcpNo=20240126800398", "공시열람")</f>
        <v/>
      </c>
    </row>
    <row r="5939">
      <c r="A5939" t="inlineStr">
        <is>
          <t>2024-01-26</t>
        </is>
      </c>
      <c r="B5939" t="inlineStr">
        <is>
          <t>호텔신라</t>
        </is>
      </c>
      <c r="C5939" t="inlineStr">
        <is>
          <t>008770</t>
        </is>
      </c>
      <c r="D5939" t="inlineStr">
        <is>
          <t>연결</t>
        </is>
      </c>
      <c r="E5939" t="inlineStr">
        <is>
          <t>2023Q4</t>
        </is>
      </c>
      <c r="F5939" s="2" t="n">
        <v>937620</v>
      </c>
      <c r="G5939" t="n">
        <v>-7.3</v>
      </c>
      <c r="H5939" t="n">
        <v>-27.9</v>
      </c>
      <c r="I5939" s="2" t="n">
        <v>-18261</v>
      </c>
      <c r="J5939" t="inlineStr"/>
      <c r="K5939" t="n">
        <v>-174.3</v>
      </c>
      <c r="L5939" s="2" t="n">
        <v>-36315</v>
      </c>
      <c r="M5939" t="n">
        <v>55.2</v>
      </c>
      <c r="N5939" t="inlineStr">
        <is>
          <t>20240126800643</t>
        </is>
      </c>
      <c r="O5939">
        <f>HYPERLINK("https://dart.fss.or.kr/dsaf001/main.do?rcpNo=20240126800643", "공시열람")</f>
        <v/>
      </c>
    </row>
    <row r="5940">
      <c r="A5940" t="inlineStr">
        <is>
          <t>2024-01-26</t>
        </is>
      </c>
      <c r="B5940" t="inlineStr">
        <is>
          <t>GS글로벌</t>
        </is>
      </c>
      <c r="C5940" t="inlineStr">
        <is>
          <t>001250</t>
        </is>
      </c>
      <c r="D5940" t="inlineStr">
        <is>
          <t>연결</t>
        </is>
      </c>
      <c r="E5940" t="inlineStr">
        <is>
          <t>2023Q4</t>
        </is>
      </c>
      <c r="F5940" s="2" t="n">
        <v>985763</v>
      </c>
      <c r="G5940" t="n">
        <v>7.4</v>
      </c>
      <c r="H5940" t="n">
        <v>-15.5</v>
      </c>
      <c r="I5940" s="2" t="n">
        <v>13167</v>
      </c>
      <c r="J5940" t="n">
        <v>-42.3</v>
      </c>
      <c r="K5940" t="n">
        <v>-10.3</v>
      </c>
      <c r="L5940" s="2" t="n">
        <v>-2249</v>
      </c>
      <c r="M5940" t="inlineStr"/>
      <c r="N5940" t="inlineStr">
        <is>
          <t>20240126800419</t>
        </is>
      </c>
      <c r="O5940">
        <f>HYPERLINK("https://dart.fss.or.kr/dsaf001/main.do?rcpNo=20240126800419", "공시열람")</f>
        <v/>
      </c>
    </row>
    <row r="5941">
      <c r="A5941" t="inlineStr">
        <is>
          <t>2024-01-26</t>
        </is>
      </c>
      <c r="B5941" t="inlineStr">
        <is>
          <t>엘앤에프</t>
        </is>
      </c>
      <c r="C5941" t="inlineStr">
        <is>
          <t>066970</t>
        </is>
      </c>
      <c r="D5941" t="inlineStr">
        <is>
          <t>연결</t>
        </is>
      </c>
      <c r="E5941" t="inlineStr">
        <is>
          <t>2023Q4</t>
        </is>
      </c>
      <c r="F5941" s="2" t="n">
        <v>657638</v>
      </c>
      <c r="G5941" t="inlineStr"/>
      <c r="H5941" t="inlineStr"/>
      <c r="I5941" s="2" t="n">
        <v>-280426</v>
      </c>
      <c r="J5941" t="inlineStr"/>
      <c r="K5941" t="inlineStr"/>
      <c r="L5941" s="2" t="n">
        <v>-299522</v>
      </c>
      <c r="M5941" t="inlineStr"/>
      <c r="N5941" t="inlineStr">
        <is>
          <t>20240126900642</t>
        </is>
      </c>
      <c r="O5941">
        <f>HYPERLINK("https://dart.fss.or.kr/dsaf001/main.do?rcpNo=20240126900642", "공시열람")</f>
        <v/>
      </c>
    </row>
    <row r="5942">
      <c r="A5942" t="inlineStr">
        <is>
          <t>2024-01-26</t>
        </is>
      </c>
      <c r="B5942" t="inlineStr">
        <is>
          <t>에스원</t>
        </is>
      </c>
      <c r="C5942" t="inlineStr">
        <is>
          <t>012750</t>
        </is>
      </c>
      <c r="D5942" t="inlineStr">
        <is>
          <t>연결</t>
        </is>
      </c>
      <c r="E5942" t="inlineStr">
        <is>
          <t>2023Q4</t>
        </is>
      </c>
      <c r="F5942" s="2" t="n">
        <v>694069</v>
      </c>
      <c r="G5942" t="n">
        <v>7.53</v>
      </c>
      <c r="H5942" t="n">
        <v>10.15</v>
      </c>
      <c r="I5942" s="2" t="n">
        <v>42049</v>
      </c>
      <c r="J5942" t="n">
        <v>-21.42</v>
      </c>
      <c r="K5942" t="n">
        <v>11.68</v>
      </c>
      <c r="L5942" s="2" t="n">
        <v>57903</v>
      </c>
      <c r="M5942" t="n">
        <v>105.86</v>
      </c>
      <c r="N5942" t="inlineStr">
        <is>
          <t>20240126800794</t>
        </is>
      </c>
      <c r="O5942">
        <f>HYPERLINK("https://dart.fss.or.kr/dsaf001/main.do?rcpNo=20240126800794", "공시열람")</f>
        <v/>
      </c>
    </row>
    <row r="5943">
      <c r="A5943" t="inlineStr">
        <is>
          <t>2024-01-26</t>
        </is>
      </c>
      <c r="B5943" t="inlineStr">
        <is>
          <t>경동나비엔</t>
        </is>
      </c>
      <c r="C5943" t="inlineStr">
        <is>
          <t>009450</t>
        </is>
      </c>
      <c r="D5943" t="inlineStr">
        <is>
          <t>연결</t>
        </is>
      </c>
      <c r="E5943" t="inlineStr">
        <is>
          <t>2023Q4</t>
        </is>
      </c>
      <c r="F5943" s="2" t="n">
        <v>375391</v>
      </c>
      <c r="G5943" t="n">
        <v>32.9</v>
      </c>
      <c r="H5943" t="n">
        <v>11.3</v>
      </c>
      <c r="I5943" s="2" t="n">
        <v>35159</v>
      </c>
      <c r="J5943" t="n">
        <v>59.7</v>
      </c>
      <c r="K5943" t="n">
        <v>39.1</v>
      </c>
      <c r="L5943" s="2" t="n">
        <v>22992</v>
      </c>
      <c r="M5943" t="inlineStr"/>
      <c r="N5943" t="inlineStr">
        <is>
          <t>20240126800929</t>
        </is>
      </c>
      <c r="O5943">
        <f>HYPERLINK("https://dart.fss.or.kr/dsaf001/main.do?rcpNo=20240126800929", "공시열람")</f>
        <v/>
      </c>
    </row>
    <row r="5944">
      <c r="A5944" t="inlineStr">
        <is>
          <t>2024-01-25</t>
        </is>
      </c>
      <c r="B5944" t="inlineStr">
        <is>
          <t>기아</t>
        </is>
      </c>
      <c r="C5944" t="inlineStr">
        <is>
          <t>000270</t>
        </is>
      </c>
      <c r="D5944" t="inlineStr">
        <is>
          <t>연결</t>
        </is>
      </c>
      <c r="E5944" t="inlineStr">
        <is>
          <t>2023Q4</t>
        </is>
      </c>
      <c r="F5944" s="2" t="n">
        <v>24328154</v>
      </c>
      <c r="G5944" t="n">
        <v>-4.8</v>
      </c>
      <c r="H5944" t="n">
        <v>5</v>
      </c>
      <c r="I5944" s="2" t="n">
        <v>2465762</v>
      </c>
      <c r="J5944" t="n">
        <v>-13.9</v>
      </c>
      <c r="K5944" t="n">
        <v>-6</v>
      </c>
      <c r="L5944" s="2" t="n">
        <v>1620053</v>
      </c>
      <c r="M5944" t="n">
        <v>-20.5</v>
      </c>
      <c r="N5944" t="inlineStr">
        <is>
          <t>20240125800081</t>
        </is>
      </c>
      <c r="O5944">
        <f>HYPERLINK("https://dart.fss.or.kr/dsaf001/main.do?rcpNo=20240125800081", "공시열람")</f>
        <v/>
      </c>
    </row>
    <row r="5945">
      <c r="A5945" t="inlineStr">
        <is>
          <t>2024-01-25</t>
        </is>
      </c>
      <c r="B5945" t="inlineStr">
        <is>
          <t>현대글로비스</t>
        </is>
      </c>
      <c r="C5945" t="inlineStr">
        <is>
          <t>086280</t>
        </is>
      </c>
      <c r="D5945" t="inlineStr">
        <is>
          <t>연결</t>
        </is>
      </c>
      <c r="E5945" t="inlineStr">
        <is>
          <t>2023Q4</t>
        </is>
      </c>
      <c r="F5945" s="2" t="n">
        <v>6517406</v>
      </c>
      <c r="G5945" t="n">
        <v>3</v>
      </c>
      <c r="H5945" t="n">
        <v>-4.3</v>
      </c>
      <c r="I5945" s="2" t="n">
        <v>350661</v>
      </c>
      <c r="J5945" t="n">
        <v>-8.699999999999999</v>
      </c>
      <c r="K5945" t="n">
        <v>-21.3</v>
      </c>
      <c r="L5945" s="2" t="n">
        <v>249752</v>
      </c>
      <c r="M5945" t="n">
        <v>-30.5</v>
      </c>
      <c r="N5945" t="inlineStr">
        <is>
          <t>20240125800361</t>
        </is>
      </c>
      <c r="O5945">
        <f>HYPERLINK("https://dart.fss.or.kr/dsaf001/main.do?rcpNo=20240125800361", "공시열람")</f>
        <v/>
      </c>
    </row>
    <row r="5946">
      <c r="A5946" t="inlineStr">
        <is>
          <t>2024-01-25</t>
        </is>
      </c>
      <c r="B5946" t="inlineStr">
        <is>
          <t>현대차증권</t>
        </is>
      </c>
      <c r="C5946" t="inlineStr">
        <is>
          <t>001500</t>
        </is>
      </c>
      <c r="D5946" t="inlineStr">
        <is>
          <t>연결</t>
        </is>
      </c>
      <c r="E5946" t="inlineStr">
        <is>
          <t>2023Q4</t>
        </is>
      </c>
      <c r="F5946" s="2" t="n">
        <v>730056</v>
      </c>
      <c r="G5946" t="n">
        <v>124.1</v>
      </c>
      <c r="H5946" t="n">
        <v>314.9</v>
      </c>
      <c r="I5946" s="2" t="n">
        <v>242</v>
      </c>
      <c r="J5946" t="n">
        <v>-98</v>
      </c>
      <c r="K5946" t="n">
        <v>-82.2</v>
      </c>
      <c r="L5946" s="2" t="n">
        <v>456</v>
      </c>
      <c r="M5946" t="n">
        <v>-66.8</v>
      </c>
      <c r="N5946" t="inlineStr">
        <is>
          <t>20240125800455</t>
        </is>
      </c>
      <c r="O5946">
        <f>HYPERLINK("https://dart.fss.or.kr/dsaf001/main.do?rcpNo=20240125800455", "공시열람")</f>
        <v/>
      </c>
    </row>
    <row r="5947">
      <c r="A5947" t="inlineStr">
        <is>
          <t>2024-01-25</t>
        </is>
      </c>
      <c r="B5947" t="inlineStr">
        <is>
          <t>LG이노텍</t>
        </is>
      </c>
      <c r="C5947" t="inlineStr">
        <is>
          <t>011070</t>
        </is>
      </c>
      <c r="D5947" t="inlineStr">
        <is>
          <t>연결</t>
        </is>
      </c>
      <c r="E5947" t="inlineStr">
        <is>
          <t>2023Q4</t>
        </is>
      </c>
      <c r="F5947" s="2" t="n">
        <v>7558638</v>
      </c>
      <c r="G5947" t="n">
        <v>58.68</v>
      </c>
      <c r="H5947" t="n">
        <v>15.44</v>
      </c>
      <c r="I5947" s="2" t="n">
        <v>483690</v>
      </c>
      <c r="J5947" t="n">
        <v>163.69</v>
      </c>
      <c r="K5947" t="n">
        <v>184.55</v>
      </c>
      <c r="L5947" s="2" t="n">
        <v>350754</v>
      </c>
      <c r="M5947" t="n">
        <v>72.01000000000001</v>
      </c>
      <c r="N5947" t="inlineStr">
        <is>
          <t>20240125800312</t>
        </is>
      </c>
      <c r="O5947">
        <f>HYPERLINK("https://dart.fss.or.kr/dsaf001/main.do?rcpNo=20240125800312", "공시열람")</f>
        <v/>
      </c>
    </row>
    <row r="5948">
      <c r="A5948" t="inlineStr">
        <is>
          <t>2024-01-25</t>
        </is>
      </c>
      <c r="B5948" t="inlineStr">
        <is>
          <t>LX세미콘</t>
        </is>
      </c>
      <c r="C5948" t="inlineStr">
        <is>
          <t>108320</t>
        </is>
      </c>
      <c r="D5948" t="inlineStr">
        <is>
          <t>연결</t>
        </is>
      </c>
      <c r="E5948" t="inlineStr">
        <is>
          <t>2023Q4</t>
        </is>
      </c>
      <c r="F5948" s="2" t="n">
        <v>512747</v>
      </c>
      <c r="G5948" t="n">
        <v>24.2</v>
      </c>
      <c r="H5948" t="n">
        <v>12.3</v>
      </c>
      <c r="I5948" s="2" t="n">
        <v>67150</v>
      </c>
      <c r="J5948" t="n">
        <v>349.8</v>
      </c>
      <c r="K5948" t="n">
        <v>429.1</v>
      </c>
      <c r="L5948" s="2" t="n">
        <v>46906</v>
      </c>
      <c r="M5948" t="n">
        <v>280.6</v>
      </c>
      <c r="N5948" t="inlineStr">
        <is>
          <t>20240125800616</t>
        </is>
      </c>
      <c r="O5948">
        <f>HYPERLINK("https://dart.fss.or.kr/dsaf001/main.do?rcpNo=20240125800616", "공시열람")</f>
        <v/>
      </c>
    </row>
    <row r="5949">
      <c r="A5949" t="inlineStr">
        <is>
          <t>2024-01-25</t>
        </is>
      </c>
      <c r="B5949" t="inlineStr">
        <is>
          <t>현대자동차</t>
        </is>
      </c>
      <c r="C5949" t="inlineStr">
        <is>
          <t>005380</t>
        </is>
      </c>
      <c r="D5949" t="inlineStr">
        <is>
          <t>연결</t>
        </is>
      </c>
      <c r="E5949" t="inlineStr">
        <is>
          <t>2023Q4</t>
        </is>
      </c>
      <c r="F5949" s="2" t="n">
        <v>41669232</v>
      </c>
      <c r="G5949" t="n">
        <v>1.7</v>
      </c>
      <c r="H5949" t="n">
        <v>8.300000000000001</v>
      </c>
      <c r="I5949" s="2" t="n">
        <v>3407792</v>
      </c>
      <c r="J5949" t="n">
        <v>-11</v>
      </c>
      <c r="K5949" t="n">
        <v>0.2</v>
      </c>
      <c r="L5949" s="2" t="n">
        <v>2202634</v>
      </c>
      <c r="M5949" t="n">
        <v>28.8</v>
      </c>
      <c r="N5949" t="inlineStr">
        <is>
          <t>20240125800240</t>
        </is>
      </c>
      <c r="O5949">
        <f>HYPERLINK("https://dart.fss.or.kr/dsaf001/main.do?rcpNo=20240125800240", "공시열람")</f>
        <v/>
      </c>
    </row>
    <row r="5950">
      <c r="A5950" t="inlineStr">
        <is>
          <t>2024-01-25</t>
        </is>
      </c>
      <c r="B5950" t="inlineStr">
        <is>
          <t>아바코</t>
        </is>
      </c>
      <c r="C5950" t="inlineStr">
        <is>
          <t>083930</t>
        </is>
      </c>
      <c r="D5950" t="inlineStr">
        <is>
          <t>별도</t>
        </is>
      </c>
      <c r="E5950" t="inlineStr">
        <is>
          <t>2023Q4</t>
        </is>
      </c>
      <c r="F5950" s="2" t="n">
        <v>81168</v>
      </c>
      <c r="G5950" t="inlineStr"/>
      <c r="H5950" t="inlineStr"/>
      <c r="I5950" s="2" t="n">
        <v>13384</v>
      </c>
      <c r="J5950" t="inlineStr"/>
      <c r="K5950" t="inlineStr"/>
      <c r="L5950" s="2" t="n">
        <v>8611</v>
      </c>
      <c r="M5950" t="inlineStr"/>
      <c r="N5950" t="inlineStr">
        <is>
          <t>20240125900086</t>
        </is>
      </c>
      <c r="O5950">
        <f>HYPERLINK("https://dart.fss.or.kr/dsaf001/main.do?rcpNo=20240125900086", "공시열람")</f>
        <v/>
      </c>
    </row>
    <row r="5951">
      <c r="A5951" t="inlineStr">
        <is>
          <t>2024-01-25</t>
        </is>
      </c>
      <c r="B5951" t="inlineStr">
        <is>
          <t>LG전자</t>
        </is>
      </c>
      <c r="C5951" t="inlineStr">
        <is>
          <t>066570</t>
        </is>
      </c>
      <c r="D5951" t="inlineStr">
        <is>
          <t>연결</t>
        </is>
      </c>
      <c r="E5951" t="inlineStr">
        <is>
          <t>2023Q4</t>
        </is>
      </c>
      <c r="F5951" s="2" t="n">
        <v>23104100</v>
      </c>
      <c r="G5951" t="inlineStr"/>
      <c r="H5951" t="inlineStr"/>
      <c r="I5951" s="2" t="n">
        <v>313100</v>
      </c>
      <c r="J5951" t="inlineStr"/>
      <c r="K5951" t="inlineStr"/>
      <c r="L5951" s="2" t="n">
        <v>-76400</v>
      </c>
      <c r="M5951" t="inlineStr"/>
      <c r="N5951" t="inlineStr">
        <is>
          <t>20240125800330</t>
        </is>
      </c>
      <c r="O5951">
        <f>HYPERLINK("https://dart.fss.or.kr/dsaf001/main.do?rcpNo=20240125800330", "공시열람")</f>
        <v/>
      </c>
    </row>
    <row r="5952">
      <c r="A5952" t="inlineStr">
        <is>
          <t>2024-01-25</t>
        </is>
      </c>
      <c r="B5952" t="inlineStr">
        <is>
          <t>삼성에스디에스</t>
        </is>
      </c>
      <c r="C5952" t="inlineStr">
        <is>
          <t>018260</t>
        </is>
      </c>
      <c r="D5952" t="inlineStr">
        <is>
          <t>연결</t>
        </is>
      </c>
      <c r="E5952" t="inlineStr">
        <is>
          <t>2023Q4</t>
        </is>
      </c>
      <c r="F5952" s="2" t="n">
        <v>3377096</v>
      </c>
      <c r="G5952" t="inlineStr"/>
      <c r="H5952" t="inlineStr"/>
      <c r="I5952" s="2" t="n">
        <v>214533</v>
      </c>
      <c r="J5952" t="inlineStr"/>
      <c r="K5952" t="inlineStr"/>
      <c r="L5952" s="2" t="n">
        <v>146001</v>
      </c>
      <c r="M5952" t="inlineStr"/>
      <c r="N5952" t="inlineStr">
        <is>
          <t>20240125800077</t>
        </is>
      </c>
      <c r="O5952">
        <f>HYPERLINK("https://dart.fss.or.kr/dsaf001/main.do?rcpNo=20240125800077", "공시열람")</f>
        <v/>
      </c>
    </row>
    <row r="5953">
      <c r="A5953" t="inlineStr">
        <is>
          <t>2024-01-25</t>
        </is>
      </c>
      <c r="B5953" t="inlineStr">
        <is>
          <t>IPARK현대산업개발</t>
        </is>
      </c>
      <c r="C5953" t="inlineStr">
        <is>
          <t>294870</t>
        </is>
      </c>
      <c r="D5953" t="inlineStr">
        <is>
          <t>연결</t>
        </is>
      </c>
      <c r="E5953" t="inlineStr">
        <is>
          <t>2023Q4</t>
        </is>
      </c>
      <c r="F5953" s="2" t="n">
        <v>1149091</v>
      </c>
      <c r="G5953" t="n">
        <v>11.2</v>
      </c>
      <c r="H5953" t="n">
        <v>25.5</v>
      </c>
      <c r="I5953" s="2" t="n">
        <v>77465</v>
      </c>
      <c r="J5953" t="n">
        <v>24.9</v>
      </c>
      <c r="K5953" t="n">
        <v>4.3</v>
      </c>
      <c r="L5953" s="2" t="n">
        <v>56461</v>
      </c>
      <c r="M5953" t="n">
        <v>90.3</v>
      </c>
      <c r="N5953" t="inlineStr">
        <is>
          <t>20240125800057</t>
        </is>
      </c>
      <c r="O5953">
        <f>HYPERLINK("https://dart.fss.or.kr/dsaf001/main.do?rcpNo=20240125800057", "공시열람")</f>
        <v/>
      </c>
    </row>
    <row r="5954">
      <c r="A5954" t="inlineStr">
        <is>
          <t>2024-01-25</t>
        </is>
      </c>
      <c r="B5954" t="inlineStr">
        <is>
          <t>SK하이닉스</t>
        </is>
      </c>
      <c r="C5954" t="inlineStr">
        <is>
          <t>000660</t>
        </is>
      </c>
      <c r="D5954" t="inlineStr">
        <is>
          <t>연결</t>
        </is>
      </c>
      <c r="E5954" t="inlineStr">
        <is>
          <t>2023Q4</t>
        </is>
      </c>
      <c r="F5954" s="2" t="n">
        <v>11305504</v>
      </c>
      <c r="G5954" t="n">
        <v>24.7</v>
      </c>
      <c r="H5954" t="n">
        <v>47.4</v>
      </c>
      <c r="I5954" s="2" t="n">
        <v>346034</v>
      </c>
      <c r="J5954" t="inlineStr"/>
      <c r="K5954" t="inlineStr"/>
      <c r="L5954" s="2" t="n">
        <v>-1379450</v>
      </c>
      <c r="M5954" t="n">
        <v>63.1</v>
      </c>
      <c r="N5954" t="inlineStr">
        <is>
          <t>20240125800011</t>
        </is>
      </c>
      <c r="O5954">
        <f>HYPERLINK("https://dart.fss.or.kr/dsaf001/main.do?rcpNo=20240125800011", "공시열람")</f>
        <v/>
      </c>
    </row>
    <row r="5955">
      <c r="A5955" t="inlineStr">
        <is>
          <t>2024-01-24</t>
        </is>
      </c>
      <c r="B5955" t="inlineStr">
        <is>
          <t>LG디스플레이</t>
        </is>
      </c>
      <c r="C5955" t="inlineStr">
        <is>
          <t>034220</t>
        </is>
      </c>
      <c r="D5955" t="inlineStr">
        <is>
          <t>연결</t>
        </is>
      </c>
      <c r="E5955" t="inlineStr">
        <is>
          <t>2023Q4</t>
        </is>
      </c>
      <c r="F5955" s="2" t="n">
        <v>7395905</v>
      </c>
      <c r="G5955" t="n">
        <v>54.6</v>
      </c>
      <c r="H5955" t="n">
        <v>1.3</v>
      </c>
      <c r="I5955" s="2" t="n">
        <v>131744</v>
      </c>
      <c r="J5955" t="inlineStr"/>
      <c r="K5955" t="inlineStr"/>
      <c r="L5955" s="2" t="n">
        <v>50539</v>
      </c>
      <c r="M5955" t="inlineStr"/>
      <c r="N5955" t="inlineStr">
        <is>
          <t>20240124800003</t>
        </is>
      </c>
      <c r="O5955">
        <f>HYPERLINK("https://dart.fss.or.kr/dsaf001/main.do?rcpNo=20240124800003", "공시열람")</f>
        <v/>
      </c>
    </row>
    <row r="5956">
      <c r="A5956" t="inlineStr">
        <is>
          <t>2024-01-24</t>
        </is>
      </c>
      <c r="B5956" t="inlineStr">
        <is>
          <t>한올바이오파마</t>
        </is>
      </c>
      <c r="C5956" t="inlineStr">
        <is>
          <t>009420</t>
        </is>
      </c>
      <c r="D5956" t="inlineStr">
        <is>
          <t>별도</t>
        </is>
      </c>
      <c r="E5956" t="inlineStr">
        <is>
          <t>2023Q4</t>
        </is>
      </c>
      <c r="F5956" s="2" t="n">
        <v>31718</v>
      </c>
      <c r="G5956" t="n">
        <v>-3.8</v>
      </c>
      <c r="H5956" t="n">
        <v>5.3</v>
      </c>
      <c r="I5956" s="2" t="n">
        <v>-3963</v>
      </c>
      <c r="J5956" t="inlineStr"/>
      <c r="K5956" t="inlineStr"/>
      <c r="L5956" s="2" t="n">
        <v>-2524</v>
      </c>
      <c r="M5956" t="n">
        <v>-1767.8</v>
      </c>
      <c r="N5956" t="inlineStr">
        <is>
          <t>20240124800115</t>
        </is>
      </c>
      <c r="O5956">
        <f>HYPERLINK("https://dart.fss.or.kr/dsaf001/main.do?rcpNo=20240124800115", "공시열람")</f>
        <v/>
      </c>
    </row>
    <row r="5957">
      <c r="A5957" t="inlineStr">
        <is>
          <t>2024-01-24</t>
        </is>
      </c>
      <c r="B5957" t="inlineStr">
        <is>
          <t>삼성바이오로직스</t>
        </is>
      </c>
      <c r="C5957" t="inlineStr">
        <is>
          <t>207940</t>
        </is>
      </c>
      <c r="D5957" t="inlineStr">
        <is>
          <t>연결</t>
        </is>
      </c>
      <c r="E5957" t="inlineStr">
        <is>
          <t>2023Q4</t>
        </is>
      </c>
      <c r="F5957" s="2" t="n">
        <v>1073509</v>
      </c>
      <c r="G5957" t="inlineStr"/>
      <c r="H5957" t="inlineStr"/>
      <c r="I5957" s="2" t="n">
        <v>349968</v>
      </c>
      <c r="J5957" t="inlineStr"/>
      <c r="K5957" t="inlineStr"/>
      <c r="L5957" s="2" t="n">
        <v>290684</v>
      </c>
      <c r="M5957" t="inlineStr"/>
      <c r="N5957" t="inlineStr">
        <is>
          <t>20240124800299</t>
        </is>
      </c>
      <c r="O5957">
        <f>HYPERLINK("https://dart.fss.or.kr/dsaf001/main.do?rcpNo=20240124800299", "공시열람")</f>
        <v/>
      </c>
    </row>
    <row r="5958">
      <c r="A5958" t="inlineStr">
        <is>
          <t>2024-01-24</t>
        </is>
      </c>
      <c r="B5958" t="inlineStr">
        <is>
          <t>롯데하이마트</t>
        </is>
      </c>
      <c r="C5958" t="inlineStr">
        <is>
          <t>071840</t>
        </is>
      </c>
      <c r="D5958" t="inlineStr">
        <is>
          <t>별도</t>
        </is>
      </c>
      <c r="E5958" t="inlineStr">
        <is>
          <t>2023Q4</t>
        </is>
      </c>
      <c r="F5958" s="2" t="n">
        <v>578546</v>
      </c>
      <c r="G5958" t="n">
        <v>-20.3</v>
      </c>
      <c r="H5958" t="n">
        <v>-21.2</v>
      </c>
      <c r="I5958" s="2" t="n">
        <v>-10033</v>
      </c>
      <c r="J5958" t="inlineStr"/>
      <c r="K5958" t="n">
        <v>77.59999999999999</v>
      </c>
      <c r="L5958" s="2" t="n">
        <v>-38381</v>
      </c>
      <c r="M5958" t="n">
        <v>74</v>
      </c>
      <c r="N5958" t="inlineStr">
        <is>
          <t>20240124800285</t>
        </is>
      </c>
      <c r="O5958">
        <f>HYPERLINK("https://dart.fss.or.kr/dsaf001/main.do?rcpNo=20240124800285", "공시열람")</f>
        <v/>
      </c>
    </row>
    <row r="5959">
      <c r="A5959" t="inlineStr">
        <is>
          <t>2024-01-24</t>
        </is>
      </c>
      <c r="B5959" t="inlineStr">
        <is>
          <t>옵투스제약</t>
        </is>
      </c>
      <c r="C5959" t="inlineStr">
        <is>
          <t>131030</t>
        </is>
      </c>
      <c r="D5959" t="inlineStr">
        <is>
          <t>별도</t>
        </is>
      </c>
      <c r="E5959" t="inlineStr">
        <is>
          <t>2023Q4</t>
        </is>
      </c>
      <c r="F5959" s="2" t="n">
        <v>19880</v>
      </c>
      <c r="G5959" t="inlineStr"/>
      <c r="H5959" t="inlineStr"/>
      <c r="I5959" s="2" t="n">
        <v>1921</v>
      </c>
      <c r="J5959" t="inlineStr"/>
      <c r="K5959" t="inlineStr"/>
      <c r="L5959" s="2" t="n">
        <v>3167</v>
      </c>
      <c r="M5959" t="inlineStr"/>
      <c r="N5959" t="inlineStr">
        <is>
          <t>20240124900295</t>
        </is>
      </c>
      <c r="O5959">
        <f>HYPERLINK("https://dart.fss.or.kr/dsaf001/main.do?rcpNo=20240124900295", "공시열람")</f>
        <v/>
      </c>
    </row>
    <row r="5960">
      <c r="A5960" t="inlineStr">
        <is>
          <t>2024-01-23</t>
        </is>
      </c>
      <c r="B5960" t="inlineStr">
        <is>
          <t>녹십자엠에스</t>
        </is>
      </c>
      <c r="C5960" t="inlineStr">
        <is>
          <t>142280</t>
        </is>
      </c>
      <c r="D5960" t="inlineStr">
        <is>
          <t>연결</t>
        </is>
      </c>
      <c r="E5960" t="inlineStr">
        <is>
          <t>2023Q4</t>
        </is>
      </c>
      <c r="F5960" s="2" t="n">
        <v>23616</v>
      </c>
      <c r="G5960" t="inlineStr"/>
      <c r="H5960" t="inlineStr"/>
      <c r="I5960" s="2" t="n">
        <v>-47</v>
      </c>
      <c r="J5960" t="inlineStr"/>
      <c r="K5960" t="inlineStr"/>
      <c r="L5960" s="2" t="n">
        <v>-2910</v>
      </c>
      <c r="M5960" t="inlineStr"/>
      <c r="N5960" t="inlineStr">
        <is>
          <t>20240123900462</t>
        </is>
      </c>
      <c r="O5960">
        <f>HYPERLINK("https://dart.fss.or.kr/dsaf001/main.do?rcpNo=20240123900462", "공시열람")</f>
        <v/>
      </c>
    </row>
    <row r="5961">
      <c r="A5961" t="inlineStr">
        <is>
          <t>2024-01-23</t>
        </is>
      </c>
      <c r="B5961" t="inlineStr">
        <is>
          <t>한솔제지</t>
        </is>
      </c>
      <c r="C5961" t="inlineStr">
        <is>
          <t>213500</t>
        </is>
      </c>
      <c r="D5961" t="inlineStr">
        <is>
          <t>별도</t>
        </is>
      </c>
      <c r="E5961" t="inlineStr">
        <is>
          <t>2023Q4</t>
        </is>
      </c>
      <c r="F5961" s="2" t="n">
        <v>552292</v>
      </c>
      <c r="G5961" t="n">
        <v>10.9</v>
      </c>
      <c r="H5961" t="n">
        <v>-10.8</v>
      </c>
      <c r="I5961" s="2" t="n">
        <v>5687</v>
      </c>
      <c r="J5961" t="n">
        <v>-44.2</v>
      </c>
      <c r="K5961" t="n">
        <v>-50.5</v>
      </c>
      <c r="L5961" s="2" t="n">
        <v>-5421</v>
      </c>
      <c r="M5961" t="inlineStr"/>
      <c r="N5961" t="inlineStr">
        <is>
          <t>20240123800362</t>
        </is>
      </c>
      <c r="O5961">
        <f>HYPERLINK("https://dart.fss.or.kr/dsaf001/main.do?rcpNo=20240123800362", "공시열람")</f>
        <v/>
      </c>
    </row>
    <row r="5962">
      <c r="A5962" t="inlineStr">
        <is>
          <t>2024-01-23</t>
        </is>
      </c>
      <c r="B5962" t="inlineStr">
        <is>
          <t>현대건설</t>
        </is>
      </c>
      <c r="C5962" t="inlineStr">
        <is>
          <t>000720</t>
        </is>
      </c>
      <c r="D5962" t="inlineStr">
        <is>
          <t>연결</t>
        </is>
      </c>
      <c r="E5962" t="inlineStr">
        <is>
          <t>2023Q4</t>
        </is>
      </c>
      <c r="F5962" s="2" t="n">
        <v>8598387</v>
      </c>
      <c r="G5962" t="n">
        <v>9.4</v>
      </c>
      <c r="H5962" t="n">
        <v>41.3</v>
      </c>
      <c r="I5962" s="2" t="n">
        <v>144497</v>
      </c>
      <c r="J5962" t="n">
        <v>-40.7</v>
      </c>
      <c r="K5962" t="n">
        <v>94.5</v>
      </c>
      <c r="L5962" s="2" t="n">
        <v>110044</v>
      </c>
      <c r="M5962" t="inlineStr"/>
      <c r="N5962" t="inlineStr">
        <is>
          <t>20240123800157</t>
        </is>
      </c>
      <c r="O5962">
        <f>HYPERLINK("https://dart.fss.or.kr/dsaf001/main.do?rcpNo=20240123800157", "공시열람")</f>
        <v/>
      </c>
    </row>
    <row r="5963">
      <c r="A5963" t="inlineStr">
        <is>
          <t>2024-01-23</t>
        </is>
      </c>
      <c r="B5963" t="inlineStr">
        <is>
          <t>대한전선</t>
        </is>
      </c>
      <c r="C5963" t="inlineStr">
        <is>
          <t>001440</t>
        </is>
      </c>
      <c r="D5963" t="inlineStr">
        <is>
          <t>연결</t>
        </is>
      </c>
      <c r="E5963" t="inlineStr">
        <is>
          <t>2023Q4</t>
        </is>
      </c>
      <c r="F5963" s="2" t="n">
        <v>757247</v>
      </c>
      <c r="G5963" t="n">
        <v>20.19</v>
      </c>
      <c r="H5963" t="n">
        <v>15.8</v>
      </c>
      <c r="I5963" s="2" t="n">
        <v>19363</v>
      </c>
      <c r="J5963" t="n">
        <v>11.22</v>
      </c>
      <c r="K5963" t="n">
        <v>-1.4</v>
      </c>
      <c r="L5963" s="2" t="n">
        <v>32680</v>
      </c>
      <c r="M5963" t="n">
        <v>168.86</v>
      </c>
      <c r="N5963" t="inlineStr">
        <is>
          <t>20240123800235</t>
        </is>
      </c>
      <c r="O5963">
        <f>HYPERLINK("https://dart.fss.or.kr/dsaf001/main.do?rcpNo=20240123800235", "공시열람")</f>
        <v/>
      </c>
    </row>
    <row r="5964">
      <c r="A5964" t="inlineStr">
        <is>
          <t>2024-01-22</t>
        </is>
      </c>
      <c r="B5964" t="inlineStr">
        <is>
          <t>인크로스</t>
        </is>
      </c>
      <c r="C5964" t="inlineStr">
        <is>
          <t>216050</t>
        </is>
      </c>
      <c r="D5964" t="inlineStr">
        <is>
          <t>연결</t>
        </is>
      </c>
      <c r="E5964" t="inlineStr">
        <is>
          <t>2023Q4</t>
        </is>
      </c>
      <c r="F5964" s="2" t="n">
        <v>12989</v>
      </c>
      <c r="G5964" t="inlineStr"/>
      <c r="H5964" t="inlineStr"/>
      <c r="I5964" s="2" t="n">
        <v>3107</v>
      </c>
      <c r="J5964" t="inlineStr"/>
      <c r="K5964" t="inlineStr"/>
      <c r="L5964" s="2" t="n">
        <v>2972</v>
      </c>
      <c r="M5964" t="inlineStr"/>
      <c r="N5964" t="inlineStr">
        <is>
          <t>20240122900327</t>
        </is>
      </c>
      <c r="O5964">
        <f>HYPERLINK("https://dart.fss.or.kr/dsaf001/main.do?rcpNo=20240122900327", "공시열람")</f>
        <v/>
      </c>
    </row>
    <row r="5965">
      <c r="A5965" t="inlineStr">
        <is>
          <t>2024-01-22</t>
        </is>
      </c>
      <c r="B5965" t="inlineStr">
        <is>
          <t>코스모신소재</t>
        </is>
      </c>
      <c r="C5965" t="inlineStr">
        <is>
          <t>005070</t>
        </is>
      </c>
      <c r="D5965" t="inlineStr">
        <is>
          <t>별도</t>
        </is>
      </c>
      <c r="E5965" t="inlineStr">
        <is>
          <t>2023Q4</t>
        </is>
      </c>
      <c r="F5965" s="2" t="n">
        <v>88755</v>
      </c>
      <c r="G5965" t="n">
        <v>-42.5</v>
      </c>
      <c r="H5965" t="n">
        <v>-37.4</v>
      </c>
      <c r="I5965" s="2" t="n">
        <v>7876</v>
      </c>
      <c r="J5965" t="n">
        <v>-2.7</v>
      </c>
      <c r="K5965" t="n">
        <v>218.3</v>
      </c>
      <c r="L5965" s="2" t="n">
        <v>9340</v>
      </c>
      <c r="M5965" t="n">
        <v>458</v>
      </c>
      <c r="N5965" t="inlineStr">
        <is>
          <t>20240122800216</t>
        </is>
      </c>
      <c r="O5965">
        <f>HYPERLINK("https://dart.fss.or.kr/dsaf001/main.do?rcpNo=20240122800216", "공시열람")</f>
        <v/>
      </c>
    </row>
    <row r="5966">
      <c r="A5966" t="inlineStr">
        <is>
          <t>2024-01-22</t>
        </is>
      </c>
      <c r="B5966" t="inlineStr">
        <is>
          <t>유니온바이오메트릭스</t>
        </is>
      </c>
      <c r="C5966" t="inlineStr">
        <is>
          <t>203450</t>
        </is>
      </c>
      <c r="D5966" t="inlineStr">
        <is>
          <t>연결</t>
        </is>
      </c>
      <c r="E5966" t="inlineStr">
        <is>
          <t>2023Q4</t>
        </is>
      </c>
      <c r="F5966" s="2" t="n">
        <v>15874</v>
      </c>
      <c r="G5966" t="inlineStr"/>
      <c r="H5966" t="inlineStr"/>
      <c r="I5966" s="2" t="n">
        <v>3011</v>
      </c>
      <c r="J5966" t="inlineStr"/>
      <c r="K5966" t="inlineStr"/>
      <c r="L5966" s="2" t="n">
        <v>1809</v>
      </c>
      <c r="M5966" t="inlineStr"/>
      <c r="N5966" t="inlineStr">
        <is>
          <t>20240122900181</t>
        </is>
      </c>
      <c r="O5966">
        <f>HYPERLINK("https://dart.fss.or.kr/dsaf001/main.do?rcpNo=20240122900181", "공시열람")</f>
        <v/>
      </c>
    </row>
    <row r="5967">
      <c r="A5967" t="inlineStr">
        <is>
          <t>2024-01-22</t>
        </is>
      </c>
      <c r="B5967" t="inlineStr">
        <is>
          <t>유니온바이오메트릭스</t>
        </is>
      </c>
      <c r="C5967" t="inlineStr">
        <is>
          <t>203450</t>
        </is>
      </c>
      <c r="D5967" t="inlineStr">
        <is>
          <t>연결</t>
        </is>
      </c>
      <c r="E5967" t="inlineStr">
        <is>
          <t>2023Q4</t>
        </is>
      </c>
      <c r="F5967" s="2" t="n">
        <v>15874</v>
      </c>
      <c r="G5967" t="inlineStr"/>
      <c r="H5967" t="inlineStr"/>
      <c r="I5967" s="2" t="n">
        <v>3011</v>
      </c>
      <c r="J5967" t="inlineStr"/>
      <c r="K5967" t="inlineStr"/>
      <c r="L5967" s="2" t="n">
        <v>1809</v>
      </c>
      <c r="M5967" t="inlineStr"/>
      <c r="N5967" t="inlineStr">
        <is>
          <t>20240122900201</t>
        </is>
      </c>
      <c r="O5967">
        <f>HYPERLINK("https://dart.fss.or.kr/dsaf001/main.do?rcpNo=20240122900201", "공시열람")</f>
        <v/>
      </c>
    </row>
    <row r="5968">
      <c r="A5968" t="inlineStr">
        <is>
          <t>2024-01-22</t>
        </is>
      </c>
      <c r="B5968" t="inlineStr">
        <is>
          <t>인크로스</t>
        </is>
      </c>
      <c r="C5968" t="inlineStr">
        <is>
          <t>216050</t>
        </is>
      </c>
      <c r="D5968" t="inlineStr">
        <is>
          <t>별도</t>
        </is>
      </c>
      <c r="E5968" t="inlineStr">
        <is>
          <t>2023Q4</t>
        </is>
      </c>
      <c r="F5968" s="2" t="n">
        <v>11594</v>
      </c>
      <c r="G5968" t="inlineStr"/>
      <c r="H5968" t="inlineStr"/>
      <c r="I5968" s="2" t="n">
        <v>2922</v>
      </c>
      <c r="J5968" t="inlineStr"/>
      <c r="K5968" t="inlineStr"/>
      <c r="L5968" s="2" t="n">
        <v>2853</v>
      </c>
      <c r="M5968" t="inlineStr"/>
      <c r="N5968" t="inlineStr">
        <is>
          <t>20240122900326</t>
        </is>
      </c>
      <c r="O5968">
        <f>HYPERLINK("https://dart.fss.or.kr/dsaf001/main.do?rcpNo=20240122900326", "공시열람")</f>
        <v/>
      </c>
    </row>
    <row r="5969">
      <c r="A5969" t="inlineStr">
        <is>
          <t>2024-01-19</t>
        </is>
      </c>
      <c r="B5969" t="inlineStr">
        <is>
          <t>조이시티</t>
        </is>
      </c>
      <c r="C5969" t="inlineStr">
        <is>
          <t>067000</t>
        </is>
      </c>
      <c r="D5969" t="inlineStr">
        <is>
          <t>연결</t>
        </is>
      </c>
      <c r="E5969" t="inlineStr">
        <is>
          <t>2023Q4</t>
        </is>
      </c>
      <c r="F5969" s="2" t="n">
        <v>44046</v>
      </c>
      <c r="G5969" t="inlineStr"/>
      <c r="H5969" t="inlineStr"/>
      <c r="I5969" s="2" t="n">
        <v>13088</v>
      </c>
      <c r="J5969" t="inlineStr"/>
      <c r="K5969" t="inlineStr"/>
      <c r="L5969" s="2" t="n">
        <v>2764</v>
      </c>
      <c r="M5969" t="inlineStr"/>
      <c r="N5969" t="inlineStr">
        <is>
          <t>20240119900515</t>
        </is>
      </c>
      <c r="O5969">
        <f>HYPERLINK("https://dart.fss.or.kr/dsaf001/main.do?rcpNo=20240119900515", "공시열람")</f>
        <v/>
      </c>
    </row>
    <row r="5970">
      <c r="A5970" t="inlineStr">
        <is>
          <t>2024-01-18</t>
        </is>
      </c>
      <c r="B5970" t="inlineStr">
        <is>
          <t>한미반도체</t>
        </is>
      </c>
      <c r="C5970" t="inlineStr">
        <is>
          <t>042700</t>
        </is>
      </c>
      <c r="D5970" t="inlineStr">
        <is>
          <t>연결</t>
        </is>
      </c>
      <c r="E5970" t="inlineStr">
        <is>
          <t>2023Q4</t>
        </is>
      </c>
      <c r="F5970" s="2" t="n">
        <v>52215</v>
      </c>
      <c r="G5970" t="inlineStr"/>
      <c r="H5970" t="inlineStr"/>
      <c r="I5970" s="2" t="n">
        <v>18371</v>
      </c>
      <c r="J5970" t="inlineStr"/>
      <c r="K5970" t="inlineStr"/>
      <c r="L5970" s="2" t="inlineStr"/>
      <c r="M5970" t="inlineStr"/>
      <c r="N5970" t="inlineStr">
        <is>
          <t>20240118800113</t>
        </is>
      </c>
      <c r="O5970">
        <f>HYPERLINK("https://dart.fss.or.kr/dsaf001/main.do?rcpNo=20240118800113", "공시열람")</f>
        <v/>
      </c>
    </row>
    <row r="5971">
      <c r="A5971" t="inlineStr">
        <is>
          <t>2024-01-18</t>
        </is>
      </c>
      <c r="B5971" t="inlineStr">
        <is>
          <t>HD현대중공업</t>
        </is>
      </c>
      <c r="C5971" t="inlineStr">
        <is>
          <t>329180</t>
        </is>
      </c>
      <c r="D5971" t="inlineStr">
        <is>
          <t>별도</t>
        </is>
      </c>
      <c r="E5971" t="inlineStr">
        <is>
          <t>2023Q4</t>
        </is>
      </c>
      <c r="F5971" s="2" t="inlineStr"/>
      <c r="G5971" t="inlineStr"/>
      <c r="H5971" t="inlineStr"/>
      <c r="I5971" s="2" t="inlineStr"/>
      <c r="J5971" t="inlineStr"/>
      <c r="K5971" t="inlineStr"/>
      <c r="L5971" s="2" t="inlineStr"/>
      <c r="M5971" t="inlineStr"/>
      <c r="N5971" t="inlineStr">
        <is>
          <t>20240118800214</t>
        </is>
      </c>
      <c r="O5971">
        <f>HYPERLINK("https://dart.fss.or.kr/dsaf001/main.do?rcpNo=20240118800214", "공시열람")</f>
        <v/>
      </c>
    </row>
    <row r="5972">
      <c r="A5972" t="inlineStr">
        <is>
          <t>2024-01-18</t>
        </is>
      </c>
      <c r="B5972" t="inlineStr">
        <is>
          <t>HD한국조선해양</t>
        </is>
      </c>
      <c r="C5972" t="inlineStr">
        <is>
          <t>009540</t>
        </is>
      </c>
      <c r="D5972" t="inlineStr">
        <is>
          <t>별도</t>
        </is>
      </c>
      <c r="E5972" t="inlineStr">
        <is>
          <t>2023Q4</t>
        </is>
      </c>
      <c r="F5972" s="2" t="inlineStr"/>
      <c r="G5972" t="inlineStr"/>
      <c r="H5972" t="inlineStr"/>
      <c r="I5972" s="2" t="inlineStr"/>
      <c r="J5972" t="inlineStr"/>
      <c r="K5972" t="inlineStr"/>
      <c r="L5972" s="2" t="inlineStr"/>
      <c r="M5972" t="inlineStr"/>
      <c r="N5972" t="inlineStr">
        <is>
          <t>20240118800219</t>
        </is>
      </c>
      <c r="O5972">
        <f>HYPERLINK("https://dart.fss.or.kr/dsaf001/main.do?rcpNo=20240118800219", "공시열람")</f>
        <v/>
      </c>
    </row>
    <row r="5973">
      <c r="A5973" t="inlineStr">
        <is>
          <t>2024-01-17</t>
        </is>
      </c>
      <c r="B5973" t="inlineStr">
        <is>
          <t>지역난방공사</t>
        </is>
      </c>
      <c r="C5973" t="inlineStr">
        <is>
          <t>071320</t>
        </is>
      </c>
      <c r="D5973" t="inlineStr">
        <is>
          <t>별도</t>
        </is>
      </c>
      <c r="E5973" t="inlineStr">
        <is>
          <t>2023Q4</t>
        </is>
      </c>
      <c r="F5973" s="2" t="inlineStr"/>
      <c r="G5973" t="inlineStr"/>
      <c r="H5973" t="inlineStr"/>
      <c r="I5973" s="2" t="inlineStr"/>
      <c r="J5973" t="inlineStr"/>
      <c r="K5973" t="inlineStr"/>
      <c r="L5973" s="2" t="inlineStr"/>
      <c r="M5973" t="inlineStr"/>
      <c r="N5973" t="inlineStr">
        <is>
          <t>20240117800146</t>
        </is>
      </c>
      <c r="O5973">
        <f>HYPERLINK("https://dart.fss.or.kr/dsaf001/main.do?rcpNo=20240117800146", "공시열람")</f>
        <v/>
      </c>
    </row>
    <row r="5974">
      <c r="A5974" t="inlineStr">
        <is>
          <t>2024-01-17</t>
        </is>
      </c>
      <c r="B5974" t="inlineStr">
        <is>
          <t>하이로닉</t>
        </is>
      </c>
      <c r="C5974" t="inlineStr">
        <is>
          <t>149980</t>
        </is>
      </c>
      <c r="D5974" t="inlineStr">
        <is>
          <t>연결</t>
        </is>
      </c>
      <c r="E5974" t="inlineStr">
        <is>
          <t>2023Q4</t>
        </is>
      </c>
      <c r="F5974" s="2" t="n">
        <v>10769</v>
      </c>
      <c r="G5974" t="inlineStr"/>
      <c r="H5974" t="inlineStr"/>
      <c r="I5974" s="2" t="n">
        <v>2524</v>
      </c>
      <c r="J5974" t="inlineStr"/>
      <c r="K5974" t="inlineStr"/>
      <c r="L5974" s="2" t="n">
        <v>2480</v>
      </c>
      <c r="M5974" t="inlineStr"/>
      <c r="N5974" t="inlineStr">
        <is>
          <t>20240117900089</t>
        </is>
      </c>
      <c r="O5974">
        <f>HYPERLINK("https://dart.fss.or.kr/dsaf001/main.do?rcpNo=20240117900089", "공시열람")</f>
        <v/>
      </c>
    </row>
    <row r="5975">
      <c r="A5975" t="inlineStr">
        <is>
          <t>2024-01-15</t>
        </is>
      </c>
      <c r="B5975" t="inlineStr">
        <is>
          <t>서울반도체</t>
        </is>
      </c>
      <c r="C5975" t="inlineStr">
        <is>
          <t>046890</t>
        </is>
      </c>
      <c r="D5975" t="inlineStr">
        <is>
          <t>연결</t>
        </is>
      </c>
      <c r="E5975" t="inlineStr">
        <is>
          <t>2023Q4</t>
        </is>
      </c>
      <c r="F5975" s="2" t="n">
        <v>271024</v>
      </c>
      <c r="G5975" t="inlineStr"/>
      <c r="H5975" t="inlineStr"/>
      <c r="I5975" s="2" t="inlineStr"/>
      <c r="J5975" t="inlineStr"/>
      <c r="K5975" t="inlineStr"/>
      <c r="L5975" s="2" t="inlineStr"/>
      <c r="M5975" t="inlineStr"/>
      <c r="N5975" t="inlineStr">
        <is>
          <t>20240115900566</t>
        </is>
      </c>
      <c r="O5975">
        <f>HYPERLINK("https://dart.fss.or.kr/dsaf001/main.do?rcpNo=20240115900566", "공시열람")</f>
        <v/>
      </c>
    </row>
    <row r="5976">
      <c r="A5976" t="inlineStr">
        <is>
          <t>2024-01-15</t>
        </is>
      </c>
      <c r="B5976" t="inlineStr">
        <is>
          <t>한국가스공사</t>
        </is>
      </c>
      <c r="C5976" t="inlineStr">
        <is>
          <t>036460</t>
        </is>
      </c>
      <c r="D5976" t="inlineStr">
        <is>
          <t>별도</t>
        </is>
      </c>
      <c r="E5976" t="inlineStr">
        <is>
          <t>2023Q4</t>
        </is>
      </c>
      <c r="F5976" s="2" t="inlineStr"/>
      <c r="G5976" t="inlineStr"/>
      <c r="H5976" t="inlineStr"/>
      <c r="I5976" s="2" t="inlineStr"/>
      <c r="J5976" t="inlineStr"/>
      <c r="K5976" t="inlineStr"/>
      <c r="L5976" s="2" t="inlineStr"/>
      <c r="M5976" t="inlineStr"/>
      <c r="N5976" t="inlineStr">
        <is>
          <t>20240115800595</t>
        </is>
      </c>
      <c r="O5976">
        <f>HYPERLINK("https://dart.fss.or.kr/dsaf001/main.do?rcpNo=20240115800595", "공시열람")</f>
        <v/>
      </c>
    </row>
    <row r="5977">
      <c r="A5977" t="inlineStr">
        <is>
          <t>2024-01-15</t>
        </is>
      </c>
      <c r="B5977" t="inlineStr">
        <is>
          <t>엘앤에프</t>
        </is>
      </c>
      <c r="C5977" t="inlineStr">
        <is>
          <t>066970</t>
        </is>
      </c>
      <c r="D5977" t="inlineStr">
        <is>
          <t>별도</t>
        </is>
      </c>
      <c r="E5977" t="inlineStr">
        <is>
          <t>2023Q4</t>
        </is>
      </c>
      <c r="F5977" s="2" t="n">
        <v>646835</v>
      </c>
      <c r="G5977" t="inlineStr"/>
      <c r="H5977" t="inlineStr"/>
      <c r="I5977" s="2" t="n">
        <v>-280427</v>
      </c>
      <c r="J5977" t="inlineStr"/>
      <c r="K5977" t="inlineStr"/>
      <c r="L5977" s="2" t="inlineStr"/>
      <c r="M5977" t="inlineStr"/>
      <c r="N5977" t="inlineStr">
        <is>
          <t>20240115900691</t>
        </is>
      </c>
      <c r="O5977">
        <f>HYPERLINK("https://dart.fss.or.kr/dsaf001/main.do?rcpNo=20240115900691", "공시열람")</f>
        <v/>
      </c>
    </row>
    <row r="5978">
      <c r="A5978" t="inlineStr">
        <is>
          <t>2024-01-12</t>
        </is>
      </c>
      <c r="B5978" t="inlineStr">
        <is>
          <t>서울바이오시스</t>
        </is>
      </c>
      <c r="C5978" t="inlineStr">
        <is>
          <t>092190</t>
        </is>
      </c>
      <c r="D5978" t="inlineStr">
        <is>
          <t>연결</t>
        </is>
      </c>
      <c r="E5978" t="inlineStr">
        <is>
          <t>2023Q4</t>
        </is>
      </c>
      <c r="F5978" s="2" t="n">
        <v>146623</v>
      </c>
      <c r="G5978" t="inlineStr"/>
      <c r="H5978" t="inlineStr"/>
      <c r="I5978" s="2" t="inlineStr"/>
      <c r="J5978" t="inlineStr"/>
      <c r="K5978" t="inlineStr"/>
      <c r="L5978" s="2" t="inlineStr"/>
      <c r="M5978" t="inlineStr"/>
      <c r="N5978" t="inlineStr">
        <is>
          <t>20240112900567</t>
        </is>
      </c>
      <c r="O5978">
        <f>HYPERLINK("https://dart.fss.or.kr/dsaf001/main.do?rcpNo=20240112900567", "공시열람")</f>
        <v/>
      </c>
    </row>
    <row r="5979">
      <c r="A5979" t="inlineStr">
        <is>
          <t>2024-01-10</t>
        </is>
      </c>
      <c r="B5979" t="inlineStr">
        <is>
          <t>이마트</t>
        </is>
      </c>
      <c r="C5979" t="inlineStr">
        <is>
          <t>139480</t>
        </is>
      </c>
      <c r="D5979" t="inlineStr">
        <is>
          <t>별도</t>
        </is>
      </c>
      <c r="E5979" t="inlineStr">
        <is>
          <t>2023Q4</t>
        </is>
      </c>
      <c r="F5979" s="2" t="n">
        <v>1315900</v>
      </c>
      <c r="G5979" t="n">
        <v>8.6</v>
      </c>
      <c r="H5979" t="n">
        <v>-1.3</v>
      </c>
      <c r="I5979" s="2" t="inlineStr"/>
      <c r="J5979" t="inlineStr"/>
      <c r="K5979" t="inlineStr"/>
      <c r="L5979" s="2" t="inlineStr"/>
      <c r="M5979" t="inlineStr"/>
      <c r="N5979" t="inlineStr">
        <is>
          <t>20240110800127</t>
        </is>
      </c>
      <c r="O5979">
        <f>HYPERLINK("https://dart.fss.or.kr/dsaf001/main.do?rcpNo=20240110800127", "공시열람")</f>
        <v/>
      </c>
    </row>
    <row r="5980">
      <c r="A5980" t="inlineStr">
        <is>
          <t>2024-01-10</t>
        </is>
      </c>
      <c r="B5980" t="inlineStr">
        <is>
          <t>테크윙</t>
        </is>
      </c>
      <c r="C5980" t="inlineStr">
        <is>
          <t>089030</t>
        </is>
      </c>
      <c r="D5980" t="inlineStr">
        <is>
          <t>연결</t>
        </is>
      </c>
      <c r="E5980" t="inlineStr">
        <is>
          <t>2023Q4</t>
        </is>
      </c>
      <c r="F5980" s="2" t="n">
        <v>41160</v>
      </c>
      <c r="G5980" t="inlineStr"/>
      <c r="H5980" t="inlineStr"/>
      <c r="I5980" s="2" t="n">
        <v>3276</v>
      </c>
      <c r="J5980" t="inlineStr"/>
      <c r="K5980" t="inlineStr"/>
      <c r="L5980" s="2" t="inlineStr"/>
      <c r="M5980" t="inlineStr"/>
      <c r="N5980" t="inlineStr">
        <is>
          <t>20240110900223</t>
        </is>
      </c>
      <c r="O5980">
        <f>HYPERLINK("https://dart.fss.or.kr/dsaf001/main.do?rcpNo=20240110900223", "공시열람")</f>
        <v/>
      </c>
    </row>
    <row r="5981">
      <c r="A5981" t="inlineStr">
        <is>
          <t>2024-01-09</t>
        </is>
      </c>
      <c r="B5981" t="inlineStr">
        <is>
          <t>삼성전자</t>
        </is>
      </c>
      <c r="C5981" t="inlineStr">
        <is>
          <t>005930</t>
        </is>
      </c>
      <c r="D5981" t="inlineStr">
        <is>
          <t>연결</t>
        </is>
      </c>
      <c r="E5981" t="inlineStr">
        <is>
          <t>2023Q4</t>
        </is>
      </c>
      <c r="F5981" s="2" t="n">
        <v>67</v>
      </c>
      <c r="G5981" t="n">
        <v>-0.59</v>
      </c>
      <c r="H5981" t="n">
        <v>-4.91</v>
      </c>
      <c r="I5981" s="2" t="n">
        <v>3</v>
      </c>
      <c r="J5981" t="n">
        <v>15.23</v>
      </c>
      <c r="K5981" t="n">
        <v>-35.03</v>
      </c>
      <c r="L5981" s="2" t="inlineStr"/>
      <c r="M5981" t="inlineStr"/>
      <c r="N5981" t="inlineStr">
        <is>
          <t>20240109800027</t>
        </is>
      </c>
      <c r="O5981">
        <f>HYPERLINK("https://dart.fss.or.kr/dsaf001/main.do?rcpNo=20240109800027", "공시열람")</f>
        <v/>
      </c>
    </row>
    <row r="5982">
      <c r="A5982" t="inlineStr">
        <is>
          <t>2024-01-09</t>
        </is>
      </c>
      <c r="B5982" t="inlineStr">
        <is>
          <t>LG에너지솔루션</t>
        </is>
      </c>
      <c r="C5982" t="inlineStr">
        <is>
          <t>373220</t>
        </is>
      </c>
      <c r="D5982" t="inlineStr">
        <is>
          <t>연결</t>
        </is>
      </c>
      <c r="E5982" t="inlineStr">
        <is>
          <t>2023Q4</t>
        </is>
      </c>
      <c r="F5982" s="2" t="n">
        <v>8001400</v>
      </c>
      <c r="G5982" t="n">
        <v>-2.7</v>
      </c>
      <c r="H5982" t="n">
        <v>-6.3</v>
      </c>
      <c r="I5982" s="2" t="n">
        <v>338200</v>
      </c>
      <c r="J5982" t="n">
        <v>-53.7</v>
      </c>
      <c r="K5982" t="n">
        <v>42.5</v>
      </c>
      <c r="L5982" s="2" t="inlineStr"/>
      <c r="M5982" t="inlineStr"/>
      <c r="N5982" t="inlineStr">
        <is>
          <t>20240109800105</t>
        </is>
      </c>
      <c r="O5982">
        <f>HYPERLINK("https://dart.fss.or.kr/dsaf001/main.do?rcpNo=20240109800105", "공시열람")</f>
        <v/>
      </c>
    </row>
    <row r="5983">
      <c r="A5983" t="inlineStr">
        <is>
          <t>2024-01-08</t>
        </is>
      </c>
      <c r="B5983" t="inlineStr">
        <is>
          <t>한진</t>
        </is>
      </c>
      <c r="C5983" t="inlineStr">
        <is>
          <t>002320</t>
        </is>
      </c>
      <c r="D5983" t="inlineStr">
        <is>
          <t>연결</t>
        </is>
      </c>
      <c r="E5983" t="inlineStr">
        <is>
          <t>2023Q4</t>
        </is>
      </c>
      <c r="F5983" s="2" t="n">
        <v>748800</v>
      </c>
      <c r="G5983" t="n">
        <v>8.199999999999999</v>
      </c>
      <c r="H5983" t="n">
        <v>3.9</v>
      </c>
      <c r="I5983" s="2" t="n">
        <v>27500</v>
      </c>
      <c r="J5983" t="n">
        <v>-18.4</v>
      </c>
      <c r="K5983" t="n">
        <v>19.6</v>
      </c>
      <c r="L5983" s="2" t="inlineStr"/>
      <c r="M5983" t="inlineStr"/>
      <c r="N5983" t="inlineStr">
        <is>
          <t>20240108800087</t>
        </is>
      </c>
      <c r="O5983">
        <f>HYPERLINK("https://dart.fss.or.kr/dsaf001/main.do?rcpNo=20240108800087", "공시열람")</f>
        <v/>
      </c>
    </row>
    <row r="5984">
      <c r="A5984" t="inlineStr">
        <is>
          <t>2024-01-08</t>
        </is>
      </c>
      <c r="B5984" t="inlineStr">
        <is>
          <t>광주신세계</t>
        </is>
      </c>
      <c r="C5984" t="inlineStr">
        <is>
          <t>037710</t>
        </is>
      </c>
      <c r="D5984" t="inlineStr">
        <is>
          <t>별도</t>
        </is>
      </c>
      <c r="E5984" t="inlineStr">
        <is>
          <t>2023Q4</t>
        </is>
      </c>
      <c r="F5984" s="2" t="n">
        <v>16738</v>
      </c>
      <c r="G5984" t="n">
        <v>5.2</v>
      </c>
      <c r="H5984" t="n">
        <v>2.7</v>
      </c>
      <c r="I5984" s="2" t="inlineStr"/>
      <c r="J5984" t="inlineStr"/>
      <c r="K5984" t="inlineStr"/>
      <c r="L5984" s="2" t="inlineStr"/>
      <c r="M5984" t="inlineStr"/>
      <c r="N5984" t="inlineStr">
        <is>
          <t>20240108800425</t>
        </is>
      </c>
      <c r="O5984">
        <f>HYPERLINK("https://dart.fss.or.kr/dsaf001/main.do?rcpNo=20240108800425", "공시열람")</f>
        <v/>
      </c>
    </row>
    <row r="5985">
      <c r="A5985" t="inlineStr">
        <is>
          <t>2024-01-08</t>
        </is>
      </c>
      <c r="B5985" t="inlineStr">
        <is>
          <t>신세계</t>
        </is>
      </c>
      <c r="C5985" t="inlineStr">
        <is>
          <t>004170</t>
        </is>
      </c>
      <c r="D5985" t="inlineStr">
        <is>
          <t>별도</t>
        </is>
      </c>
      <c r="E5985" t="inlineStr">
        <is>
          <t>2023Q4</t>
        </is>
      </c>
      <c r="F5985" s="2" t="n">
        <v>190695</v>
      </c>
      <c r="G5985" t="n">
        <v>15.51</v>
      </c>
      <c r="H5985" t="n">
        <v>10.34</v>
      </c>
      <c r="I5985" s="2" t="inlineStr"/>
      <c r="J5985" t="inlineStr"/>
      <c r="K5985" t="inlineStr"/>
      <c r="L5985" s="2" t="inlineStr"/>
      <c r="M5985" t="inlineStr"/>
      <c r="N5985" t="inlineStr">
        <is>
          <t>20240108800303</t>
        </is>
      </c>
      <c r="O5985">
        <f>HYPERLINK("https://dart.fss.or.kr/dsaf001/main.do?rcpNo=20240108800303", "공시열람")</f>
        <v/>
      </c>
    </row>
    <row r="5986">
      <c r="A5986" t="inlineStr">
        <is>
          <t>2024-01-08</t>
        </is>
      </c>
      <c r="B5986" t="inlineStr">
        <is>
          <t>LG전자</t>
        </is>
      </c>
      <c r="C5986" t="inlineStr">
        <is>
          <t>066570</t>
        </is>
      </c>
      <c r="D5986" t="inlineStr">
        <is>
          <t>연결</t>
        </is>
      </c>
      <c r="E5986" t="inlineStr">
        <is>
          <t>2023Q4</t>
        </is>
      </c>
      <c r="F5986" s="2" t="n">
        <v>23156700</v>
      </c>
      <c r="G5986" t="inlineStr"/>
      <c r="H5986" t="inlineStr"/>
      <c r="I5986" s="2" t="n">
        <v>312500</v>
      </c>
      <c r="J5986" t="inlineStr"/>
      <c r="K5986" t="inlineStr"/>
      <c r="L5986" s="2" t="inlineStr"/>
      <c r="M5986" t="inlineStr"/>
      <c r="N5986" t="inlineStr">
        <is>
          <t>20240108800281</t>
        </is>
      </c>
      <c r="O5986">
        <f>HYPERLINK("https://dart.fss.or.kr/dsaf001/main.do?rcpNo=20240108800281", "공시열람")</f>
        <v/>
      </c>
    </row>
    <row r="5987">
      <c r="A5987" t="inlineStr">
        <is>
          <t>2024-01-03</t>
        </is>
      </c>
      <c r="B5987" t="inlineStr">
        <is>
          <t>GKL</t>
        </is>
      </c>
      <c r="C5987" t="inlineStr">
        <is>
          <t>114090</t>
        </is>
      </c>
      <c r="D5987" t="inlineStr">
        <is>
          <t>별도</t>
        </is>
      </c>
      <c r="E5987" t="inlineStr">
        <is>
          <t>2023Q4</t>
        </is>
      </c>
      <c r="F5987" s="2" t="inlineStr"/>
      <c r="G5987" t="inlineStr"/>
      <c r="H5987" t="inlineStr"/>
      <c r="I5987" s="2" t="inlineStr"/>
      <c r="J5987" t="inlineStr"/>
      <c r="K5987" t="inlineStr"/>
      <c r="L5987" s="2" t="inlineStr"/>
      <c r="M5987" t="inlineStr"/>
      <c r="N5987" t="inlineStr">
        <is>
          <t>20240103800237</t>
        </is>
      </c>
      <c r="O5987">
        <f>HYPERLINK("https://dart.fss.or.kr/dsaf001/main.do?rcpNo=20240103800237", "공시열람")</f>
        <v/>
      </c>
    </row>
    <row r="5988">
      <c r="A5988" t="inlineStr">
        <is>
          <t>2024-01-03</t>
        </is>
      </c>
      <c r="B5988" t="inlineStr">
        <is>
          <t>KG모빌리티</t>
        </is>
      </c>
      <c r="C5988" t="inlineStr">
        <is>
          <t>003620</t>
        </is>
      </c>
      <c r="D5988" t="inlineStr">
        <is>
          <t>별도</t>
        </is>
      </c>
      <c r="E5988" t="inlineStr">
        <is>
          <t>2023Q4</t>
        </is>
      </c>
      <c r="F5988" s="2" t="inlineStr"/>
      <c r="G5988" t="inlineStr"/>
      <c r="H5988" t="inlineStr"/>
      <c r="I5988" s="2" t="inlineStr"/>
      <c r="J5988" t="inlineStr"/>
      <c r="K5988" t="inlineStr"/>
      <c r="L5988" s="2" t="inlineStr"/>
      <c r="M5988" t="inlineStr"/>
      <c r="N5988" t="inlineStr">
        <is>
          <t>20240103800492</t>
        </is>
      </c>
      <c r="O5988">
        <f>HYPERLINK("https://dart.fss.or.kr/dsaf001/main.do?rcpNo=20240103800492", "공시열람")</f>
        <v/>
      </c>
    </row>
    <row r="5989">
      <c r="A5989" t="inlineStr">
        <is>
          <t>2024-01-03</t>
        </is>
      </c>
      <c r="B5989" t="inlineStr">
        <is>
          <t>기아</t>
        </is>
      </c>
      <c r="C5989" t="inlineStr">
        <is>
          <t>000270</t>
        </is>
      </c>
      <c r="D5989" t="inlineStr">
        <is>
          <t>별도</t>
        </is>
      </c>
      <c r="E5989" t="inlineStr">
        <is>
          <t>2023Q4</t>
        </is>
      </c>
      <c r="F5989" s="2" t="inlineStr"/>
      <c r="G5989" t="inlineStr"/>
      <c r="H5989" t="inlineStr"/>
      <c r="I5989" s="2" t="inlineStr"/>
      <c r="J5989" t="inlineStr"/>
      <c r="K5989" t="inlineStr"/>
      <c r="L5989" s="2" t="inlineStr"/>
      <c r="M5989" t="inlineStr"/>
      <c r="N5989" t="inlineStr">
        <is>
          <t>20240103800541</t>
        </is>
      </c>
      <c r="O5989">
        <f>HYPERLINK("https://dart.fss.or.kr/dsaf001/main.do?rcpNo=20240103800541", "공시열람")</f>
        <v/>
      </c>
    </row>
    <row r="5990">
      <c r="A5990" t="inlineStr">
        <is>
          <t>2024-01-03</t>
        </is>
      </c>
      <c r="B5990" t="inlineStr">
        <is>
          <t>현대자동차</t>
        </is>
      </c>
      <c r="C5990" t="inlineStr">
        <is>
          <t>005380</t>
        </is>
      </c>
      <c r="D5990" t="inlineStr">
        <is>
          <t>별도</t>
        </is>
      </c>
      <c r="E5990" t="inlineStr">
        <is>
          <t>2023Q4</t>
        </is>
      </c>
      <c r="F5990" s="2" t="inlineStr"/>
      <c r="G5990" t="inlineStr"/>
      <c r="H5990" t="inlineStr"/>
      <c r="I5990" s="2" t="inlineStr"/>
      <c r="J5990" t="inlineStr"/>
      <c r="K5990" t="inlineStr"/>
      <c r="L5990" s="2" t="inlineStr"/>
      <c r="M5990" t="inlineStr"/>
      <c r="N5990" t="inlineStr">
        <is>
          <t>20240103800631</t>
        </is>
      </c>
      <c r="O5990">
        <f>HYPERLINK("https://dart.fss.or.kr/dsaf001/main.do?rcpNo=20240103800631", "공시열람")</f>
        <v/>
      </c>
    </row>
    <row r="5991">
      <c r="A5991" t="inlineStr">
        <is>
          <t>2024-01-02</t>
        </is>
      </c>
      <c r="B5991" t="inlineStr">
        <is>
          <t>파라다이스</t>
        </is>
      </c>
      <c r="C5991" t="inlineStr">
        <is>
          <t>034230</t>
        </is>
      </c>
      <c r="D5991" t="inlineStr">
        <is>
          <t>연결</t>
        </is>
      </c>
      <c r="E5991" t="inlineStr">
        <is>
          <t>2023Q4</t>
        </is>
      </c>
      <c r="F5991" s="2" t="inlineStr"/>
      <c r="G5991" t="inlineStr"/>
      <c r="H5991" t="inlineStr"/>
      <c r="I5991" s="2" t="inlineStr"/>
      <c r="J5991" t="inlineStr"/>
      <c r="K5991" t="inlineStr"/>
      <c r="L5991" s="2" t="inlineStr"/>
      <c r="M5991" t="inlineStr"/>
      <c r="N5991" t="inlineStr">
        <is>
          <t>20240102900281</t>
        </is>
      </c>
      <c r="O5991">
        <f>HYPERLINK("https://dart.fss.or.kr/dsaf001/main.do?rcpNo=20240102900281", "공시열람")</f>
        <v/>
      </c>
    </row>
    <row r="5992">
      <c r="A5992" t="inlineStr">
        <is>
          <t>2024-01-02</t>
        </is>
      </c>
      <c r="B5992" t="inlineStr">
        <is>
          <t>롯데관광개발</t>
        </is>
      </c>
      <c r="C5992" t="inlineStr">
        <is>
          <t>032350</t>
        </is>
      </c>
      <c r="D5992" t="inlineStr">
        <is>
          <t>연결</t>
        </is>
      </c>
      <c r="E5992" t="inlineStr">
        <is>
          <t>2023Q4</t>
        </is>
      </c>
      <c r="F5992" s="2" t="inlineStr"/>
      <c r="G5992" t="inlineStr"/>
      <c r="H5992" t="inlineStr"/>
      <c r="I5992" s="2" t="inlineStr"/>
      <c r="J5992" t="inlineStr"/>
      <c r="K5992" t="inlineStr"/>
      <c r="L5992" s="2" t="inlineStr"/>
      <c r="M5992" t="inlineStr"/>
      <c r="N5992" t="inlineStr">
        <is>
          <t>20240102800664</t>
        </is>
      </c>
      <c r="O5992">
        <f>HYPERLINK("https://dart.fss.or.kr/dsaf001/main.do?rcpNo=20240102800664", "공시열람")</f>
        <v/>
      </c>
    </row>
  </sheetData>
  <autoFilter ref="A1:O59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2026Q2</t>
        </is>
      </c>
      <c r="D29" t="inlineStr">
        <is>
          <t>20260811</t>
        </is>
      </c>
      <c r="E29" s="2" t="n">
        <v>55868450</v>
      </c>
      <c r="F29" s="2" t="n">
        <v>38228713</v>
      </c>
      <c r="G29" s="2" t="n">
        <v>17639737</v>
      </c>
      <c r="H29" t="inlineStr"/>
      <c r="I29" t="n">
        <v>7.3</v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5</v>
      </c>
      <c r="U29" t="inlineStr">
        <is>
          <t>클린 컨베이어시스템(B사) / 26.01.30 / 26 | 클린 컨베이어시스템(C사) / 24.05.21 | 클린 컨베이어시스템(B사) / 26.04.30 / 26</t>
        </is>
      </c>
      <c r="V29">
        <f>HYPERLINK("https://dart.fss.or.kr/dsaf001/main.do?rcpNo=20260811000408",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2026Q2</t>
        </is>
      </c>
      <c r="D73" t="inlineStr">
        <is>
          <t>20260812</t>
        </is>
      </c>
      <c r="E73" s="2" t="n">
        <v>407474</v>
      </c>
      <c r="F73" s="2" t="n">
        <v>349262</v>
      </c>
      <c r="G73" s="2" t="n">
        <v>58212</v>
      </c>
      <c r="H73" t="inlineStr"/>
      <c r="I73" t="n">
        <v>8.199999999999999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HYPERLINK("https://dart.fss.or.kr/dsaf001/main.do?rcpNo=20260812000613",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2026Q2</t>
        </is>
      </c>
      <c r="D139" t="inlineStr">
        <is>
          <t>20260812</t>
        </is>
      </c>
      <c r="E139" s="2" t="n">
        <v>9584640</v>
      </c>
      <c r="F139" s="2" t="n">
        <v>1828277</v>
      </c>
      <c r="G139" s="2" t="n">
        <v>7756364</v>
      </c>
      <c r="H139" t="inlineStr"/>
      <c r="I139" t="n">
        <v>10.1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반기 | 변압기 등중전기 / 계</t>
        </is>
      </c>
      <c r="V139">
        <f>HYPERLINK("https://dart.fss.or.kr/dsaf001/main.do?rcpNo=20260812000400",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2026Q2</t>
        </is>
      </c>
      <c r="D146" t="inlineStr">
        <is>
          <t>20260812</t>
        </is>
      </c>
      <c r="E146" s="2" t="n">
        <v>15528</v>
      </c>
      <c r="F146" s="2" t="inlineStr"/>
      <c r="G146" s="2" t="n">
        <v>15528</v>
      </c>
      <c r="H146" t="inlineStr"/>
      <c r="I146" t="n">
        <v>-33.2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24.12.13 / 27.5.28</t>
        </is>
      </c>
      <c r="V146">
        <f>HYPERLINK("https://dart.fss.or.kr/dsaf001/main.do?rcpNo=20260812000276",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2026Q2</t>
        </is>
      </c>
      <c r="D187" t="inlineStr">
        <is>
          <t>20260812</t>
        </is>
      </c>
      <c r="E187" s="2" t="n">
        <v>105428</v>
      </c>
      <c r="F187" s="2" t="n">
        <v>10825</v>
      </c>
      <c r="G187" s="2" t="n">
        <v>94603</v>
      </c>
      <c r="H187" t="inlineStr"/>
      <c r="I187" t="n">
        <v>90.5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~26.06.3</t>
        </is>
      </c>
      <c r="V187">
        <f>HYPERLINK("https://dart.fss.or.kr/dsaf001/main.do?rcpNo=20260812000003",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2026Q2</t>
        </is>
      </c>
      <c r="D209" t="inlineStr">
        <is>
          <t>20260812</t>
        </is>
      </c>
      <c r="E209" s="2" t="n">
        <v>1109067</v>
      </c>
      <c r="F209" s="2" t="n">
        <v>807135</v>
      </c>
      <c r="G209" s="2" t="n">
        <v>301932</v>
      </c>
      <c r="H209" t="inlineStr">
        <is>
          <t>백만원</t>
        </is>
      </c>
      <c r="I209" t="n">
        <v>-16.8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17</v>
      </c>
      <c r="U209" t="inlineStr">
        <is>
          <t>AFC / ULG / 2021.12.22 | AFC / BWL / 2024.12.27 | HRSG / DH / 2025.03.07</t>
        </is>
      </c>
      <c r="V209">
        <f>HYPERLINK("https://dart.fss.or.kr/dsaf001/main.do?rcpNo=20260812000295",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2026Q2</t>
        </is>
      </c>
      <c r="D240" t="inlineStr">
        <is>
          <t>20260812</t>
        </is>
      </c>
      <c r="E240" s="2" t="n">
        <v>41675211</v>
      </c>
      <c r="F240" s="2" t="inlineStr"/>
      <c r="G240" s="2" t="n">
        <v>33008410</v>
      </c>
      <c r="H240" t="inlineStr"/>
      <c r="I240" t="n">
        <v>-6.7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2026.06.30일까지 / - | EP 및 특수선 / 2026.06.30일까지 / - | 기타 / 2026.06.30일까지 / -</t>
        </is>
      </c>
      <c r="V240">
        <f>HYPERLINK("https://dart.fss.or.kr/dsaf001/main.do?rcpNo=20260812000829",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2026Q2</t>
        </is>
      </c>
      <c r="D253" t="inlineStr">
        <is>
          <t>20260812</t>
        </is>
      </c>
      <c r="E253" s="2" t="n">
        <v>53227</v>
      </c>
      <c r="F253" s="2" t="n">
        <v>46279</v>
      </c>
      <c r="G253" s="2" t="n">
        <v>6948</v>
      </c>
      <c r="H253" t="inlineStr"/>
      <c r="I253" t="n">
        <v>-79.5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10</v>
      </c>
      <c r="U253" t="inlineStr">
        <is>
          <t>FILTER / 수주 후15일이내:내수30일이내:수출 | FILTER / 수주 후15일이내:내수30일이내:수출 | 자동차용여과지 / 수주 후15일이내:내수30일이내:수출</t>
        </is>
      </c>
      <c r="V253">
        <f>HYPERLINK("https://dart.fss.or.kr/dsaf001/main.do?rcpNo=20260812000060",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2026Q2</t>
        </is>
      </c>
      <c r="D283" t="inlineStr">
        <is>
          <t>20260812</t>
        </is>
      </c>
      <c r="E283" s="2" t="inlineStr"/>
      <c r="F283" s="2" t="inlineStr"/>
      <c r="G283" s="2" t="n">
        <v>964623</v>
      </c>
      <c r="H283" t="inlineStr"/>
      <c r="I283" t="n">
        <v>-75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12</v>
      </c>
      <c r="U283" t="inlineStr">
        <is>
          <t>로봇AI물류자동화 | 로봇AI물류자동화 | 로봇AI물류자동화</t>
        </is>
      </c>
      <c r="V283">
        <f>HYPERLINK("https://dart.fss.or.kr/dsaf001/main.do?rcpNo=20260812000465",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2026Q2</t>
        </is>
      </c>
      <c r="D298" t="inlineStr">
        <is>
          <t>20260812</t>
        </is>
      </c>
      <c r="E298" s="2" t="n">
        <v>3684000</v>
      </c>
      <c r="F298" s="2" t="inlineStr"/>
      <c r="G298" s="2" t="n">
        <v>3684000</v>
      </c>
      <c r="H298" t="inlineStr"/>
      <c r="I298" t="n">
        <v>823.3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3</v>
      </c>
      <c r="U298" t="inlineStr">
        <is>
          <t>- / 2026-04-27 / 2026-11-30 | - / 2026-04-24 / 2026-08-30 | - / 2026-06-16 / 2026-09-30</t>
        </is>
      </c>
      <c r="V298">
        <f>HYPERLINK("https://dart.fss.or.kr/dsaf001/main.do?rcpNo=20260812000330",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2026Q2</t>
        </is>
      </c>
      <c r="D311" t="inlineStr">
        <is>
          <t>20260812</t>
        </is>
      </c>
      <c r="E311" s="2" t="n">
        <v>36514883</v>
      </c>
      <c r="F311" s="2" t="n">
        <v>23338580</v>
      </c>
      <c r="G311" s="2" t="n">
        <v>13176303</v>
      </c>
      <c r="H311" t="inlineStr"/>
      <c r="I311" t="n">
        <v>-18.2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2026년 | 콜센터 / 2025년 / 2026년 | 콜센터 / 2025년 / 2028년</t>
        </is>
      </c>
      <c r="V311">
        <f>HYPERLINK("https://dart.fss.or.kr/dsaf001/main.do?rcpNo=20260812000387",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2026Q2</t>
        </is>
      </c>
      <c r="D325" t="inlineStr">
        <is>
          <t>20260811</t>
        </is>
      </c>
      <c r="E325" s="2" t="n">
        <v>87737</v>
      </c>
      <c r="F325" s="2" t="n">
        <v>52897</v>
      </c>
      <c r="G325" s="2" t="n">
        <v>34840</v>
      </c>
      <c r="H325" t="inlineStr"/>
      <c r="I325" t="n">
        <v>-3.1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HYPERLINK("https://dart.fss.or.kr/dsaf001/main.do?rcpNo=20260811000105",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2026Q2</t>
        </is>
      </c>
      <c r="D335" t="inlineStr">
        <is>
          <t>20260811</t>
        </is>
      </c>
      <c r="E335" s="2" t="inlineStr"/>
      <c r="F335" s="2" t="inlineStr"/>
      <c r="G335" s="2" t="n">
        <v>151147</v>
      </c>
      <c r="H335" t="inlineStr"/>
      <c r="I335" t="n">
        <v>26.4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4</v>
      </c>
      <c r="U335" t="inlineStr">
        <is>
          <t>유니슨HKR㈜ / 플랜트 | ㈜누리온 / 스마트사업 | 유니슨HKR㈜ / 건설</t>
        </is>
      </c>
      <c r="V335">
        <f>HYPERLINK("https://dart.fss.or.kr/dsaf001/main.do?rcpNo=20260811000245",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2026Q2</t>
        </is>
      </c>
      <c r="D349" t="inlineStr">
        <is>
          <t>20260812</t>
        </is>
      </c>
      <c r="E349" s="2" t="inlineStr"/>
      <c r="F349" s="2" t="n">
        <v>50672</v>
      </c>
      <c r="G349" s="2" t="n">
        <v>115933</v>
      </c>
      <c r="H349" t="inlineStr"/>
      <c r="I349" t="n">
        <v>25.6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7</v>
      </c>
      <c r="U349" t="inlineStr">
        <is>
          <t>엔진부품 / 소 계 | 엔진부품 / 대형엔진부품 | 형단조품 / 소 계</t>
        </is>
      </c>
      <c r="V349">
        <f>HYPERLINK("https://dart.fss.or.kr/dsaf001/main.do?rcpNo=20260812000573",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2026Q2</t>
        </is>
      </c>
      <c r="D365" t="inlineStr">
        <is>
          <t>20260812</t>
        </is>
      </c>
      <c r="E365" s="2" t="n">
        <v>174455</v>
      </c>
      <c r="F365" s="2" t="n">
        <v>137580</v>
      </c>
      <c r="G365" s="2" t="n">
        <v>36875</v>
      </c>
      <c r="H365" t="inlineStr"/>
      <c r="I365" t="n">
        <v>-1.4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HYPERLINK("https://dart.fss.or.kr/dsaf001/main.do?rcpNo=20260812000361",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2026Q2</t>
        </is>
      </c>
      <c r="D370" t="inlineStr">
        <is>
          <t>20260812</t>
        </is>
      </c>
      <c r="E370" s="2" t="n">
        <v>20472</v>
      </c>
      <c r="F370" s="2" t="inlineStr"/>
      <c r="G370" s="2" t="n">
        <v>20472</v>
      </c>
      <c r="H370" t="inlineStr"/>
      <c r="I370" t="n">
        <v>-15.9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1</v>
      </c>
      <c r="U370" t="inlineStr">
        <is>
          <t>- / 2026-05-23 / 2027-10-29</t>
        </is>
      </c>
      <c r="V370">
        <f>HYPERLINK("https://dart.fss.or.kr/dsaf001/main.do?rcpNo=20260812000200",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2026Q2</t>
        </is>
      </c>
      <c r="D373" t="inlineStr">
        <is>
          <t>20260812</t>
        </is>
      </c>
      <c r="E373" s="2" t="n">
        <v>56914346</v>
      </c>
      <c r="F373" s="2" t="n">
        <v>26989540</v>
      </c>
      <c r="G373" s="2" t="n">
        <v>29924806</v>
      </c>
      <c r="H373" t="inlineStr"/>
      <c r="I373" t="n">
        <v>76.09999999999999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부품소재 / - | 장비제조 / -</t>
        </is>
      </c>
      <c r="V373">
        <f>HYPERLINK("https://dart.fss.or.kr/dsaf001/main.do?rcpNo=20260812000237",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2026Q2</t>
        </is>
      </c>
      <c r="D409" t="inlineStr">
        <is>
          <t>20260812</t>
        </is>
      </c>
      <c r="E409" s="2" t="n">
        <v>35719</v>
      </c>
      <c r="F409" s="2" t="n">
        <v>16676</v>
      </c>
      <c r="G409" s="2" t="n">
        <v>19043</v>
      </c>
      <c r="H409" t="inlineStr"/>
      <c r="I409" t="n">
        <v>-16.7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~2026.06.30 / - | 상선 / ~2026.06.30 / - | 수리 / ~2026.06.30 / -</t>
        </is>
      </c>
      <c r="V409">
        <f>HYPERLINK("https://dart.fss.or.kr/dsaf001/main.do?rcpNo=20260812000297",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2026Q2</t>
        </is>
      </c>
      <c r="D415" t="inlineStr">
        <is>
          <t>20260807</t>
        </is>
      </c>
      <c r="E415" s="2" t="n">
        <v>143772</v>
      </c>
      <c r="F415" s="2" t="n">
        <v>88051</v>
      </c>
      <c r="G415" s="2" t="n">
        <v>55721</v>
      </c>
      <c r="H415" t="inlineStr"/>
      <c r="I415" t="n">
        <v>-18.4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2023.11.15 | 의료정보시스템 개발 및 판매 / 2021.10.27 /</t>
        </is>
      </c>
      <c r="V415">
        <f>HYPERLINK("https://dart.fss.or.kr/dsaf001/main.do?rcpNo=20260807000168",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2026Q2</t>
        </is>
      </c>
      <c r="D418" t="inlineStr">
        <is>
          <t>20260812</t>
        </is>
      </c>
      <c r="E418" s="2" t="n">
        <v>1109067461</v>
      </c>
      <c r="F418" s="2" t="n">
        <v>807135449</v>
      </c>
      <c r="G418" s="2" t="n">
        <v>301932011</v>
      </c>
      <c r="H418" t="inlineStr"/>
      <c r="I418" t="n">
        <v>-16.8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17</v>
      </c>
      <c r="U418" t="inlineStr">
        <is>
          <t>AFC / ULG / 2021.12.22 | AFC / BWL / 2024.12.27 | HRSG / DH / 2025.03.07</t>
        </is>
      </c>
      <c r="V418">
        <f>HYPERLINK("https://dart.fss.or.kr/dsaf001/main.do?rcpNo=20260812000070",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2026Q2</t>
        </is>
      </c>
      <c r="D426" t="inlineStr">
        <is>
          <t>20260811</t>
        </is>
      </c>
      <c r="E426" s="2" t="n">
        <v>9584640</v>
      </c>
      <c r="F426" s="2" t="n">
        <v>1828277</v>
      </c>
      <c r="G426" s="2" t="n">
        <v>7756364</v>
      </c>
      <c r="H426" t="inlineStr"/>
      <c r="I426" t="n">
        <v>10.1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반기 | 변압기 등중전기 / 계</t>
        </is>
      </c>
      <c r="V426">
        <f>HYPERLINK("https://dart.fss.or.kr/dsaf001/main.do?rcpNo=20260811000431",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2026Q2</t>
        </is>
      </c>
      <c r="D515" t="inlineStr">
        <is>
          <t>20260812</t>
        </is>
      </c>
      <c r="E515" s="2" t="n">
        <v>26864306</v>
      </c>
      <c r="F515" s="2" t="inlineStr"/>
      <c r="G515" s="2" t="n">
        <v>43987652</v>
      </c>
      <c r="H515" t="inlineStr"/>
      <c r="I515" t="n">
        <v>-7.4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9</v>
      </c>
      <c r="U515" t="inlineStr">
        <is>
          <t>합 계 / 국내 | 개량신약 임상시험 / 국내 | 생물학적 동등성시험 / 국내</t>
        </is>
      </c>
      <c r="V515">
        <f>HYPERLINK("https://dart.fss.or.kr/dsaf001/main.do?rcpNo=20260812000618",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2026Q2</t>
        </is>
      </c>
      <c r="D551" t="inlineStr">
        <is>
          <t>20260811</t>
        </is>
      </c>
      <c r="E551" s="2" t="n">
        <v>123321206576</v>
      </c>
      <c r="F551" s="2" t="inlineStr"/>
      <c r="G551" s="2" t="n">
        <v>1100281066004</v>
      </c>
      <c r="H551" t="inlineStr"/>
      <c r="I551" t="n">
        <v>-12.6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HYPERLINK("https://dart.fss.or.kr/dsaf001/main.do?rcpNo=20260811000495",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2026Q2</t>
        </is>
      </c>
      <c r="D567" t="inlineStr">
        <is>
          <t>20260812</t>
        </is>
      </c>
      <c r="E567" s="2" t="n">
        <v>11477813</v>
      </c>
      <c r="F567" s="2" t="inlineStr"/>
      <c r="G567" s="2" t="n">
        <v>5006140</v>
      </c>
      <c r="H567" t="inlineStr"/>
      <c r="I567" t="n">
        <v>-2.1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13</v>
      </c>
      <c r="U567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567">
        <f>HYPERLINK("https://dart.fss.or.kr/dsaf001/main.do?rcpNo=20260812000605",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2026Q2</t>
        </is>
      </c>
      <c r="D585" t="inlineStr">
        <is>
          <t>20260812</t>
        </is>
      </c>
      <c r="E585" s="2" t="n">
        <v>29172</v>
      </c>
      <c r="F585" s="2" t="n">
        <v>6383</v>
      </c>
      <c r="G585" s="2" t="n">
        <v>22789</v>
      </c>
      <c r="H585" t="inlineStr"/>
      <c r="I585" t="n">
        <v>-21.9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>SEPARATOR FILM LINE 설비(제작, 설치) | Tentar Cure Machine 제작_1SET /  | HP 03/04 Line Swelling 추출조 건조조</t>
        </is>
      </c>
      <c r="V585">
        <f>HYPERLINK("https://dart.fss.or.kr/dsaf001/main.do?rcpNo=20260812000533",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2026Q2</t>
        </is>
      </c>
      <c r="D589" t="inlineStr">
        <is>
          <t>20260812</t>
        </is>
      </c>
      <c r="E589" s="2" t="n">
        <v>25051</v>
      </c>
      <c r="F589" s="2" t="n">
        <v>10595</v>
      </c>
      <c r="G589" s="2" t="n">
        <v>14456</v>
      </c>
      <c r="H589" t="inlineStr"/>
      <c r="I589" t="n">
        <v>-3.4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>IT 컨설팅 / 시스템 구축 및 운영/유지 보수 / ' | B2B 소프트웨어 / SAP B1 ERP 공급 및 구축</t>
        </is>
      </c>
      <c r="V589">
        <f>HYPERLINK("https://dart.fss.or.kr/dsaf001/main.do?rcpNo=20260812000182",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2026Q2</t>
        </is>
      </c>
      <c r="D598" t="inlineStr">
        <is>
          <t>20260812</t>
        </is>
      </c>
      <c r="E598" s="2" t="n">
        <v>2526</v>
      </c>
      <c r="F598" s="2" t="n">
        <v>1418</v>
      </c>
      <c r="G598" s="2" t="n">
        <v>1108</v>
      </c>
      <c r="H598" t="inlineStr"/>
      <c r="I598" t="n">
        <v>-19.1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HYPERLINK("https://dart.fss.or.kr/dsaf001/main.do?rcpNo=20260812000800",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2026Q2</t>
        </is>
      </c>
      <c r="D622" t="inlineStr">
        <is>
          <t>20260812</t>
        </is>
      </c>
      <c r="E622" s="2" t="n">
        <v>7140</v>
      </c>
      <c r="F622" s="2" t="n">
        <v>4385</v>
      </c>
      <c r="G622" s="2" t="n">
        <v>2755</v>
      </c>
      <c r="H622" t="inlineStr"/>
      <c r="I622" t="n">
        <v>11.1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보안분야 / - | 교통분야 / -</t>
        </is>
      </c>
      <c r="V622">
        <f>HYPERLINK("https://dart.fss.or.kr/dsaf001/main.do?rcpNo=20260812000620",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2026Q2</t>
        </is>
      </c>
      <c r="D642" t="inlineStr">
        <is>
          <t>20260812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0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HYPERLINK("https://dart.fss.or.kr/dsaf001/main.do?rcpNo=20260812000513",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2026Q2</t>
        </is>
      </c>
      <c r="D661" t="inlineStr">
        <is>
          <t>20260812</t>
        </is>
      </c>
      <c r="E661" s="2" t="n">
        <v>68975</v>
      </c>
      <c r="F661" s="2" t="n">
        <v>23382</v>
      </c>
      <c r="G661" s="2" t="n">
        <v>45593</v>
      </c>
      <c r="H661" t="inlineStr"/>
      <c r="I661" t="n">
        <v>43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HYPERLINK("https://dart.fss.or.kr/dsaf001/main.do?rcpNo=20260812000203",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2026Q2</t>
        </is>
      </c>
      <c r="D663" t="inlineStr">
        <is>
          <t>20260811</t>
        </is>
      </c>
      <c r="E663" s="2" t="n">
        <v>218219</v>
      </c>
      <c r="F663" s="2" t="inlineStr"/>
      <c r="G663" s="2" t="n">
        <v>218219</v>
      </c>
      <c r="H663" t="inlineStr"/>
      <c r="I663" t="n">
        <v>-78.8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10</v>
      </c>
      <c r="U663" t="inlineStr">
        <is>
          <t>AI Software / 2026-06-29 / 202 | AI Software / 2026-03-25 / 202 | AI Software / 2026-06-30 / 202</t>
        </is>
      </c>
      <c r="V663">
        <f>HYPERLINK("https://dart.fss.or.kr/dsaf001/main.do?rcpNo=20260811000657",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2026Q2</t>
        </is>
      </c>
      <c r="D725" t="inlineStr">
        <is>
          <t>20260812</t>
        </is>
      </c>
      <c r="E725" s="2" t="n">
        <v>45381687</v>
      </c>
      <c r="F725" s="2" t="inlineStr"/>
      <c r="G725" s="2" t="n">
        <v>18414317</v>
      </c>
      <c r="H725" t="inlineStr"/>
      <c r="I725" t="n">
        <v>-22.1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10</v>
      </c>
      <c r="U725" t="inlineStr">
        <is>
          <t>기타 / - | 원광대학교 / 2025-09-25 / 2027-09-1 | 서울대학교 / 2024-12-30 / 2028-02-2</t>
        </is>
      </c>
      <c r="V725">
        <f>HYPERLINK("https://dart.fss.or.kr/dsaf001/main.do?rcpNo=20260812000435",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2026Q2</t>
        </is>
      </c>
      <c r="D747" t="inlineStr">
        <is>
          <t>20260812</t>
        </is>
      </c>
      <c r="E747" s="2" t="n">
        <v>63805</v>
      </c>
      <c r="F747" s="2" t="n">
        <v>39285</v>
      </c>
      <c r="G747" s="2" t="n">
        <v>24520</v>
      </c>
      <c r="H747" t="inlineStr"/>
      <c r="I747" t="n">
        <v>-17.6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HYPERLINK("https://dart.fss.or.kr/dsaf001/main.do?rcpNo=20260812000706",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2026Q2</t>
        </is>
      </c>
      <c r="D774" t="inlineStr">
        <is>
          <t>20260811</t>
        </is>
      </c>
      <c r="E774" s="2" t="n">
        <v>3841</v>
      </c>
      <c r="F774" s="2" t="n">
        <v>602</v>
      </c>
      <c r="G774" s="2" t="n">
        <v>3239</v>
      </c>
      <c r="H774" t="inlineStr"/>
      <c r="I774" t="n">
        <v>-14.2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3</v>
      </c>
      <c r="U774" t="inlineStr">
        <is>
          <t>디스플레이 | 반도체 | 기타</t>
        </is>
      </c>
      <c r="V774">
        <f>HYPERLINK("https://dart.fss.or.kr/dsaf001/main.do?rcpNo=20260811000295",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2026-08-13T12:36:19Z</dcterms:created>
  <dcterms:modified xmlns:dcterms="http://purl.org/dc/terms/" xmlns:xsi="http://www.w3.org/2001/XMLSchema-instance" xsi:type="dcterms:W3CDTF">2026-08-13T12:36:20Z</dcterms:modified>
</cp:coreProperties>
</file>