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40" yWindow="8520" windowWidth="26980" windowHeight="19580" tabRatio="500"/>
  </bookViews>
  <sheets>
    <sheet name="Sheet1" sheetId="1" r:id="rId1"/>
  </sheets>
  <externalReferences>
    <externalReference r:id="rId2"/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C43" i="1"/>
  <c r="F42" i="1"/>
  <c r="C42" i="1"/>
  <c r="I30" i="1"/>
  <c r="I29" i="1"/>
  <c r="I28" i="1"/>
  <c r="I26" i="1"/>
  <c r="I25" i="1"/>
  <c r="I24" i="1"/>
  <c r="I23" i="1"/>
  <c r="I22" i="1"/>
  <c r="B24" i="1"/>
  <c r="B23" i="1"/>
  <c r="E8" i="1"/>
  <c r="E9" i="1"/>
  <c r="E10" i="1"/>
  <c r="E11" i="1"/>
  <c r="E12" i="1"/>
  <c r="E14" i="1"/>
  <c r="E17" i="1"/>
  <c r="E22" i="1"/>
  <c r="E26" i="1"/>
  <c r="B27" i="1"/>
  <c r="E27" i="1"/>
  <c r="E28" i="1"/>
  <c r="E29" i="1"/>
  <c r="E31" i="1"/>
  <c r="E32" i="1"/>
  <c r="E23" i="1"/>
  <c r="B25" i="1"/>
  <c r="E25" i="1"/>
  <c r="E33" i="1"/>
  <c r="E37" i="1"/>
  <c r="E36" i="1"/>
  <c r="E34" i="1"/>
  <c r="B22" i="1"/>
  <c r="B26" i="1"/>
  <c r="B28" i="1"/>
  <c r="B29" i="1"/>
  <c r="B30" i="1"/>
  <c r="B33" i="1"/>
  <c r="B34" i="1"/>
  <c r="B35" i="1"/>
  <c r="B11" i="1"/>
  <c r="B12" i="1"/>
  <c r="B13" i="1"/>
  <c r="B15" i="1"/>
  <c r="B8" i="1"/>
  <c r="B9" i="1"/>
  <c r="B10" i="1"/>
  <c r="B14" i="1"/>
  <c r="E15" i="1"/>
  <c r="B16" i="1"/>
</calcChain>
</file>

<file path=xl/sharedStrings.xml><?xml version="1.0" encoding="utf-8"?>
<sst xmlns="http://schemas.openxmlformats.org/spreadsheetml/2006/main" count="105" uniqueCount="50">
  <si>
    <t>NEXT Detector Cost</t>
  </si>
  <si>
    <t>Pressure Vessel</t>
  </si>
  <si>
    <t>NEXT-100</t>
  </si>
  <si>
    <t>Cost</t>
  </si>
  <si>
    <t>Payed by</t>
  </si>
  <si>
    <t>Tools</t>
  </si>
  <si>
    <t>FIS2014</t>
  </si>
  <si>
    <t>Carts</t>
  </si>
  <si>
    <t>CUP</t>
  </si>
  <si>
    <t>Gaskets</t>
  </si>
  <si>
    <t>Vacuum Pump</t>
  </si>
  <si>
    <t>NEW</t>
  </si>
  <si>
    <t>Total</t>
  </si>
  <si>
    <t>Item</t>
  </si>
  <si>
    <t>Vessel fabrication</t>
  </si>
  <si>
    <t>End-cap flanges</t>
  </si>
  <si>
    <t>AdG</t>
  </si>
  <si>
    <t>Energy Plane</t>
  </si>
  <si>
    <t>Support plate</t>
  </si>
  <si>
    <t>Sapphire windows</t>
  </si>
  <si>
    <t>Brazing windows</t>
  </si>
  <si>
    <t>Bolts and nuts</t>
  </si>
  <si>
    <t>PMT bases</t>
  </si>
  <si>
    <t>Feedthrouhgs</t>
  </si>
  <si>
    <t>PMTs R11410-10 (12)</t>
  </si>
  <si>
    <t>PMTs R11410-10 (43)</t>
  </si>
  <si>
    <t>PMTs R11410-10 (20)</t>
  </si>
  <si>
    <t>USA</t>
  </si>
  <si>
    <t xml:space="preserve">Total </t>
  </si>
  <si>
    <t>Total CUP</t>
  </si>
  <si>
    <t>Total AdG</t>
  </si>
  <si>
    <t>Total USA</t>
  </si>
  <si>
    <t>Total FIS2014</t>
  </si>
  <si>
    <t>Can body</t>
  </si>
  <si>
    <t>Can end-cup</t>
  </si>
  <si>
    <t>Cost of can</t>
  </si>
  <si>
    <t>item</t>
  </si>
  <si>
    <t>cost</t>
  </si>
  <si>
    <t>brazing</t>
  </si>
  <si>
    <t>gaskets</t>
  </si>
  <si>
    <t>copper stock</t>
  </si>
  <si>
    <t>manufacture body</t>
  </si>
  <si>
    <t>manufacture end-cup</t>
  </si>
  <si>
    <t>sapphire window</t>
  </si>
  <si>
    <t>total</t>
  </si>
  <si>
    <t>IVA</t>
  </si>
  <si>
    <t>Total + IVA</t>
  </si>
  <si>
    <t>units</t>
  </si>
  <si>
    <t>Funding</t>
  </si>
  <si>
    <t>PMT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</si>
</sst>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2"/>
      <color theme="1"/>
      <name val="Calibri"/>
      <family val="2"/>
      <charset val="128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gomezcadenas/Dropbox/NEXT-COSTS/NEW_Updated_Sept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gomezcadenas/Dropbox/NEXT-COSTS/NEXT-100_Updated_Sept20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W"/>
    </sheetNames>
    <sheetDataSet>
      <sheetData sheetId="0">
        <row r="5">
          <cell r="G5">
            <v>64.13</v>
          </cell>
        </row>
        <row r="6">
          <cell r="G6">
            <v>114.95</v>
          </cell>
        </row>
        <row r="7">
          <cell r="C7">
            <v>180</v>
          </cell>
          <cell r="G7">
            <v>2613.6</v>
          </cell>
        </row>
        <row r="8">
          <cell r="C8">
            <v>204.58</v>
          </cell>
          <cell r="G8">
            <v>2970.5016000000001</v>
          </cell>
        </row>
        <row r="9">
          <cell r="C9">
            <v>450</v>
          </cell>
          <cell r="G9">
            <v>6534</v>
          </cell>
        </row>
        <row r="10">
          <cell r="C10">
            <v>6120</v>
          </cell>
          <cell r="G10">
            <v>7405.2</v>
          </cell>
        </row>
        <row r="11">
          <cell r="G11">
            <v>4840</v>
          </cell>
        </row>
        <row r="12">
          <cell r="G12">
            <v>8840</v>
          </cell>
        </row>
        <row r="15">
          <cell r="C15">
            <v>146</v>
          </cell>
          <cell r="G15">
            <v>3533.2</v>
          </cell>
        </row>
        <row r="16">
          <cell r="G16">
            <v>907.5</v>
          </cell>
        </row>
        <row r="17">
          <cell r="G17">
            <v>907.5</v>
          </cell>
        </row>
        <row r="62">
          <cell r="G62" t="str">
            <v>Total</v>
          </cell>
        </row>
        <row r="71">
          <cell r="G71">
            <v>240.79</v>
          </cell>
        </row>
        <row r="72">
          <cell r="G72">
            <v>534.82000000000005</v>
          </cell>
        </row>
        <row r="73">
          <cell r="G73">
            <v>20000</v>
          </cell>
        </row>
        <row r="75">
          <cell r="G75">
            <v>21780</v>
          </cell>
        </row>
        <row r="76">
          <cell r="G76">
            <v>96195</v>
          </cell>
        </row>
        <row r="77">
          <cell r="G77">
            <v>15730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EXT100"/>
    </sheetNames>
    <sheetDataSet>
      <sheetData sheetId="0">
        <row r="5">
          <cell r="G5">
            <v>27830</v>
          </cell>
        </row>
        <row r="6">
          <cell r="G6">
            <v>13068</v>
          </cell>
        </row>
        <row r="7">
          <cell r="G7">
            <v>14810.4</v>
          </cell>
        </row>
        <row r="8">
          <cell r="G8">
            <v>12100</v>
          </cell>
        </row>
        <row r="9">
          <cell r="G9">
            <v>3932.5</v>
          </cell>
        </row>
        <row r="10">
          <cell r="G10">
            <v>3932.5</v>
          </cell>
        </row>
        <row r="11">
          <cell r="G11">
            <v>11434.5</v>
          </cell>
        </row>
        <row r="12">
          <cell r="G12">
            <v>12840</v>
          </cell>
        </row>
        <row r="13">
          <cell r="G13">
            <v>4840</v>
          </cell>
        </row>
        <row r="15">
          <cell r="G15">
            <v>123420</v>
          </cell>
        </row>
        <row r="61">
          <cell r="G61" t="str">
            <v>Total</v>
          </cell>
        </row>
        <row r="62">
          <cell r="G62">
            <v>24200</v>
          </cell>
        </row>
        <row r="63">
          <cell r="G63">
            <v>36300</v>
          </cell>
        </row>
        <row r="64">
          <cell r="G64">
            <v>102850</v>
          </cell>
        </row>
        <row r="66">
          <cell r="G66">
            <v>24200</v>
          </cell>
        </row>
        <row r="67">
          <cell r="G67">
            <v>0</v>
          </cell>
        </row>
        <row r="68">
          <cell r="G68">
            <v>24200</v>
          </cell>
        </row>
        <row r="69">
          <cell r="G69">
            <v>18150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1" zoomScale="150" zoomScaleNormal="150" zoomScalePageLayoutView="150" workbookViewId="0">
      <selection activeCell="G43" sqref="G43"/>
    </sheetView>
  </sheetViews>
  <sheetFormatPr baseColWidth="10" defaultRowHeight="15" x14ac:dyDescent="0"/>
  <cols>
    <col min="1" max="1" width="23.83203125" customWidth="1"/>
    <col min="5" max="5" width="15.83203125" customWidth="1"/>
    <col min="8" max="8" width="20.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4" spans="1:8" ht="18">
      <c r="A4" s="7" t="s">
        <v>1</v>
      </c>
    </row>
    <row r="6" spans="1:8" ht="18">
      <c r="A6" s="8" t="s">
        <v>11</v>
      </c>
      <c r="E6" s="8" t="s">
        <v>2</v>
      </c>
    </row>
    <row r="7" spans="1:8">
      <c r="A7" t="s">
        <v>13</v>
      </c>
      <c r="B7" t="s">
        <v>3</v>
      </c>
      <c r="C7" t="s">
        <v>4</v>
      </c>
      <c r="E7" t="s">
        <v>3</v>
      </c>
      <c r="F7" t="s">
        <v>4</v>
      </c>
    </row>
    <row r="8" spans="1:8">
      <c r="A8" t="s">
        <v>5</v>
      </c>
      <c r="B8">
        <f>SUM([1]NEW!$G$62:'[1]NEW'!$G$71)</f>
        <v>1608.7459999999999</v>
      </c>
      <c r="C8" t="s">
        <v>16</v>
      </c>
      <c r="E8">
        <f>[2]NEXT100!$G$66+[2]NEXT100!$G$67</f>
        <v>24200</v>
      </c>
      <c r="F8" t="s">
        <v>6</v>
      </c>
    </row>
    <row r="9" spans="1:8">
      <c r="A9" t="s">
        <v>9</v>
      </c>
      <c r="B9">
        <f>[1]NEW!$G$72+0.21*[1]NEW!$G$72</f>
        <v>647.13220000000001</v>
      </c>
      <c r="C9" t="s">
        <v>16</v>
      </c>
      <c r="E9">
        <f>[2]NEXT100!$G$63+[2]NEXT100!$G$64+[2]NEXT100!$G$68</f>
        <v>163350</v>
      </c>
      <c r="F9" t="s">
        <v>6</v>
      </c>
    </row>
    <row r="10" spans="1:8">
      <c r="A10" t="s">
        <v>7</v>
      </c>
      <c r="B10">
        <f>[1]NEW!$G$73+0.21*[1]NEW!$G$73</f>
        <v>24200</v>
      </c>
      <c r="C10" t="s">
        <v>16</v>
      </c>
      <c r="E10" t="str">
        <f>[2]NEXT100!$G$61</f>
        <v>Total</v>
      </c>
      <c r="F10" t="s">
        <v>6</v>
      </c>
    </row>
    <row r="11" spans="1:8">
      <c r="A11" t="s">
        <v>14</v>
      </c>
      <c r="B11">
        <f>[1]NEW!$G$75</f>
        <v>21780</v>
      </c>
      <c r="C11" t="s">
        <v>8</v>
      </c>
      <c r="E11">
        <f>[2]NEXT100!$G$62</f>
        <v>24200</v>
      </c>
      <c r="F11" t="s">
        <v>8</v>
      </c>
    </row>
    <row r="12" spans="1:8">
      <c r="A12" t="s">
        <v>15</v>
      </c>
      <c r="B12">
        <f>[1]NEW!$G$76</f>
        <v>96195</v>
      </c>
      <c r="C12" t="s">
        <v>8</v>
      </c>
      <c r="E12">
        <f>[2]NEXT100!$G$69</f>
        <v>18150</v>
      </c>
      <c r="F12" t="s">
        <v>6</v>
      </c>
    </row>
    <row r="13" spans="1:8">
      <c r="A13" t="s">
        <v>10</v>
      </c>
      <c r="B13">
        <f>[1]NEW!$G$77</f>
        <v>15730</v>
      </c>
      <c r="C13" t="s">
        <v>8</v>
      </c>
      <c r="E13">
        <v>0</v>
      </c>
      <c r="F13" t="s">
        <v>11</v>
      </c>
    </row>
    <row r="14" spans="1:8">
      <c r="A14" t="s">
        <v>12</v>
      </c>
      <c r="B14">
        <f>SUM(B8:B13)</f>
        <v>160160.87820000001</v>
      </c>
      <c r="D14" t="s">
        <v>12</v>
      </c>
      <c r="E14">
        <f>SUM(E8:E13)</f>
        <v>229900</v>
      </c>
    </row>
    <row r="15" spans="1:8">
      <c r="A15" t="s">
        <v>8</v>
      </c>
      <c r="B15">
        <f>B11+B12+B13</f>
        <v>133705</v>
      </c>
      <c r="D15" t="s">
        <v>8</v>
      </c>
      <c r="E15">
        <f>E11</f>
        <v>24200</v>
      </c>
    </row>
    <row r="16" spans="1:8">
      <c r="A16" t="s">
        <v>16</v>
      </c>
      <c r="B16">
        <f>B14-B15</f>
        <v>26455.878200000006</v>
      </c>
      <c r="D16" t="s">
        <v>16</v>
      </c>
      <c r="E16">
        <v>0</v>
      </c>
    </row>
    <row r="17" spans="1:9">
      <c r="A17" t="s">
        <v>6</v>
      </c>
      <c r="B17">
        <v>0</v>
      </c>
      <c r="D17" t="s">
        <v>6</v>
      </c>
      <c r="E17">
        <f>E14-E11</f>
        <v>205700</v>
      </c>
    </row>
    <row r="19" spans="1:9" ht="18">
      <c r="A19" s="7" t="s">
        <v>17</v>
      </c>
    </row>
    <row r="20" spans="1:9" ht="18">
      <c r="B20" s="8" t="s">
        <v>11</v>
      </c>
      <c r="E20" s="8" t="s">
        <v>2</v>
      </c>
      <c r="H20" s="8" t="s">
        <v>35</v>
      </c>
    </row>
    <row r="21" spans="1:9">
      <c r="A21" t="s">
        <v>13</v>
      </c>
      <c r="B21" t="s">
        <v>3</v>
      </c>
      <c r="C21" t="s">
        <v>4</v>
      </c>
      <c r="E21" t="s">
        <v>3</v>
      </c>
      <c r="F21" t="s">
        <v>4</v>
      </c>
      <c r="H21" t="s">
        <v>36</v>
      </c>
      <c r="I21" t="s">
        <v>37</v>
      </c>
    </row>
    <row r="22" spans="1:9">
      <c r="A22" t="s">
        <v>18</v>
      </c>
      <c r="B22">
        <f>E22/4</f>
        <v>10224.5</v>
      </c>
      <c r="C22" t="s">
        <v>16</v>
      </c>
      <c r="E22">
        <f>[2]NEXT100!$G$5+[2]NEXT100!$G$6</f>
        <v>40898</v>
      </c>
      <c r="F22" t="s">
        <v>6</v>
      </c>
      <c r="H22" t="s">
        <v>41</v>
      </c>
      <c r="I22">
        <f>[1]NEW!$C$8</f>
        <v>204.58</v>
      </c>
    </row>
    <row r="23" spans="1:9">
      <c r="A23" t="s">
        <v>33</v>
      </c>
      <c r="B23">
        <f>[1]NEW!$G$8</f>
        <v>2970.5016000000001</v>
      </c>
      <c r="C23" t="s">
        <v>16</v>
      </c>
      <c r="E23">
        <f>B23*5</f>
        <v>14852.508</v>
      </c>
      <c r="F23" t="s">
        <v>6</v>
      </c>
      <c r="H23" t="s">
        <v>42</v>
      </c>
      <c r="I23">
        <f>[1]NEW!$C$7</f>
        <v>180</v>
      </c>
    </row>
    <row r="24" spans="1:9">
      <c r="A24" t="s">
        <v>34</v>
      </c>
      <c r="B24">
        <f>[1]NEW!$G$7</f>
        <v>2613.6</v>
      </c>
      <c r="C24" t="s">
        <v>16</v>
      </c>
      <c r="H24" t="s">
        <v>43</v>
      </c>
      <c r="I24">
        <f>[1]NEW!$C$10/12</f>
        <v>510</v>
      </c>
    </row>
    <row r="25" spans="1:9">
      <c r="A25" t="s">
        <v>19</v>
      </c>
      <c r="B25">
        <f>[1]NEW!$G$9</f>
        <v>6534</v>
      </c>
      <c r="C25" t="s">
        <v>16</v>
      </c>
      <c r="E25">
        <f>B25*5</f>
        <v>32670</v>
      </c>
      <c r="F25" t="s">
        <v>6</v>
      </c>
      <c r="H25" t="s">
        <v>38</v>
      </c>
      <c r="I25">
        <f>[1]NEW!$C$9</f>
        <v>450</v>
      </c>
    </row>
    <row r="26" spans="1:9">
      <c r="A26" t="s">
        <v>20</v>
      </c>
      <c r="B26">
        <f>[1]NEW!$G$8</f>
        <v>2970.5016000000001</v>
      </c>
      <c r="C26" t="s">
        <v>16</v>
      </c>
      <c r="E26">
        <f>[2]NEXT100!$G$15</f>
        <v>123420</v>
      </c>
      <c r="F26" t="s">
        <v>6</v>
      </c>
      <c r="H26" t="s">
        <v>39</v>
      </c>
      <c r="I26">
        <f>[1]NEW!$C$15</f>
        <v>146</v>
      </c>
    </row>
    <row r="27" spans="1:9">
      <c r="A27" t="s">
        <v>21</v>
      </c>
      <c r="B27">
        <f>[1]NEW!$G$5+[1]NEW!$G$6</f>
        <v>179.07999999999998</v>
      </c>
      <c r="C27" t="s">
        <v>16</v>
      </c>
      <c r="E27">
        <f>B27*5</f>
        <v>895.39999999999986</v>
      </c>
      <c r="F27" t="s">
        <v>6</v>
      </c>
      <c r="H27" t="s">
        <v>40</v>
      </c>
      <c r="I27">
        <v>500</v>
      </c>
    </row>
    <row r="28" spans="1:9">
      <c r="A28" t="s">
        <v>22</v>
      </c>
      <c r="B28">
        <f>[1]NEW!$G$15+[1]NEW!$G$16+[1]NEW!$G$17</f>
        <v>5348.2</v>
      </c>
      <c r="C28" t="s">
        <v>16</v>
      </c>
      <c r="E28">
        <f>[2]NEXT100!$G$7+[2]NEXT100!$G$8+[2]NEXT100!$G$9</f>
        <v>30842.9</v>
      </c>
      <c r="F28" t="s">
        <v>6</v>
      </c>
      <c r="H28" t="s">
        <v>44</v>
      </c>
      <c r="I28">
        <f>SUM(I22:I27)</f>
        <v>1990.58</v>
      </c>
    </row>
    <row r="29" spans="1:9">
      <c r="A29" t="s">
        <v>23</v>
      </c>
      <c r="B29">
        <f>[1]NEW!$G$10+[1]NEW!$G$11</f>
        <v>12245.2</v>
      </c>
      <c r="C29" t="s">
        <v>16</v>
      </c>
      <c r="E29">
        <f>[2]NEXT100!$G$10+[2]NEXT100!$G$11</f>
        <v>15367</v>
      </c>
      <c r="F29" t="s">
        <v>6</v>
      </c>
      <c r="H29" t="s">
        <v>45</v>
      </c>
      <c r="I29">
        <f>0.21*I28</f>
        <v>418.02179999999998</v>
      </c>
    </row>
    <row r="30" spans="1:9">
      <c r="A30" t="s">
        <v>24</v>
      </c>
      <c r="B30" s="9">
        <f>[1]NEW!$G$12</f>
        <v>8840</v>
      </c>
      <c r="C30" t="s">
        <v>8</v>
      </c>
      <c r="E30">
        <v>0</v>
      </c>
      <c r="H30" t="s">
        <v>46</v>
      </c>
      <c r="I30">
        <f>I28+I29</f>
        <v>2408.6017999999999</v>
      </c>
    </row>
    <row r="31" spans="1:9">
      <c r="A31" t="s">
        <v>25</v>
      </c>
      <c r="E31">
        <f>[2]NEXT100!$G$12</f>
        <v>12840</v>
      </c>
      <c r="F31" t="s">
        <v>8</v>
      </c>
    </row>
    <row r="32" spans="1:9">
      <c r="A32" t="s">
        <v>26</v>
      </c>
      <c r="E32">
        <f>[2]NEXT100!$G$13</f>
        <v>4840</v>
      </c>
      <c r="F32" t="s">
        <v>27</v>
      </c>
    </row>
    <row r="33" spans="1:7">
      <c r="A33" t="s">
        <v>28</v>
      </c>
      <c r="B33">
        <f>SUM(B22:B30)</f>
        <v>51925.583200000008</v>
      </c>
      <c r="E33">
        <f>SUM(E22:E32)</f>
        <v>276625.80799999996</v>
      </c>
    </row>
    <row r="34" spans="1:7">
      <c r="A34" t="s">
        <v>29</v>
      </c>
      <c r="B34" s="10">
        <f>B30</f>
        <v>8840</v>
      </c>
      <c r="E34">
        <f>E31</f>
        <v>12840</v>
      </c>
    </row>
    <row r="35" spans="1:7">
      <c r="A35" t="s">
        <v>30</v>
      </c>
      <c r="B35" s="10">
        <f>B33-B34</f>
        <v>43085.583200000008</v>
      </c>
      <c r="E35">
        <v>0</v>
      </c>
    </row>
    <row r="36" spans="1:7">
      <c r="A36" t="s">
        <v>31</v>
      </c>
      <c r="B36">
        <v>0</v>
      </c>
      <c r="E36">
        <f>E32</f>
        <v>4840</v>
      </c>
    </row>
    <row r="37" spans="1:7">
      <c r="A37" t="s">
        <v>32</v>
      </c>
      <c r="B37">
        <v>0</v>
      </c>
      <c r="E37">
        <f>E33-E31-E32</f>
        <v>258945.80799999996</v>
      </c>
    </row>
    <row r="39" spans="1:7" ht="18">
      <c r="A39" s="7" t="s">
        <v>17</v>
      </c>
    </row>
    <row r="40" spans="1:7" ht="18">
      <c r="B40" s="8" t="s">
        <v>11</v>
      </c>
      <c r="E40" s="8" t="s">
        <v>2</v>
      </c>
    </row>
    <row r="41" spans="1:7">
      <c r="A41" t="s">
        <v>13</v>
      </c>
      <c r="B41" t="s">
        <v>47</v>
      </c>
      <c r="C41" t="s">
        <v>3</v>
      </c>
      <c r="D41" t="s">
        <v>48</v>
      </c>
      <c r="E41" t="s">
        <v>47</v>
      </c>
      <c r="F41" t="s">
        <v>3</v>
      </c>
      <c r="G41" t="s">
        <v>48</v>
      </c>
    </row>
    <row r="42" spans="1:7">
      <c r="A42" t="s">
        <v>49</v>
      </c>
      <c r="B42">
        <v>14</v>
      </c>
      <c r="C42">
        <f>B42+I30</f>
        <v>2422.6017999999999</v>
      </c>
      <c r="D42" t="s">
        <v>16</v>
      </c>
      <c r="E42">
        <v>62</v>
      </c>
      <c r="F42">
        <f>E42*I30</f>
        <v>149333.31159999999</v>
      </c>
      <c r="G42" t="s">
        <v>6</v>
      </c>
    </row>
    <row r="43" spans="1:7">
      <c r="A43" t="s">
        <v>18</v>
      </c>
      <c r="B43">
        <v>1</v>
      </c>
      <c r="C43">
        <f>5000+0.21*5000</f>
        <v>6050</v>
      </c>
      <c r="D43" t="s">
        <v>16</v>
      </c>
      <c r="E43">
        <v>1</v>
      </c>
      <c r="F43">
        <f>[2]NEXT100!$G$5</f>
        <v>27830</v>
      </c>
      <c r="G43" t="s">
        <v>6</v>
      </c>
    </row>
  </sheetData>
  <mergeCells count="1">
    <mergeCell ref="A1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Gomez-Cadenas</dc:creator>
  <cp:lastModifiedBy>Juan Jose Gomez-Cadenas</cp:lastModifiedBy>
  <dcterms:created xsi:type="dcterms:W3CDTF">2014-09-11T20:08:56Z</dcterms:created>
  <dcterms:modified xsi:type="dcterms:W3CDTF">2014-09-12T07:00:55Z</dcterms:modified>
</cp:coreProperties>
</file>