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440" yWindow="2060" windowWidth="42440" windowHeight="16860" tabRatio="500"/>
  </bookViews>
  <sheets>
    <sheet name="Sheet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5" i="1"/>
  <c r="F29" i="1"/>
  <c r="F28" i="1"/>
  <c r="F26" i="1"/>
  <c r="F23" i="1"/>
  <c r="C27" i="1"/>
  <c r="C26" i="1"/>
  <c r="C25" i="1"/>
  <c r="F24" i="1"/>
  <c r="C24" i="1"/>
  <c r="C23" i="1"/>
  <c r="C22" i="1"/>
  <c r="F21" i="1"/>
  <c r="C21" i="1"/>
  <c r="F20" i="1"/>
  <c r="C20" i="1"/>
  <c r="N10" i="1"/>
  <c r="N9" i="1"/>
  <c r="K10" i="1"/>
  <c r="K9" i="1"/>
  <c r="H13" i="1"/>
  <c r="H12" i="1"/>
  <c r="H11" i="1"/>
  <c r="E12" i="1"/>
  <c r="E11" i="1"/>
  <c r="E10" i="1"/>
  <c r="E9" i="1"/>
  <c r="E8" i="1"/>
  <c r="B8" i="1"/>
  <c r="B9" i="1"/>
  <c r="B10" i="1"/>
  <c r="B11" i="1"/>
  <c r="B12" i="1"/>
  <c r="B14" i="1"/>
  <c r="B15" i="1"/>
  <c r="B16" i="1"/>
</calcChain>
</file>

<file path=xl/sharedStrings.xml><?xml version="1.0" encoding="utf-8"?>
<sst xmlns="http://schemas.openxmlformats.org/spreadsheetml/2006/main" count="72" uniqueCount="46">
  <si>
    <t>NEXT Detector Cost</t>
  </si>
  <si>
    <t>Energy Plane</t>
  </si>
  <si>
    <t>Cost of can</t>
  </si>
  <si>
    <t>item</t>
  </si>
  <si>
    <t>cost</t>
  </si>
  <si>
    <t>manufacture body</t>
  </si>
  <si>
    <t>manufacture end-cup</t>
  </si>
  <si>
    <t>sapphire window</t>
  </si>
  <si>
    <t>brazing</t>
  </si>
  <si>
    <t>gaskets</t>
  </si>
  <si>
    <t>copper stock</t>
  </si>
  <si>
    <t>total</t>
  </si>
  <si>
    <t>IVA</t>
  </si>
  <si>
    <t>Cost of support plate nEXT-100</t>
  </si>
  <si>
    <t>Copper stock</t>
  </si>
  <si>
    <t>manufacturing</t>
  </si>
  <si>
    <t>bolts</t>
  </si>
  <si>
    <t>Total</t>
  </si>
  <si>
    <t>Total NEXT-100</t>
  </si>
  <si>
    <t>Total NEW (20%)</t>
  </si>
  <si>
    <t>Cost of bases</t>
  </si>
  <si>
    <t>components</t>
  </si>
  <si>
    <t>kapton circuit</t>
  </si>
  <si>
    <t>cable</t>
  </si>
  <si>
    <t xml:space="preserve">total </t>
  </si>
  <si>
    <t>Cost of feedthrough</t>
  </si>
  <si>
    <t xml:space="preserve">item </t>
  </si>
  <si>
    <t xml:space="preserve">Feedtrhough </t>
  </si>
  <si>
    <t>Cost of PMTs</t>
  </si>
  <si>
    <t>R11410-10</t>
  </si>
  <si>
    <t>NEW</t>
  </si>
  <si>
    <t>units</t>
  </si>
  <si>
    <t>funding source</t>
  </si>
  <si>
    <t>NEXT-100</t>
  </si>
  <si>
    <t>Support plate</t>
  </si>
  <si>
    <t>CUP</t>
  </si>
  <si>
    <t>FIS2014</t>
  </si>
  <si>
    <t>Cans</t>
  </si>
  <si>
    <t>AdG</t>
  </si>
  <si>
    <t>Feedtrhough</t>
  </si>
  <si>
    <t>CUP+USA</t>
  </si>
  <si>
    <t>Bases</t>
  </si>
  <si>
    <t>Total CUP</t>
  </si>
  <si>
    <t>Total AdG</t>
  </si>
  <si>
    <t>Total USA</t>
  </si>
  <si>
    <t>Total FIS2014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</si>
</sst>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Border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gomezcadenas/Dropbox/NEXT-COSTS/NEW_Updated_Sept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gomezcadenas/Dropbox/NEXT-COSTS/NEXT-100_Updated_Sept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"/>
    </sheetNames>
    <sheetDataSet>
      <sheetData sheetId="0">
        <row r="7">
          <cell r="C7">
            <v>180</v>
          </cell>
        </row>
        <row r="8">
          <cell r="C8">
            <v>204.58</v>
          </cell>
        </row>
        <row r="9">
          <cell r="C9">
            <v>450</v>
          </cell>
        </row>
        <row r="10">
          <cell r="C10">
            <v>6120</v>
          </cell>
        </row>
        <row r="15">
          <cell r="C15">
            <v>146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EXT100"/>
    </sheetNames>
    <sheetDataSet>
      <sheetData sheetId="0">
        <row r="5">
          <cell r="G5">
            <v>27830</v>
          </cell>
        </row>
        <row r="8">
          <cell r="G8">
            <v>12100</v>
          </cell>
        </row>
        <row r="19">
          <cell r="G19">
            <v>18150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8" zoomScale="150" zoomScaleNormal="150" zoomScalePageLayoutView="150" workbookViewId="0">
      <selection activeCell="E23" sqref="E23"/>
    </sheetView>
  </sheetViews>
  <sheetFormatPr baseColWidth="10" defaultRowHeight="15" x14ac:dyDescent="0"/>
  <cols>
    <col min="1" max="1" width="20" customWidth="1"/>
    <col min="3" max="3" width="15.33203125" customWidth="1"/>
    <col min="4" max="4" width="30.83203125" customWidth="1"/>
    <col min="5" max="5" width="17.33203125" customWidth="1"/>
    <col min="6" max="6" width="18.6640625" customWidth="1"/>
    <col min="7" max="7" width="17.6640625" customWidth="1"/>
    <col min="8" max="8" width="15.6640625" customWidth="1"/>
    <col min="10" max="10" width="20.33203125" customWidth="1"/>
    <col min="13" max="13" width="20.8320312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3"/>
    </row>
    <row r="2" spans="1:14">
      <c r="A2" s="4"/>
      <c r="B2" s="5"/>
      <c r="C2" s="5"/>
      <c r="D2" s="5"/>
      <c r="E2" s="5"/>
      <c r="F2" s="5"/>
      <c r="G2" s="5"/>
      <c r="H2" s="6"/>
    </row>
    <row r="4" spans="1:14" ht="18">
      <c r="A4" s="7" t="s">
        <v>1</v>
      </c>
      <c r="B4" s="8"/>
      <c r="C4" s="8"/>
      <c r="D4" s="8"/>
      <c r="E4" s="8"/>
      <c r="F4" s="8"/>
      <c r="G4" s="8"/>
      <c r="H4" s="9"/>
    </row>
    <row r="6" spans="1:14" ht="18">
      <c r="A6" s="10" t="s">
        <v>2</v>
      </c>
      <c r="D6" s="10" t="s">
        <v>13</v>
      </c>
      <c r="G6" s="10" t="s">
        <v>20</v>
      </c>
      <c r="J6" s="10" t="s">
        <v>25</v>
      </c>
      <c r="M6" s="10" t="s">
        <v>28</v>
      </c>
    </row>
    <row r="7" spans="1:14">
      <c r="A7" t="s">
        <v>3</v>
      </c>
      <c r="B7" t="s">
        <v>4</v>
      </c>
      <c r="D7" t="s">
        <v>3</v>
      </c>
      <c r="E7" t="s">
        <v>4</v>
      </c>
      <c r="G7" t="s">
        <v>3</v>
      </c>
      <c r="H7" t="s">
        <v>4</v>
      </c>
      <c r="J7" t="s">
        <v>26</v>
      </c>
      <c r="K7" t="s">
        <v>4</v>
      </c>
      <c r="M7" t="s">
        <v>3</v>
      </c>
      <c r="N7" t="s">
        <v>4</v>
      </c>
    </row>
    <row r="8" spans="1:14">
      <c r="A8" t="s">
        <v>5</v>
      </c>
      <c r="B8">
        <f>[1]NEW!$C$8</f>
        <v>204.58</v>
      </c>
      <c r="D8" t="s">
        <v>14</v>
      </c>
      <c r="E8">
        <f>[2]NEXT100!$G$5</f>
        <v>27830</v>
      </c>
      <c r="G8" t="s">
        <v>21</v>
      </c>
      <c r="H8">
        <v>50</v>
      </c>
      <c r="J8" t="s">
        <v>27</v>
      </c>
      <c r="K8">
        <v>4000</v>
      </c>
      <c r="M8" s="12" t="s">
        <v>29</v>
      </c>
      <c r="N8">
        <v>5100</v>
      </c>
    </row>
    <row r="9" spans="1:14">
      <c r="A9" t="s">
        <v>6</v>
      </c>
      <c r="B9">
        <f>[1]NEW!$C$7</f>
        <v>180</v>
      </c>
      <c r="D9" t="s">
        <v>15</v>
      </c>
      <c r="E9">
        <f>[2]NEXT100!$G$8</f>
        <v>12100</v>
      </c>
      <c r="G9" t="s">
        <v>22</v>
      </c>
      <c r="H9">
        <v>50</v>
      </c>
      <c r="J9" t="s">
        <v>12</v>
      </c>
      <c r="K9">
        <f>0.21*K8</f>
        <v>840</v>
      </c>
      <c r="M9" t="s">
        <v>12</v>
      </c>
      <c r="N9">
        <f>0.21*N8</f>
        <v>1071</v>
      </c>
    </row>
    <row r="10" spans="1:14">
      <c r="A10" t="s">
        <v>7</v>
      </c>
      <c r="B10">
        <f>[1]NEW!$C$10/12</f>
        <v>510</v>
      </c>
      <c r="D10" t="s">
        <v>16</v>
      </c>
      <c r="E10">
        <f>[2]NEXT100!$G$19</f>
        <v>18150</v>
      </c>
      <c r="G10" t="s">
        <v>23</v>
      </c>
      <c r="H10">
        <v>21</v>
      </c>
      <c r="J10" t="s">
        <v>17</v>
      </c>
      <c r="K10">
        <f>SUM(K8:K9)</f>
        <v>4840</v>
      </c>
      <c r="M10" t="s">
        <v>17</v>
      </c>
      <c r="N10">
        <f>SUM(N8:N9)</f>
        <v>6171</v>
      </c>
    </row>
    <row r="11" spans="1:14">
      <c r="A11" t="s">
        <v>8</v>
      </c>
      <c r="B11">
        <f>[1]NEW!$C$9</f>
        <v>450</v>
      </c>
      <c r="D11" t="s">
        <v>18</v>
      </c>
      <c r="E11">
        <f>SUM(E8:E10)</f>
        <v>58080</v>
      </c>
      <c r="G11" t="s">
        <v>24</v>
      </c>
      <c r="H11">
        <f>SUM(H8:H10)</f>
        <v>121</v>
      </c>
    </row>
    <row r="12" spans="1:14">
      <c r="A12" t="s">
        <v>9</v>
      </c>
      <c r="B12">
        <f>[1]NEW!$C$15</f>
        <v>146</v>
      </c>
      <c r="D12" t="s">
        <v>19</v>
      </c>
      <c r="E12">
        <f>E11/4</f>
        <v>14520</v>
      </c>
      <c r="G12" s="11" t="s">
        <v>12</v>
      </c>
      <c r="H12">
        <f>0.21*H11</f>
        <v>25.41</v>
      </c>
    </row>
    <row r="13" spans="1:14">
      <c r="A13" t="s">
        <v>10</v>
      </c>
      <c r="B13">
        <v>500</v>
      </c>
      <c r="G13" t="s">
        <v>17</v>
      </c>
      <c r="H13">
        <f>H11+H12</f>
        <v>146.41</v>
      </c>
    </row>
    <row r="14" spans="1:14">
      <c r="A14" t="s">
        <v>11</v>
      </c>
      <c r="B14">
        <f>SUM(B8:B13)</f>
        <v>1990.58</v>
      </c>
    </row>
    <row r="15" spans="1:14">
      <c r="A15" s="11" t="s">
        <v>12</v>
      </c>
      <c r="B15">
        <f>0.21*B14</f>
        <v>418.02179999999998</v>
      </c>
    </row>
    <row r="16" spans="1:14">
      <c r="A16" t="s">
        <v>17</v>
      </c>
      <c r="B16">
        <f>B14+B15</f>
        <v>2408.6017999999999</v>
      </c>
    </row>
    <row r="18" spans="1:7" ht="18">
      <c r="A18" s="10" t="s">
        <v>30</v>
      </c>
      <c r="E18" s="10" t="s">
        <v>33</v>
      </c>
    </row>
    <row r="19" spans="1:7">
      <c r="A19" t="s">
        <v>3</v>
      </c>
      <c r="B19" t="s">
        <v>31</v>
      </c>
      <c r="C19" t="s">
        <v>4</v>
      </c>
      <c r="D19" t="s">
        <v>32</v>
      </c>
      <c r="E19" t="s">
        <v>31</v>
      </c>
      <c r="F19" t="s">
        <v>4</v>
      </c>
      <c r="G19" t="s">
        <v>32</v>
      </c>
    </row>
    <row r="20" spans="1:7">
      <c r="A20" t="s">
        <v>34</v>
      </c>
      <c r="B20">
        <v>1</v>
      </c>
      <c r="C20">
        <f>E12</f>
        <v>14520</v>
      </c>
      <c r="D20" t="s">
        <v>35</v>
      </c>
      <c r="E20">
        <v>1</v>
      </c>
      <c r="F20">
        <f>E11</f>
        <v>58080</v>
      </c>
      <c r="G20" t="s">
        <v>36</v>
      </c>
    </row>
    <row r="21" spans="1:7">
      <c r="A21" t="s">
        <v>37</v>
      </c>
      <c r="B21">
        <v>14</v>
      </c>
      <c r="C21">
        <f>B16*B21</f>
        <v>33720.425199999998</v>
      </c>
      <c r="D21" t="s">
        <v>38</v>
      </c>
      <c r="E21">
        <v>62</v>
      </c>
      <c r="F21">
        <f>E21*B16</f>
        <v>149333.31159999999</v>
      </c>
      <c r="G21" t="s">
        <v>36</v>
      </c>
    </row>
    <row r="22" spans="1:7">
      <c r="A22" t="s">
        <v>39</v>
      </c>
      <c r="B22">
        <v>3</v>
      </c>
      <c r="C22">
        <f>B22*K10</f>
        <v>14520</v>
      </c>
      <c r="D22" t="s">
        <v>38</v>
      </c>
      <c r="E22">
        <v>15</v>
      </c>
      <c r="F22">
        <f>E22*K8</f>
        <v>60000</v>
      </c>
      <c r="G22" t="s">
        <v>36</v>
      </c>
    </row>
    <row r="23" spans="1:7">
      <c r="A23" s="12" t="s">
        <v>29</v>
      </c>
      <c r="B23">
        <v>12</v>
      </c>
      <c r="C23">
        <f>N10*B23</f>
        <v>74052</v>
      </c>
      <c r="D23" t="s">
        <v>35</v>
      </c>
      <c r="E23">
        <v>63</v>
      </c>
      <c r="F23">
        <f>N10*E23</f>
        <v>388773</v>
      </c>
      <c r="G23" t="s">
        <v>40</v>
      </c>
    </row>
    <row r="24" spans="1:7">
      <c r="A24" t="s">
        <v>41</v>
      </c>
      <c r="B24">
        <v>20</v>
      </c>
      <c r="C24">
        <f>B24*H13</f>
        <v>2928.2</v>
      </c>
      <c r="D24" t="s">
        <v>38</v>
      </c>
      <c r="E24">
        <v>70</v>
      </c>
      <c r="F24">
        <f>E24*H13</f>
        <v>10248.699999999999</v>
      </c>
      <c r="G24" t="s">
        <v>36</v>
      </c>
    </row>
    <row r="25" spans="1:7">
      <c r="A25" t="s">
        <v>17</v>
      </c>
      <c r="C25">
        <f>SUM(C20:C24)</f>
        <v>139740.62520000001</v>
      </c>
      <c r="F25">
        <f>SUM(F20:F24)</f>
        <v>666435.01159999997</v>
      </c>
    </row>
    <row r="26" spans="1:7">
      <c r="A26" t="s">
        <v>42</v>
      </c>
      <c r="C26">
        <f>C23</f>
        <v>74052</v>
      </c>
      <c r="F26">
        <f>0.43*F23</f>
        <v>167172.38999999998</v>
      </c>
    </row>
    <row r="27" spans="1:7">
      <c r="A27" t="s">
        <v>43</v>
      </c>
      <c r="C27">
        <f>C25-C26</f>
        <v>65688.625200000009</v>
      </c>
      <c r="F27">
        <v>0</v>
      </c>
    </row>
    <row r="28" spans="1:7">
      <c r="A28" t="s">
        <v>44</v>
      </c>
      <c r="C28">
        <v>0</v>
      </c>
      <c r="F28">
        <f>0.2*F23</f>
        <v>77754.600000000006</v>
      </c>
    </row>
    <row r="29" spans="1:7">
      <c r="A29" t="s">
        <v>45</v>
      </c>
      <c r="C29">
        <v>0</v>
      </c>
      <c r="F29">
        <f>F25-F26-F27-F28</f>
        <v>421508.02159999998</v>
      </c>
    </row>
  </sheetData>
  <mergeCells count="2">
    <mergeCell ref="A1:H2"/>
    <mergeCell ref="A4:H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Gomez-Cadenas</dc:creator>
  <cp:lastModifiedBy>Juan Jose Gomez-Cadenas</cp:lastModifiedBy>
  <dcterms:created xsi:type="dcterms:W3CDTF">2014-09-12T07:02:16Z</dcterms:created>
  <dcterms:modified xsi:type="dcterms:W3CDTF">2014-09-12T08:21:44Z</dcterms:modified>
</cp:coreProperties>
</file>