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j/Desktop/Analysis Projects /Module 1/resources/"/>
    </mc:Choice>
  </mc:AlternateContent>
  <xr:revisionPtr revIDLastSave="0" documentId="13_ncr:1_{7E4739CA-FDE3-2445-A3B2-C68A0BCFB78A}" xr6:coauthVersionLast="47" xr6:coauthVersionMax="47" xr10:uidLastSave="{00000000-0000-0000-0000-000000000000}"/>
  <bookViews>
    <workbookView xWindow="0" yWindow="720" windowWidth="29400" windowHeight="18400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Category Statistics" sheetId="2" r:id="rId4"/>
    <sheet name="Subcategory Statistics " sheetId="3" r:id="rId5"/>
    <sheet name="Outcomes Based On Launch Date" sheetId="4" r:id="rId6"/>
    <sheet name="Edinburgh Research" sheetId="5" r:id="rId7"/>
    <sheet name="Descriptive Statistics" sheetId="8" r:id="rId8"/>
  </sheets>
  <definedNames>
    <definedName name="_xlnm._FilterDatabase" localSheetId="0" hidden="1">Kickstarter!$A$1:$T$4115</definedName>
  </definedNames>
  <calcPr calcId="191029"/>
  <pivotCaches>
    <pivotCache cacheId="20" r:id="rId9"/>
    <pivotCache cacheId="21" r:id="rId10"/>
    <pivotCache cacheId="2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" i="1" l="1"/>
  <c r="O88" i="1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C9" i="8"/>
  <c r="C8" i="8"/>
  <c r="C7" i="8"/>
  <c r="B9" i="8"/>
  <c r="B8" i="8"/>
  <c r="B7" i="8"/>
  <c r="C6" i="8"/>
  <c r="B6" i="8"/>
  <c r="C5" i="8"/>
  <c r="C2" i="8"/>
  <c r="B5" i="8"/>
  <c r="B2" i="8"/>
  <c r="C3" i="8"/>
  <c r="B3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E3" i="12" l="1"/>
  <c r="G3" i="12" s="1"/>
  <c r="E11" i="12"/>
  <c r="G11" i="12" s="1"/>
  <c r="E2" i="12"/>
  <c r="G2" i="12" s="1"/>
  <c r="E10" i="12"/>
  <c r="H10" i="12" s="1"/>
  <c r="E7" i="12"/>
  <c r="G7" i="12" s="1"/>
  <c r="E8" i="12"/>
  <c r="H8" i="12" s="1"/>
  <c r="E9" i="12"/>
  <c r="F9" i="12" s="1"/>
  <c r="E4" i="12"/>
  <c r="F4" i="12" s="1"/>
  <c r="E12" i="12"/>
  <c r="G12" i="12" s="1"/>
  <c r="E5" i="12"/>
  <c r="H5" i="12" s="1"/>
  <c r="E13" i="12"/>
  <c r="F13" i="12" s="1"/>
  <c r="E6" i="12"/>
  <c r="F6" i="12" s="1"/>
  <c r="C10" i="8"/>
  <c r="B10" i="8"/>
  <c r="F3" i="12" l="1"/>
  <c r="H3" i="12"/>
  <c r="F11" i="12"/>
  <c r="H11" i="12"/>
  <c r="H7" i="12"/>
  <c r="F7" i="12"/>
  <c r="G8" i="12"/>
  <c r="F8" i="12"/>
  <c r="H13" i="12"/>
  <c r="H2" i="12"/>
  <c r="H6" i="12"/>
  <c r="F2" i="12"/>
  <c r="H9" i="12"/>
  <c r="G6" i="12"/>
  <c r="F10" i="12"/>
  <c r="G13" i="12"/>
  <c r="G4" i="12"/>
  <c r="F5" i="12"/>
  <c r="G9" i="12"/>
  <c r="H12" i="12"/>
  <c r="H4" i="12"/>
  <c r="F12" i="12"/>
  <c r="G5" i="12"/>
  <c r="G10" i="12"/>
</calcChain>
</file>

<file path=xl/sharedStrings.xml><?xml version="1.0" encoding="utf-8"?>
<sst xmlns="http://schemas.openxmlformats.org/spreadsheetml/2006/main" count="33052" uniqueCount="8415">
  <si>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</si>
  <si>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</si>
  <si>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</si>
  <si>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</si>
  <si>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</si>
  <si>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</si>
  <si>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</si>
  <si>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</si>
  <si>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</si>
  <si>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</si>
  <si>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</si>
  <si>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</si>
  <si>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</si>
  <si>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</si>
  <si>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</si>
  <si>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</si>
  <si>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</si>
  <si>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</si>
  <si>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</si>
  <si>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</si>
  <si>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</si>
  <si>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</si>
  <si>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</si>
  <si>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</si>
  <si>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</si>
  <si>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</si>
  <si>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</si>
  <si>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</si>
  <si>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</si>
  <si>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</si>
  <si>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</si>
  <si>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</si>
  <si>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</si>
  <si>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</si>
  <si>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</si>
  <si>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</si>
  <si>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</si>
  <si>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</si>
  <si>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</si>
  <si>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</si>
  <si>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</si>
  <si>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</si>
  <si>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</si>
  <si>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</si>
  <si>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</si>
  <si>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</si>
  <si>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</si>
  <si>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</si>
  <si>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</si>
  <si>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</si>
  <si>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</si>
  <si>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</si>
  <si>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</si>
  <si>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</si>
  <si>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</si>
  <si>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</si>
  <si>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</si>
  <si>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</si>
  <si>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</si>
  <si>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</si>
  <si>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</si>
  <si>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</si>
  <si>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</si>
  <si>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</si>
  <si>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</si>
  <si>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</si>
  <si>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</si>
  <si>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</si>
  <si>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</si>
  <si>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</si>
  <si>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</si>
  <si>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</si>
  <si>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</si>
  <si>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</si>
  <si>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</si>
  <si>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</si>
  <si>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</si>
  <si>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</si>
  <si>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</si>
  <si>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</si>
  <si>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</si>
  <si>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</si>
  <si>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</si>
  <si>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</si>
  <si>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</si>
  <si>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</si>
  <si>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</si>
  <si>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</si>
  <si>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</si>
  <si>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</si>
  <si>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</si>
  <si>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</si>
  <si>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</si>
  <si>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</si>
  <si>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</si>
  <si>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</si>
  <si>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</si>
  <si>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</si>
  <si>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</si>
  <si>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</si>
  <si>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</si>
  <si>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</si>
  <si>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</si>
  <si>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</si>
  <si>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</si>
  <si>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</si>
  <si>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</si>
  <si>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</si>
  <si>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</si>
  <si>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</si>
  <si>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</si>
  <si>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</si>
  <si>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</si>
  <si>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</si>
  <si>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</si>
  <si>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</si>
  <si>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</si>
  <si>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</si>
  <si>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</si>
  <si>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</si>
  <si>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</si>
  <si>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</si>
  <si>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</si>
  <si>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</si>
  <si>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</si>
  <si>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</si>
  <si>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</si>
  <si>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</si>
  <si>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</si>
  <si>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</si>
  <si>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</si>
  <si>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</si>
  <si>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</si>
  <si>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</si>
  <si>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</si>
  <si>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</si>
  <si>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</si>
  <si>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</si>
  <si>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</si>
  <si>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</si>
  <si>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</si>
  <si>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</si>
  <si>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</si>
  <si>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</si>
  <si>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</si>
  <si>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</si>
  <si>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</si>
  <si>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</si>
  <si>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</si>
  <si>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</si>
  <si>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</si>
  <si>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</si>
  <si>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</si>
  <si>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</si>
  <si>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</si>
  <si>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</si>
  <si>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</si>
  <si>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</si>
  <si>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</si>
  <si>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</si>
  <si>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</si>
  <si>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</si>
  <si>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</si>
  <si>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</si>
  <si>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</si>
  <si>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</si>
  <si>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</si>
  <si>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</si>
  <si>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</si>
  <si>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</si>
  <si>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</si>
  <si>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</si>
  <si>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</si>
  <si>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</si>
  <si>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</si>
  <si>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</si>
  <si>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</si>
  <si>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</si>
  <si>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</si>
  <si>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</si>
  <si>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</si>
  <si>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</si>
  <si>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</si>
  <si>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</si>
  <si>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</si>
  <si>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</si>
  <si>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</si>
  <si>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</si>
  <si>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</si>
  <si>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</si>
  <si>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</si>
  <si>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</si>
  <si>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</si>
  <si>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</si>
  <si>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</si>
  <si>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</si>
  <si>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</si>
  <si>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</si>
  <si>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</si>
  <si>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</si>
  <si>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</si>
  <si>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</si>
  <si>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</si>
  <si>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</si>
  <si>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</si>
  <si>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</si>
  <si>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</si>
  <si>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</si>
  <si>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</si>
  <si>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</si>
  <si>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</si>
  <si>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</si>
  <si>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</si>
  <si>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</si>
  <si>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</si>
  <si>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</si>
  <si>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</si>
  <si>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</si>
  <si>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</si>
  <si>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</si>
  <si>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</si>
  <si>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</si>
  <si>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</si>
  <si>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</si>
  <si>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</si>
  <si>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</si>
  <si>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</si>
  <si>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</si>
  <si>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</si>
  <si>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</si>
  <si>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</si>
  <si>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</si>
  <si>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</si>
  <si>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</si>
  <si>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</si>
  <si>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</si>
  <si>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</si>
  <si>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</si>
  <si>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</si>
  <si>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</si>
  <si>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</si>
  <si>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</si>
  <si>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</si>
  <si>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</si>
  <si>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</si>
  <si>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</si>
  <si>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</si>
  <si>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</si>
  <si>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</si>
  <si>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</si>
  <si>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</si>
  <si>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</si>
  <si>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</si>
  <si>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</si>
  <si>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</si>
  <si>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</si>
  <si>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</si>
  <si>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</si>
  <si>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</si>
  <si>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</si>
  <si>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</si>
  <si>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</si>
  <si>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</si>
  <si>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</si>
  <si>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</si>
  <si>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</si>
  <si>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</si>
  <si>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</si>
  <si>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</si>
  <si>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</si>
  <si>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</si>
  <si>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</si>
  <si>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</si>
  <si>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</si>
  <si>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</si>
  <si>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</si>
  <si>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</si>
  <si>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</si>
  <si>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</si>
  <si>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</si>
  <si>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</si>
  <si>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</si>
  <si>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</si>
  <si>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</si>
  <si>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</si>
  <si>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</si>
  <si>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</si>
  <si>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</si>
  <si>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</si>
  <si>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</si>
  <si>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</si>
  <si>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</si>
  <si>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</si>
  <si>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</si>
  <si>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</si>
  <si>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</si>
  <si>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</si>
  <si>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</si>
  <si>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</si>
  <si>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</si>
  <si>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</si>
  <si>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</si>
  <si>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</si>
  <si>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</si>
  <si>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</si>
  <si>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</si>
  <si>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</si>
  <si>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</si>
  <si>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</si>
  <si>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</si>
  <si>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</si>
  <si>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</si>
  <si>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</si>
  <si>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</si>
  <si>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</si>
  <si>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</si>
  <si>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</si>
  <si>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</si>
  <si>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</si>
  <si>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</si>
  <si>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</si>
  <si>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</si>
  <si>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</si>
  <si>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</si>
  <si>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</si>
  <si>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</si>
  <si>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</si>
  <si>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</si>
  <si>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</si>
  <si>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</si>
  <si>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</si>
  <si>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</si>
  <si>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</si>
  <si>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</si>
  <si>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</si>
  <si>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</si>
  <si>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</si>
  <si>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</si>
  <si>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</si>
  <si>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</si>
  <si>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</si>
  <si>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</si>
  <si>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</si>
  <si>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</si>
  <si>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</si>
  <si>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</si>
  <si>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</si>
  <si>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</si>
  <si>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</si>
  <si>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</si>
  <si>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</si>
  <si>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</si>
  <si>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</si>
  <si>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</si>
  <si>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</si>
  <si>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</si>
  <si>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</si>
  <si>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</si>
  <si>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</si>
  <si>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</si>
  <si>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</si>
  <si>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</si>
  <si>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</si>
  <si>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</si>
  <si>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</si>
  <si>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</si>
  <si>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</si>
  <si>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</si>
  <si>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</si>
  <si>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</si>
  <si>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</si>
  <si>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</si>
  <si>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</si>
  <si>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</si>
  <si>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</si>
  <si>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</si>
  <si>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</si>
  <si>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</si>
  <si>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</si>
  <si>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</si>
  <si>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</si>
  <si>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</si>
  <si>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</si>
  <si>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</si>
  <si>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</si>
  <si>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</si>
  <si>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</si>
  <si>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</si>
  <si>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</si>
  <si>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</si>
  <si>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</si>
  <si>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</si>
  <si>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</si>
  <si>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</si>
  <si>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</si>
  <si>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</si>
  <si>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</si>
  <si>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</si>
  <si>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</si>
  <si>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</si>
  <si>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</si>
  <si>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</si>
  <si>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</si>
  <si>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</si>
  <si>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</si>
  <si>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</si>
  <si>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</si>
  <si>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</si>
  <si>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</si>
  <si>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</si>
  <si>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</si>
  <si>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</si>
  <si>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</si>
  <si>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</si>
  <si>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</si>
  <si>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</si>
  <si>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</si>
  <si>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</si>
  <si>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</si>
  <si>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</si>
  <si>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</si>
  <si>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</si>
  <si>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</si>
  <si>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</si>
  <si>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</si>
  <si>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</si>
  <si>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</si>
  <si>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</si>
  <si>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</si>
  <si>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</si>
  <si>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</si>
  <si>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</si>
  <si>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</si>
  <si>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</si>
  <si>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</si>
  <si>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</si>
  <si>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</si>
  <si>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</si>
  <si>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</si>
  <si>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</si>
  <si>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</si>
  <si>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</si>
  <si>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</si>
  <si>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</si>
  <si>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</si>
  <si>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</si>
  <si>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</si>
  <si>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</si>
  <si>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</si>
  <si>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</si>
  <si>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</si>
  <si>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</si>
  <si>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</si>
  <si>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</si>
  <si>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</si>
  <si>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</si>
  <si>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</si>
  <si>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</si>
  <si>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</si>
  <si>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</si>
  <si>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</si>
  <si>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</si>
  <si>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</si>
  <si>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</si>
  <si>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</si>
  <si>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</si>
  <si>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</si>
  <si>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</si>
  <si>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</si>
  <si>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</si>
  <si>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</si>
  <si>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</si>
  <si>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</si>
  <si>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</si>
  <si>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</si>
  <si>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</si>
  <si>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</si>
  <si>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</si>
  <si>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</si>
  <si>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</si>
  <si>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</si>
  <si>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</si>
  <si>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</si>
  <si>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</si>
  <si>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</si>
  <si>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</si>
  <si>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</si>
  <si>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</si>
  <si>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</si>
  <si>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</si>
  <si>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</si>
  <si>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</si>
  <si>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</si>
  <si>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</si>
  <si>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</si>
  <si>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</si>
  <si>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</si>
  <si>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</si>
  <si>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</si>
  <si>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</si>
  <si>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</si>
  <si>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</si>
  <si>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</si>
  <si>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</si>
  <si>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</si>
  <si>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</si>
  <si>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</si>
  <si>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</si>
  <si>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</si>
  <si>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</si>
  <si>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</si>
  <si>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</si>
  <si>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</si>
  <si>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</si>
  <si>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</si>
  <si>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</si>
  <si>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</si>
  <si>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</si>
  <si>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</si>
  <si>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</si>
  <si>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</si>
  <si>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</si>
  <si>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</si>
  <si>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</si>
  <si>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</si>
  <si>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</si>
  <si>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</si>
  <si>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</si>
  <si>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</si>
  <si>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</si>
  <si>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</si>
  <si>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</si>
  <si>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</si>
  <si>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</si>
  <si>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</si>
  <si>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</si>
  <si>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</si>
  <si>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</si>
  <si>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</si>
  <si>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</si>
  <si>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</si>
  <si>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</si>
  <si>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</si>
  <si>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</si>
  <si>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</si>
  <si>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</si>
  <si>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</si>
  <si>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</si>
  <si>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</si>
  <si>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</si>
  <si>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</si>
  <si>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</si>
  <si>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</si>
  <si>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</si>
  <si>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</si>
  <si>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</si>
  <si>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</si>
  <si>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</si>
  <si>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</si>
  <si>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</si>
  <si>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</si>
  <si>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</si>
  <si>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</si>
  <si>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</si>
  <si>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</si>
  <si>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</si>
  <si>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</si>
  <si>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</si>
  <si>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</si>
  <si>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</si>
  <si>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</si>
  <si>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</si>
  <si>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</si>
  <si>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</si>
  <si>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</si>
  <si>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</si>
  <si>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</si>
  <si>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</si>
  <si>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</si>
  <si>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</si>
  <si>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</si>
  <si>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</si>
  <si>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</si>
  <si>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</si>
  <si>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</si>
  <si>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</si>
  <si>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</si>
  <si>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</si>
  <si>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</si>
  <si>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</si>
  <si>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</si>
  <si>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</si>
  <si>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</si>
  <si>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</si>
  <si>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</si>
  <si>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</si>
  <si>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</si>
  <si>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</si>
  <si>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</si>
  <si>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</si>
  <si>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</si>
  <si>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</si>
  <si>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</si>
  <si>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</si>
  <si>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</si>
  <si>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</si>
  <si>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</si>
  <si>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</si>
  <si>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</si>
  <si>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</si>
  <si>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</si>
  <si>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</si>
  <si>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</si>
  <si>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</si>
  <si>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</si>
  <si>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</si>
  <si>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</si>
  <si>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</si>
  <si>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</si>
  <si>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</si>
  <si>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</si>
  <si>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</si>
  <si>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</si>
  <si>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</si>
  <si>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</si>
  <si>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</si>
  <si>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</si>
  <si>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</si>
  <si>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</si>
  <si>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</si>
  <si>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</si>
  <si>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</si>
  <si>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</si>
  <si>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</si>
  <si>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</si>
  <si>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</si>
  <si>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</si>
  <si>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</si>
  <si>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</si>
  <si>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</si>
  <si>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</si>
  <si>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</si>
  <si>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</si>
  <si>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</si>
  <si>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</si>
  <si>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</si>
  <si>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</si>
  <si>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</si>
  <si>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</si>
  <si>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</si>
  <si>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</si>
  <si>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</si>
  <si>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</si>
  <si>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</si>
  <si>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</si>
  <si>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</si>
  <si>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</si>
  <si>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</si>
  <si>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</si>
  <si>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</si>
  <si>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</si>
  <si>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</si>
  <si>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</si>
  <si>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</si>
  <si>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</si>
  <si>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</si>
  <si>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</si>
  <si>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</si>
  <si>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</si>
  <si>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</si>
  <si>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</si>
  <si>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</si>
  <si>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</si>
  <si>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</si>
  <si>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</si>
  <si>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</si>
  <si>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</si>
  <si>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</si>
  <si>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</si>
  <si>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</si>
  <si>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</si>
  <si>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</si>
  <si>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</si>
  <si>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</si>
  <si>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</si>
  <si>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</si>
  <si>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</si>
  <si>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</si>
  <si>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</si>
  <si>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</si>
  <si>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</si>
  <si>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</si>
  <si>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</si>
  <si>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</si>
  <si>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</si>
  <si>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</si>
  <si>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</si>
  <si>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</si>
  <si>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</si>
  <si>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</si>
  <si>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</si>
  <si>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</si>
  <si>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</si>
  <si>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</si>
  <si>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</si>
  <si>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</si>
  <si>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</si>
  <si>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</si>
  <si>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</si>
  <si>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</si>
  <si>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</si>
  <si>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</si>
  <si>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</si>
  <si>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</si>
  <si>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</si>
  <si>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</si>
  <si>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</si>
  <si>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</si>
  <si>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</si>
  <si>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</si>
  <si>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</si>
  <si>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</si>
  <si>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</si>
  <si>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</si>
  <si>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</si>
  <si>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</si>
  <si>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</si>
  <si>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</si>
  <si>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</si>
  <si>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</si>
  <si>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</si>
  <si>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</si>
  <si>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</si>
  <si>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</si>
  <si>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</si>
  <si>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</si>
  <si>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</si>
  <si>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</si>
  <si>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</si>
  <si>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</si>
  <si>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</si>
  <si>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</si>
  <si>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</si>
  <si>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</si>
  <si>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</si>
  <si>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</si>
  <si>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</si>
  <si>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</si>
  <si>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</si>
  <si>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</si>
  <si>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</si>
  <si>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</si>
  <si>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</si>
  <si>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</si>
  <si>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</si>
  <si>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</si>
  <si>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</si>
  <si>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</si>
  <si>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</si>
  <si>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</si>
  <si>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</si>
  <si>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</si>
  <si>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</si>
  <si>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</si>
  <si>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</si>
  <si>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</si>
  <si>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</si>
  <si>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</si>
  <si>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</si>
  <si>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</si>
  <si>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</si>
  <si>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</si>
  <si>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</si>
  <si>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</si>
  <si>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</si>
  <si>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</si>
  <si>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</si>
  <si>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</si>
  <si>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</si>
  <si>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</si>
  <si>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</si>
  <si>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</si>
  <si>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</si>
  <si>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</si>
  <si>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</si>
  <si>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</si>
  <si>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</si>
  <si>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</si>
  <si>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</si>
  <si>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</si>
  <si>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</si>
  <si>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</si>
  <si>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</si>
  <si>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</si>
  <si>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</si>
  <si>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</si>
  <si>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</si>
  <si>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</si>
  <si>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</si>
  <si>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</si>
  <si>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</si>
  <si>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</si>
  <si>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</si>
  <si>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</si>
  <si>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</si>
  <si>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</si>
  <si>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</si>
  <si>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</si>
  <si>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</si>
  <si>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</si>
  <si>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</si>
  <si>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</si>
  <si>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</si>
  <si>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</si>
  <si>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</si>
  <si>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</si>
  <si>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</si>
  <si>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</si>
  <si>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</si>
  <si>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</si>
  <si>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</si>
  <si>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</si>
  <si>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</si>
  <si>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</si>
  <si>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</si>
  <si>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</si>
  <si>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</si>
  <si>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</si>
  <si>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</si>
  <si>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</si>
  <si>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</si>
  <si>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</si>
  <si>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</si>
  <si>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</si>
  <si>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</si>
  <si>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</si>
  <si>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</si>
  <si>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</si>
  <si>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</si>
  <si>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</si>
  <si>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</si>
  <si>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</si>
  <si>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</si>
  <si>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</si>
  <si>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</si>
  <si>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</si>
  <si>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</si>
  <si>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</si>
  <si>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</si>
  <si>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</si>
  <si>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</si>
  <si>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</si>
  <si>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</si>
  <si>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</si>
  <si>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</si>
  <si>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</si>
  <si>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</si>
  <si>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</si>
  <si>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</si>
  <si>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</si>
  <si>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</si>
  <si>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</si>
  <si>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</si>
  <si>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</si>
  <si>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</si>
  <si>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</si>
  <si>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</si>
  <si>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</si>
  <si>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</si>
  <si>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</si>
  <si>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</si>
  <si>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</si>
  <si>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</si>
  <si>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</si>
  <si>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</si>
  <si>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</si>
  <si>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</si>
  <si>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</si>
  <si>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</si>
  <si>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</si>
  <si>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</si>
  <si>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</si>
  <si>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</si>
  <si>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</si>
  <si>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</si>
  <si>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</si>
  <si>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</si>
  <si>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</si>
  <si>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</si>
  <si>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</si>
  <si>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</si>
  <si>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</si>
  <si>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</si>
  <si>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</si>
  <si>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</si>
  <si>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</si>
  <si>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</si>
  <si>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</si>
  <si>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</si>
  <si>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</si>
  <si>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</si>
  <si>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</si>
  <si>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</si>
  <si>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</si>
  <si>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</si>
  <si>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</si>
  <si>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</si>
  <si>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</si>
  <si>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</si>
  <si>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</si>
  <si>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</si>
  <si>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</si>
  <si>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</si>
  <si>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</si>
  <si>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</si>
  <si>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</si>
  <si>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</si>
  <si>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</si>
  <si>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</si>
  <si>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</si>
  <si>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</si>
  <si>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</si>
  <si>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</si>
  <si>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</si>
  <si>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</si>
  <si>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</si>
  <si>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</si>
  <si>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</si>
  <si>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</si>
  <si>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</si>
  <si>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</si>
  <si>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</si>
  <si>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</si>
  <si>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</si>
  <si>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</si>
  <si>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</si>
  <si>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</si>
  <si>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</si>
  <si>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</si>
  <si>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</si>
  <si>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</si>
  <si>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</si>
  <si>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</si>
  <si>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</si>
  <si>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</si>
  <si>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</si>
  <si>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</si>
  <si>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</si>
  <si>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</si>
  <si>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</si>
  <si>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</si>
  <si>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</si>
  <si>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</si>
  <si>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</si>
  <si>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</si>
  <si>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</si>
  <si>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</si>
  <si>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</si>
  <si>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</si>
  <si>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</si>
  <si>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</si>
  <si>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</si>
  <si>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</si>
  <si>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</si>
  <si>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</si>
  <si>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</si>
  <si>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</si>
  <si>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</si>
  <si>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</si>
  <si>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</si>
  <si>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</si>
  <si>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</si>
  <si>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</si>
  <si>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</si>
  <si>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</si>
  <si>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</si>
  <si>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</si>
  <si>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</si>
  <si>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</si>
  <si>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</si>
  <si>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</si>
  <si>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</si>
  <si>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</si>
  <si>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</si>
  <si>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</si>
  <si>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</si>
  <si>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</si>
  <si>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</si>
  <si>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</si>
  <si>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</si>
  <si>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</si>
  <si>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</si>
  <si>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</si>
  <si>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</si>
  <si>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</si>
  <si>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</si>
  <si>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</si>
  <si>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</si>
  <si>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</si>
  <si>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</si>
  <si>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</si>
  <si>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</si>
  <si>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</si>
  <si>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</si>
  <si>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</si>
  <si>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</si>
  <si>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</si>
  <si>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</si>
  <si>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</si>
  <si>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</si>
  <si>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</si>
  <si>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</si>
  <si>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</si>
  <si>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</si>
  <si>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</si>
  <si>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</si>
  <si>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</si>
  <si>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</si>
  <si>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</si>
  <si>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</si>
  <si>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</si>
  <si>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</si>
  <si>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</si>
  <si>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</si>
  <si>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</si>
  <si>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</si>
  <si>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</si>
  <si>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</si>
  <si>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</si>
  <si>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</si>
  <si>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</si>
  <si>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</si>
  <si>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</si>
  <si>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</si>
  <si>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</si>
  <si>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</si>
  <si>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</si>
  <si>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</si>
  <si>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</si>
  <si>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</si>
  <si>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</si>
  <si>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</si>
  <si>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</si>
  <si>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</si>
  <si>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</si>
  <si>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</si>
  <si>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</si>
  <si>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</si>
  <si>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</si>
  <si>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</si>
  <si>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</si>
  <si>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</si>
  <si>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</si>
  <si>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</si>
  <si>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</si>
  <si>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</si>
  <si>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</si>
  <si>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</si>
  <si>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</si>
  <si>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</si>
  <si>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</si>
  <si>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</si>
  <si>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</si>
  <si>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</si>
  <si>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</si>
  <si>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</si>
  <si>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</si>
  <si>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</si>
  <si>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</si>
  <si>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</si>
  <si>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</si>
  <si>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</si>
  <si>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</si>
  <si>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</si>
  <si>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</si>
  <si>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</si>
  <si>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</si>
  <si>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</si>
  <si>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</si>
  <si>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</si>
  <si>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</si>
  <si>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</si>
  <si>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</si>
  <si>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</si>
  <si>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</si>
  <si>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</si>
  <si>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</si>
  <si>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</si>
  <si>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</si>
  <si>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</si>
  <si>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</si>
  <si>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</si>
  <si>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</si>
  <si>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</si>
  <si>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</si>
  <si>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</si>
  <si>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</si>
  <si>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</si>
  <si>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</si>
  <si>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</si>
  <si>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</si>
  <si>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</si>
  <si>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</si>
  <si>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</si>
  <si>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</si>
  <si>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</si>
  <si>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</si>
  <si>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</si>
  <si>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</si>
  <si>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</si>
  <si>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</si>
  <si>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</si>
  <si>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</si>
  <si>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</si>
  <si>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</si>
  <si>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</si>
  <si>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</si>
  <si>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</si>
  <si>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</si>
  <si>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</si>
  <si>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</si>
  <si>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</si>
  <si>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</si>
  <si>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</si>
  <si>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</si>
  <si>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</si>
  <si>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</si>
  <si>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</si>
  <si>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</si>
  <si>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</si>
  <si>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</si>
  <si>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</si>
  <si>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</si>
  <si>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</si>
  <si>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</si>
  <si>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</si>
  <si>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</si>
  <si>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</si>
  <si>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</si>
  <si>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</si>
  <si>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</si>
  <si>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</si>
  <si>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</si>
  <si>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</si>
  <si>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</si>
  <si>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</si>
  <si>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</si>
  <si>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</si>
  <si>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</si>
  <si>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</si>
  <si>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</si>
  <si>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</si>
  <si>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</si>
  <si>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</si>
  <si>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</si>
  <si>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</si>
  <si>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</si>
  <si>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</si>
  <si>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</si>
  <si>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</si>
  <si>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</si>
  <si>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</si>
  <si>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</si>
  <si>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</si>
  <si>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</si>
  <si>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</si>
  <si>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</si>
  <si>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</si>
  <si>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</si>
  <si>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</si>
  <si>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</si>
  <si>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</si>
  <si>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</si>
  <si>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</si>
  <si>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</si>
  <si>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</si>
  <si>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</si>
  <si>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</si>
  <si>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</si>
  <si>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</si>
  <si>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</si>
  <si>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</si>
  <si>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</si>
  <si>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</si>
  <si>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</si>
  <si>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</si>
  <si>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</si>
  <si>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</si>
  <si>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</si>
  <si>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</si>
  <si>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</si>
  <si>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</si>
  <si>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</si>
  <si>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</si>
  <si>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</si>
  <si>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</si>
  <si>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</si>
  <si>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</si>
  <si>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</si>
  <si>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</si>
  <si>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</si>
  <si>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</si>
  <si>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</si>
  <si>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</si>
  <si>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</si>
  <si>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</si>
  <si>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</si>
  <si>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</si>
  <si>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</si>
  <si>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</si>
  <si>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</si>
  <si>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</si>
  <si>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</si>
  <si>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</si>
  <si>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</si>
  <si>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</si>
  <si>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</si>
  <si>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</si>
  <si>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</si>
  <si>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</si>
  <si>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</si>
  <si>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</si>
  <si>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</si>
  <si>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</si>
  <si>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</si>
  <si>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</si>
  <si>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</si>
  <si>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</si>
  <si>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</si>
  <si>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</si>
  <si>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</si>
  <si>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</si>
  <si>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</si>
  <si>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</si>
  <si>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</si>
  <si>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</si>
  <si>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</si>
  <si>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</si>
  <si>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</si>
  <si>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</si>
  <si>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</si>
  <si>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</si>
  <si>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</si>
  <si>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</si>
  <si>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</si>
  <si>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</si>
  <si>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</si>
  <si>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</si>
  <si>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</si>
  <si>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</si>
  <si>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</si>
  <si>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</si>
  <si>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</si>
  <si>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</si>
  <si>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</si>
  <si>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</si>
  <si>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</si>
  <si>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</si>
  <si>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</si>
  <si>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</si>
  <si>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</si>
  <si>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</si>
  <si>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</si>
  <si>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</si>
  <si>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</si>
  <si>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</si>
  <si>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</si>
  <si>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</si>
  <si>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</si>
  <si>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</si>
  <si>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</si>
  <si>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</si>
  <si>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</si>
  <si>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</si>
  <si>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</si>
  <si>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</si>
  <si>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</si>
  <si>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</si>
  <si>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</si>
  <si>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</si>
  <si>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</si>
  <si>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</si>
  <si>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</si>
  <si>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</si>
  <si>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</si>
  <si>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</si>
  <si>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</si>
  <si>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</si>
  <si>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</si>
  <si>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</si>
  <si>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</si>
  <si>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</si>
  <si>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</si>
  <si>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</si>
  <si>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</si>
  <si>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</si>
  <si>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</si>
  <si>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</si>
  <si>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</si>
  <si>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</si>
  <si>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</si>
  <si>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</si>
  <si>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</si>
  <si>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</si>
  <si>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</si>
  <si>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</si>
  <si>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</si>
  <si>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</si>
  <si>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</si>
  <si>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</si>
  <si>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</si>
  <si>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</si>
  <si>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</si>
  <si>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</si>
  <si>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</si>
  <si>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</si>
  <si>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</si>
  <si>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</si>
  <si>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</si>
  <si>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</si>
  <si>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</si>
  <si>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</si>
  <si>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</si>
  <si>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</si>
  <si>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</si>
  <si>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</si>
  <si>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</si>
  <si>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</si>
  <si>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</si>
  <si>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</si>
  <si>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</si>
  <si>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</si>
  <si>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</si>
  <si>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</si>
  <si>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</si>
  <si>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</si>
  <si>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</si>
  <si>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</si>
  <si>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</si>
  <si>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</si>
  <si>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</si>
  <si>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</si>
  <si>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</si>
  <si>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</si>
  <si>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</si>
  <si>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</si>
  <si>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</si>
  <si>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</si>
  <si>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</si>
  <si>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</si>
  <si>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</si>
  <si>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</si>
  <si>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</si>
  <si>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</si>
  <si>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</si>
  <si>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</si>
  <si>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</si>
  <si>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</si>
  <si>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</si>
  <si>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</si>
  <si>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</si>
  <si>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</si>
  <si>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</si>
  <si>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</si>
  <si>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</si>
  <si>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</si>
  <si>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</si>
  <si>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</si>
  <si>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</si>
  <si>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</si>
  <si>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</si>
  <si>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</si>
  <si>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</si>
  <si>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</si>
  <si>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</si>
  <si>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</si>
  <si>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</si>
  <si>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</si>
  <si>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</si>
  <si>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</si>
  <si>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</si>
  <si>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</si>
  <si>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</si>
  <si>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</si>
  <si>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</si>
  <si>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</si>
  <si>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</si>
  <si>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</si>
  <si>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</si>
  <si>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</si>
  <si>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</si>
  <si>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</si>
  <si>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</si>
  <si>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</si>
  <si>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</si>
  <si>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</si>
  <si>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</si>
  <si>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</si>
  <si>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</si>
  <si>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</si>
  <si>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</si>
  <si>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</si>
  <si>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</si>
  <si>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</si>
  <si>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</si>
  <si>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</si>
  <si>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</si>
  <si>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</si>
  <si>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</si>
  <si>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</si>
  <si>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</si>
  <si>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</si>
  <si>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</si>
  <si>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</si>
  <si>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</si>
  <si>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</si>
  <si>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</si>
  <si>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</si>
  <si>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</si>
  <si>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</si>
  <si>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</si>
  <si>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</si>
  <si>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</si>
  <si>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</si>
  <si>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</si>
  <si>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</si>
  <si>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</si>
  <si>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</si>
  <si>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</si>
  <si>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</si>
  <si>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</si>
  <si>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</si>
  <si>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</si>
  <si>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</si>
  <si>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</si>
  <si>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</si>
  <si>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</si>
  <si>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</si>
  <si>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</si>
  <si>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</si>
  <si>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</si>
  <si>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</si>
  <si>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</si>
  <si>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</si>
  <si>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</si>
  <si>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</si>
  <si>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</si>
  <si>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</si>
  <si>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</si>
  <si>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</si>
  <si>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</si>
  <si>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</si>
  <si>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</si>
  <si>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</si>
  <si>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</si>
  <si>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</si>
  <si>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</si>
  <si>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</si>
  <si>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</si>
  <si>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</si>
  <si>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</si>
  <si>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</si>
  <si>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</si>
  <si>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</si>
  <si>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</si>
  <si>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</si>
  <si>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</si>
  <si>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</si>
  <si>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</si>
  <si>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</si>
  <si>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</si>
  <si>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</si>
  <si>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</si>
  <si>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</si>
  <si>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</si>
  <si>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</si>
  <si>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</si>
  <si>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</si>
  <si>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</si>
  <si>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</si>
  <si>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</si>
  <si>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</si>
  <si>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</si>
  <si>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</si>
  <si>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</si>
  <si>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</si>
  <si>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</si>
  <si>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</si>
  <si>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</si>
  <si>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</si>
  <si>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</si>
  <si>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</si>
  <si>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</si>
  <si>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</si>
  <si>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</si>
  <si>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</si>
  <si>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</si>
  <si>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</si>
  <si>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</si>
  <si>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</si>
  <si>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</si>
  <si>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</si>
  <si>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</si>
  <si>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</si>
  <si>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</si>
  <si>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</si>
  <si>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</si>
  <si>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</si>
  <si>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</si>
  <si>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</si>
  <si>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</si>
  <si>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</si>
  <si>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</si>
  <si>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</si>
  <si>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</si>
  <si>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</si>
  <si>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</si>
  <si>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</si>
  <si>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</si>
  <si>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</si>
  <si>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</si>
  <si>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</si>
  <si>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</si>
  <si>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</si>
  <si>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</si>
  <si>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</si>
  <si>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</si>
  <si>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</si>
  <si>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</si>
  <si>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</si>
  <si>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</si>
  <si>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</si>
  <si>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</si>
  <si>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</si>
  <si>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</si>
  <si>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</si>
  <si>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</si>
  <si>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</si>
  <si>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</si>
  <si>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</si>
  <si>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</si>
  <si>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</si>
  <si>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</si>
  <si>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</si>
  <si>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</si>
  <si>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</si>
  <si>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</si>
  <si>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</si>
  <si>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</si>
  <si>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</si>
  <si>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</si>
  <si>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</si>
  <si>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</si>
  <si>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</si>
  <si>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</si>
  <si>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</si>
  <si>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</si>
  <si>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</si>
  <si>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</si>
  <si>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</si>
  <si>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</si>
  <si>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</si>
  <si>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</si>
  <si>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</si>
  <si>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</si>
  <si>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</si>
  <si>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</si>
  <si>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</si>
  <si>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</si>
  <si>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</si>
  <si>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</si>
  <si>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</si>
  <si>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</si>
  <si>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</si>
  <si>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</si>
  <si>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</si>
  <si>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</si>
  <si>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</si>
  <si>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</si>
  <si>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</si>
  <si>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</si>
  <si>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</si>
  <si>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</si>
  <si>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</si>
  <si>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</si>
  <si>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</si>
  <si>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</si>
  <si>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</si>
  <si>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</si>
  <si>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</si>
  <si>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</si>
  <si>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</si>
  <si>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</si>
  <si>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</si>
  <si>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</si>
  <si>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</si>
  <si>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</si>
  <si>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</si>
  <si>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</si>
  <si>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</si>
  <si>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</si>
  <si>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</si>
  <si>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</si>
  <si>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</si>
  <si>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</si>
  <si>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</si>
  <si>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</si>
  <si>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</si>
  <si>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</si>
  <si>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</si>
  <si>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</si>
  <si>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</si>
  <si>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</si>
  <si>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</si>
  <si>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</si>
  <si>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</si>
  <si>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</si>
  <si>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</si>
  <si>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</si>
  <si>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</si>
  <si>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</si>
  <si>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</si>
  <si>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</si>
  <si>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</si>
  <si>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</si>
  <si>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</si>
  <si>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</si>
  <si>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</si>
  <si>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</si>
  <si>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</si>
  <si>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</si>
  <si>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</si>
  <si>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</si>
  <si>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</si>
  <si>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</si>
  <si>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</si>
  <si>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</si>
  <si>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</si>
  <si>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</si>
  <si>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</si>
  <si>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</si>
  <si>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</si>
  <si>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</si>
  <si>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</si>
  <si>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</si>
  <si>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</si>
  <si>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</si>
  <si>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</si>
  <si>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</si>
  <si>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</si>
  <si>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</si>
  <si>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</si>
  <si>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</si>
  <si>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</si>
  <si>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</si>
  <si>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</si>
  <si>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</si>
  <si>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</si>
  <si>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</si>
  <si>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</si>
  <si>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</si>
  <si>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</si>
  <si>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</si>
  <si>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</si>
  <si>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</si>
  <si>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</si>
  <si>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</si>
  <si>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</si>
  <si>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</si>
  <si>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</si>
  <si>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</si>
  <si>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</si>
  <si>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</si>
  <si>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</si>
  <si>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</si>
  <si>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</si>
  <si>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</si>
  <si>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</si>
  <si>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</si>
  <si>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</si>
  <si>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</si>
  <si>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</si>
  <si>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</si>
  <si>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</si>
  <si>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</si>
  <si>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</si>
  <si>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</si>
  <si>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</si>
  <si>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</si>
  <si>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</si>
  <si>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</si>
  <si>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</si>
  <si>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</si>
  <si>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</si>
  <si>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</si>
  <si>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</si>
  <si>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</si>
  <si>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</si>
  <si>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</si>
  <si>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</si>
  <si>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</si>
  <si>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</si>
  <si>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</si>
  <si>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</si>
  <si>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</si>
  <si>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</si>
  <si>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</si>
  <si>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</si>
  <si>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</si>
  <si>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</si>
  <si>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</si>
  <si>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</si>
  <si>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</si>
  <si>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</si>
  <si>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</si>
  <si>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</si>
  <si>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</si>
  <si>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</si>
  <si>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</si>
  <si>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</si>
  <si>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</si>
  <si>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</si>
  <si>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</si>
  <si>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</si>
  <si>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</si>
  <si>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</si>
  <si>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</si>
  <si>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</si>
  <si>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</si>
  <si>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</si>
  <si>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</si>
  <si>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</si>
  <si>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</si>
  <si>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</si>
  <si>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</si>
  <si>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</si>
  <si>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</si>
  <si>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</si>
  <si>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</si>
  <si>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</si>
  <si>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</si>
  <si>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</si>
  <si>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</si>
  <si>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</si>
  <si>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</si>
  <si>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</si>
  <si>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</si>
  <si>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</si>
  <si>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</si>
  <si>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</si>
  <si>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</si>
  <si>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</si>
  <si>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</si>
  <si>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</si>
  <si>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</si>
  <si>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</si>
  <si>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</si>
  <si>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</si>
  <si>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</si>
  <si>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</si>
  <si>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</si>
  <si>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</si>
  <si>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</si>
  <si>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</si>
  <si>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</si>
  <si>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</si>
  <si>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</si>
  <si>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</si>
  <si>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</si>
  <si>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</si>
  <si>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</si>
  <si>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</si>
  <si>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</si>
  <si>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</si>
  <si>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</si>
  <si>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</si>
  <si>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</si>
  <si>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</si>
  <si>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</si>
  <si>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</si>
  <si>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</si>
  <si>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</si>
  <si>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</si>
  <si>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</si>
  <si>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</si>
  <si>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</si>
  <si>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</si>
  <si>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</si>
  <si>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</si>
  <si>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</si>
  <si>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</si>
  <si>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</si>
  <si>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</si>
  <si>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</si>
  <si>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</si>
  <si>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</si>
  <si>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</si>
  <si>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</si>
  <si>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</si>
  <si>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</si>
  <si>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</si>
  <si>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</si>
  <si>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</si>
  <si>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</si>
  <si>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</si>
  <si>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</si>
  <si>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</si>
  <si>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</si>
  <si>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</si>
  <si>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</si>
  <si>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</si>
  <si>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</si>
  <si>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</si>
  <si>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</si>
  <si>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</si>
  <si>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</si>
  <si>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</si>
  <si>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</si>
  <si>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</si>
  <si>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</si>
  <si>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</si>
  <si>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</si>
  <si>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</si>
  <si>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</si>
  <si>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</si>
  <si>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</si>
  <si>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</si>
  <si>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</si>
  <si>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</si>
  <si>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</si>
  <si>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</si>
  <si>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</si>
  <si>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</si>
  <si>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</si>
  <si>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</si>
  <si>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</si>
  <si>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</si>
  <si>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</si>
  <si>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</si>
  <si>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</si>
  <si>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</si>
  <si>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</si>
  <si>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</si>
  <si>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</si>
  <si>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</si>
  <si>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</si>
  <si>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</si>
  <si>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</si>
  <si>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</si>
  <si>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</si>
  <si>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</si>
  <si>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</si>
  <si>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</si>
  <si>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</si>
  <si>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</si>
  <si>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</si>
  <si>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</si>
  <si>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</si>
  <si>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</si>
  <si>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</si>
  <si>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</si>
  <si>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</si>
  <si>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</si>
  <si>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</si>
  <si>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</si>
  <si>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</si>
  <si>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</si>
  <si>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</si>
  <si>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</si>
  <si>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</si>
  <si>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</si>
  <si>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</si>
  <si>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</si>
  <si>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</si>
  <si>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</si>
  <si>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</si>
  <si>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</si>
  <si>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</si>
  <si>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</si>
  <si>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</si>
  <si>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</si>
  <si>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</si>
  <si>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</si>
  <si>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</si>
  <si>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</si>
  <si>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</si>
  <si>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</si>
  <si>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</si>
  <si>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</si>
  <si>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</si>
  <si>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</si>
  <si>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</si>
  <si>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</si>
  <si>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</si>
  <si>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</si>
  <si>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</si>
  <si>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</si>
  <si>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</si>
  <si>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</si>
  <si>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</si>
  <si>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</si>
  <si>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</si>
  <si>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</si>
  <si>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</si>
  <si>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</si>
  <si>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</si>
  <si>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</si>
  <si>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</si>
  <si>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</si>
  <si>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</si>
  <si>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</si>
  <si>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</si>
  <si>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</si>
  <si>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</si>
  <si>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</si>
  <si>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</si>
  <si>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</si>
  <si>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</si>
  <si>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</si>
  <si>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</si>
  <si>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</si>
  <si>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</si>
  <si>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</si>
  <si>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</si>
  <si>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</si>
  <si>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</si>
  <si>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</si>
  <si>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</si>
  <si>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</si>
  <si>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</si>
  <si>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</si>
  <si>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</si>
  <si>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</si>
  <si>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</si>
  <si>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</si>
  <si>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</si>
  <si>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</si>
  <si>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</si>
  <si>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</si>
  <si>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</si>
  <si>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</si>
  <si>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</si>
  <si>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</si>
  <si>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</si>
  <si>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</si>
  <si>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</si>
  <si>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</si>
  <si>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</si>
  <si>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</si>
  <si>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</si>
  <si>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</si>
  <si>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</si>
  <si>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</si>
  <si>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</si>
  <si>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</si>
  <si>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</si>
  <si>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</si>
  <si>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</si>
  <si>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</si>
  <si>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</si>
  <si>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</si>
  <si>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</si>
  <si>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</si>
  <si>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</si>
  <si>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</si>
  <si>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</si>
  <si>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</si>
  <si>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</si>
  <si>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</si>
  <si>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</si>
  <si>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</si>
  <si>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</si>
  <si>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</si>
  <si>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</si>
  <si>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</si>
  <si>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</si>
  <si>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</si>
  <si>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</si>
  <si>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</si>
  <si>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</si>
  <si>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</si>
  <si>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</si>
  <si>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</si>
  <si>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</si>
  <si>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</si>
  <si>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</si>
  <si>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</si>
  <si>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</si>
  <si>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</si>
  <si>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</si>
  <si>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</si>
  <si>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</si>
  <si>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</si>
  <si>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</si>
  <si>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</si>
  <si>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</si>
  <si>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</si>
  <si>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</si>
  <si>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</si>
  <si>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</si>
  <si>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</si>
  <si>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</si>
  <si>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</si>
  <si>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</si>
  <si>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</si>
  <si>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</si>
  <si>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</si>
  <si>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</si>
  <si>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</si>
  <si>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</si>
  <si>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</si>
  <si>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</si>
  <si>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</si>
  <si>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</si>
  <si>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</si>
  <si>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</si>
  <si>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</si>
  <si>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</si>
  <si>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</si>
  <si>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</si>
  <si>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</si>
  <si>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</si>
  <si>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</si>
  <si>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</si>
  <si>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</si>
  <si>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</si>
  <si>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</si>
  <si>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</si>
  <si>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</si>
  <si>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</si>
  <si>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</si>
  <si>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</si>
  <si>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</si>
  <si>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</si>
  <si>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</si>
  <si>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</si>
  <si>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</si>
  <si>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</si>
  <si>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</si>
  <si>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</si>
  <si>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</si>
  <si>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</si>
  <si>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</si>
  <si>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</si>
  <si>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</si>
  <si>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</si>
  <si>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</si>
  <si>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</si>
  <si>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</si>
  <si>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</si>
  <si>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</si>
  <si>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</si>
  <si>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</si>
  <si>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</si>
  <si>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</si>
  <si>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</si>
  <si>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</si>
  <si>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</si>
  <si>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</si>
  <si>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</si>
  <si>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</si>
  <si>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</si>
  <si>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</si>
  <si>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</si>
  <si>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</si>
  <si>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</si>
  <si>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</si>
  <si>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</si>
  <si>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</si>
  <si>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</si>
  <si>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</si>
  <si>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</si>
  <si>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</si>
  <si>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</si>
  <si>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</si>
  <si>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</si>
  <si>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</si>
  <si>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</si>
  <si>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</si>
  <si>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</si>
  <si>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</si>
  <si>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</si>
  <si>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</si>
  <si>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</si>
  <si>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</si>
  <si>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</si>
  <si>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</si>
  <si>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</si>
  <si>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</si>
  <si>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</si>
  <si>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</si>
  <si>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</si>
  <si>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</si>
  <si>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</si>
  <si>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</si>
  <si>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</si>
  <si>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</si>
  <si>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</si>
  <si>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</si>
  <si>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</si>
  <si>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</si>
  <si>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</si>
  <si>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</si>
  <si>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</si>
  <si>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</si>
  <si>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</si>
  <si>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</si>
  <si>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</si>
  <si>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</si>
  <si>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</si>
  <si>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</si>
  <si>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</si>
  <si>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</si>
  <si>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</si>
  <si>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</si>
  <si>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</si>
  <si>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</si>
  <si>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</si>
  <si>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</si>
  <si>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</si>
  <si>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</si>
  <si>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</si>
  <si>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</si>
  <si>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</si>
  <si>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</si>
  <si>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</si>
  <si>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</si>
  <si>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</si>
  <si>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</si>
  <si>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</si>
  <si>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</si>
  <si>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</si>
  <si>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</si>
  <si>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</si>
  <si>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</si>
  <si>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</si>
  <si>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</si>
  <si>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</si>
  <si>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</si>
  <si>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</si>
  <si>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</si>
  <si>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</si>
  <si>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</si>
  <si>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</si>
  <si>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</si>
  <si>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</si>
  <si>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</si>
  <si>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</si>
  <si>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</si>
  <si>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</si>
  <si>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</si>
  <si>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</si>
  <si>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</si>
  <si>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</si>
  <si>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</si>
  <si>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</si>
  <si>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</si>
  <si>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</si>
  <si>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</si>
  <si>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</si>
  <si>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</si>
  <si>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</si>
  <si>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</si>
  <si>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</si>
  <si>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</si>
  <si>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</si>
  <si>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</si>
  <si>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</si>
  <si>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</si>
  <si>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</si>
  <si>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</si>
  <si>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</si>
  <si>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</si>
  <si>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</si>
  <si>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</si>
  <si>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</si>
  <si>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</si>
  <si>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</si>
  <si>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</si>
  <si>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</si>
  <si>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</si>
  <si>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</si>
  <si>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</si>
  <si>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</si>
  <si>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</si>
  <si>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</si>
  <si>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</si>
  <si>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</si>
  <si>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</si>
  <si>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</si>
  <si>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</si>
  <si>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</si>
  <si>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</si>
  <si>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</si>
  <si>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</si>
  <si>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</si>
  <si>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</si>
  <si>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</si>
  <si>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</si>
  <si>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</si>
  <si>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</si>
  <si>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</si>
  <si>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</si>
  <si>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</si>
  <si>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</si>
  <si>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</si>
  <si>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</si>
  <si>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</si>
  <si>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</si>
  <si>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</si>
  <si>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</si>
  <si>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</si>
  <si>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</si>
  <si>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</si>
  <si>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</si>
  <si>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</si>
  <si>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</si>
  <si>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</si>
  <si>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</si>
  <si>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</si>
  <si>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</si>
  <si>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</si>
  <si>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</si>
  <si>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</si>
  <si>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</si>
  <si>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</si>
  <si>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</si>
  <si>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</si>
  <si>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</si>
  <si>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</si>
  <si>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</si>
  <si>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</si>
  <si>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</si>
  <si>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</si>
  <si>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</si>
  <si>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</si>
  <si>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</si>
  <si>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</si>
  <si>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</si>
  <si>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</si>
  <si>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</si>
  <si>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</si>
  <si>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</si>
  <si>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</si>
  <si>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</si>
  <si>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</si>
  <si>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</si>
  <si>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</si>
  <si>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</si>
  <si>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</si>
  <si>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</si>
  <si>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</si>
  <si>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</si>
  <si>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</si>
  <si>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</si>
  <si>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</si>
  <si>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</si>
  <si>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</si>
  <si>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</si>
  <si>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</si>
  <si>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</si>
  <si>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</si>
  <si>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</si>
  <si>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</si>
  <si>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</si>
  <si>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</si>
  <si>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</si>
  <si>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</si>
  <si>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</si>
  <si>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</si>
  <si>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</si>
  <si>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</si>
  <si>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</si>
  <si>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</si>
  <si>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</si>
  <si>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</si>
  <si>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</si>
  <si>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</si>
  <si>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</si>
  <si>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</si>
  <si>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</si>
  <si>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</si>
  <si>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</si>
  <si>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</si>
  <si>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</si>
  <si>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</si>
  <si>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</si>
  <si>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</si>
  <si>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</si>
  <si>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</si>
  <si>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</si>
  <si>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</si>
  <si>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</si>
  <si>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</si>
  <si>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</si>
  <si>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</si>
  <si>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</si>
  <si>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</si>
  <si>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</si>
  <si>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</si>
  <si>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</si>
  <si>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</si>
  <si>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</si>
  <si>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</si>
  <si>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</si>
  <si>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</si>
  <si>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</si>
  <si>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</si>
  <si>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</si>
  <si>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</si>
  <si>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</si>
  <si>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</si>
  <si>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</si>
  <si>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</si>
  <si>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</si>
  <si>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</si>
  <si>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</si>
  <si>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</si>
  <si>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</si>
  <si>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</si>
  <si>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</si>
  <si>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</si>
  <si>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</si>
  <si>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</si>
  <si>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</si>
  <si>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</si>
  <si>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</si>
  <si>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</si>
  <si>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</si>
  <si>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</si>
  <si>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</si>
  <si>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</si>
  <si>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</si>
  <si>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</si>
  <si>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</si>
  <si>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</si>
  <si>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</si>
  <si>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</si>
  <si>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</si>
  <si>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</si>
  <si>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</si>
  <si>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</si>
  <si>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</si>
  <si>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</si>
  <si>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</si>
  <si>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</si>
  <si>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</si>
  <si>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</si>
  <si>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</si>
  <si>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</si>
  <si>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</si>
  <si>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</si>
  <si>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</si>
  <si>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</si>
  <si>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</si>
  <si>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</si>
  <si>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</si>
  <si>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</si>
  <si>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</si>
  <si>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</si>
  <si>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</si>
  <si>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</si>
  <si>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</si>
  <si>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</si>
  <si>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</si>
  <si>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</si>
  <si>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</si>
  <si>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</si>
  <si>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</si>
  <si>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</si>
  <si>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</si>
  <si>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</si>
  <si>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</si>
  <si>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</si>
  <si>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</si>
  <si>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</si>
  <si>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</si>
  <si>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</si>
  <si>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</si>
  <si>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</si>
  <si>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</si>
  <si>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</si>
  <si>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</si>
  <si>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</si>
  <si>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</si>
  <si>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</si>
  <si>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</si>
  <si>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</si>
  <si>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</si>
  <si>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</si>
  <si>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</si>
  <si>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</si>
  <si>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</si>
  <si>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</si>
  <si>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</si>
  <si>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</si>
  <si>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</si>
  <si>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</si>
  <si>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</si>
  <si>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</si>
  <si>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</si>
  <si>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</si>
  <si>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</si>
  <si>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</si>
  <si>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</si>
  <si>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</si>
  <si>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</si>
  <si>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</si>
  <si>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</si>
  <si>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</si>
  <si>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</si>
  <si>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</si>
  <si>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</si>
  <si>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</si>
  <si>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</si>
  <si>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</si>
  <si>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</si>
  <si>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</si>
  <si>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</si>
  <si>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</si>
  <si>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</si>
  <si>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</si>
  <si>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</si>
  <si>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</si>
  <si>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</si>
  <si>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</si>
  <si>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</si>
  <si>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</si>
  <si>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</si>
  <si>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</si>
  <si>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</si>
  <si>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</si>
  <si>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</si>
  <si>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</si>
  <si>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</si>
  <si>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</si>
  <si>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</si>
  <si>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</si>
  <si>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</si>
  <si>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</si>
  <si>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</si>
  <si>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</si>
  <si>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</si>
  <si>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</si>
  <si>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</si>
  <si>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</si>
  <si>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</si>
  <si>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</si>
  <si>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</si>
  <si>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</si>
  <si>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</si>
  <si>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</si>
  <si>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</si>
  <si>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</si>
  <si>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</si>
  <si>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</si>
  <si>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</si>
  <si>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</si>
  <si>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</si>
  <si>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</si>
  <si>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</si>
  <si>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</si>
  <si>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</si>
  <si>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</si>
  <si>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</si>
  <si>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</si>
  <si>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</si>
  <si>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</si>
  <si>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</si>
  <si>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</si>
  <si>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</si>
  <si>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</si>
  <si>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</si>
  <si>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</si>
  <si>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</si>
  <si>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</si>
  <si>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</si>
  <si>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</si>
  <si>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</si>
  <si>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</si>
  <si>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</si>
  <si>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</si>
  <si>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</si>
  <si>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</si>
  <si>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</si>
  <si>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</si>
  <si>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</si>
  <si>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</si>
  <si>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</si>
  <si>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</si>
  <si>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</si>
  <si>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</si>
  <si>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</si>
  <si>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</si>
  <si>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</si>
  <si>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</si>
  <si>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</si>
  <si>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</si>
  <si>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</si>
  <si>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</si>
  <si>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</si>
  <si>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</si>
  <si>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</si>
  <si>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</si>
  <si>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</si>
  <si>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</si>
  <si>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</si>
  <si>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</si>
  <si>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</si>
  <si>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</si>
  <si>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</si>
  <si>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</si>
  <si>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</si>
  <si>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</si>
  <si>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</si>
  <si>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</si>
  <si>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</si>
  <si>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</si>
  <si>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</si>
  <si>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</si>
  <si>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</si>
  <si>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</si>
  <si>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</si>
  <si>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</si>
  <si>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</si>
  <si>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</si>
  <si>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</si>
  <si>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</si>
  <si>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</si>
  <si>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</si>
  <si>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</si>
  <si>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</si>
  <si>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</si>
  <si>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</si>
  <si>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</si>
  <si>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</si>
  <si>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</si>
  <si>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</si>
  <si>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</si>
  <si>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</si>
  <si>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</si>
  <si>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</si>
  <si>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</si>
  <si>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</si>
  <si>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</si>
  <si>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</si>
  <si>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</si>
  <si>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</si>
  <si>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</si>
  <si>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</si>
  <si>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</si>
  <si>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</si>
  <si>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</si>
  <si>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</si>
  <si>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</si>
  <si>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</si>
  <si>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</si>
  <si>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</si>
  <si>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</si>
  <si>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</si>
  <si>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</si>
  <si>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</si>
  <si>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</si>
  <si>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</si>
  <si>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</si>
  <si>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</si>
  <si>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</si>
  <si>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</si>
  <si>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</si>
  <si>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</si>
  <si>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</si>
  <si>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</si>
  <si>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</si>
  <si>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</si>
  <si>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</si>
  <si>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</si>
  <si>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</si>
  <si>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</si>
  <si>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</si>
  <si>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</si>
  <si>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</si>
  <si>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</si>
  <si>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</si>
  <si>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</si>
  <si>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</si>
  <si>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</si>
  <si>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</si>
  <si>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</si>
  <si>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</si>
  <si>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</si>
  <si>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</si>
  <si>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</si>
  <si>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</si>
  <si>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</si>
  <si>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</si>
  <si>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</si>
  <si>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</si>
  <si>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</si>
  <si>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</si>
  <si>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</si>
  <si>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</si>
  <si>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</si>
  <si>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</si>
  <si>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</si>
  <si>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</si>
  <si>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</si>
  <si>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</si>
  <si>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</si>
  <si>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</si>
  <si>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</si>
  <si>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</si>
  <si>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</si>
  <si>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</si>
  <si>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</si>
  <si>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</si>
  <si>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</si>
  <si>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</si>
  <si>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</si>
  <si>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</si>
  <si>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</si>
  <si>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</si>
  <si>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</si>
  <si>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</si>
  <si>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</si>
  <si>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</si>
  <si>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</si>
  <si>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</si>
  <si>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</si>
  <si>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</si>
  <si>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</si>
  <si>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</si>
  <si>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</si>
  <si>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</si>
  <si>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</si>
  <si>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</si>
  <si>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</si>
  <si>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</si>
  <si>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</si>
  <si>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</si>
  <si>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</si>
  <si>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</si>
  <si>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</si>
  <si>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</si>
  <si>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</si>
  <si>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</si>
  <si>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</si>
  <si>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</si>
  <si>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</si>
  <si>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</si>
  <si>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</si>
  <si>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</si>
  <si>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</si>
  <si>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</si>
  <si>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</si>
  <si>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</si>
  <si>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</si>
  <si>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</si>
  <si>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</si>
  <si>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</si>
  <si>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</si>
  <si>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</si>
  <si>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</si>
  <si>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</si>
  <si>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</si>
  <si>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</si>
  <si>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</si>
  <si>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</si>
  <si>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</si>
  <si>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</si>
  <si>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</si>
  <si>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</si>
  <si>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</si>
  <si>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</si>
  <si>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</si>
  <si>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</si>
  <si>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</si>
  <si>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</si>
  <si>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</si>
  <si>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</si>
  <si>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</si>
  <si>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</si>
  <si>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</si>
  <si>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</si>
  <si>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</si>
  <si>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</si>
  <si>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</si>
  <si>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</si>
  <si>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</si>
  <si>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</si>
  <si>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</si>
  <si>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</si>
  <si>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</si>
  <si>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</si>
  <si>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</si>
  <si>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</si>
  <si>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</si>
  <si>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</si>
  <si>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</si>
  <si>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</si>
  <si>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</si>
  <si>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</si>
  <si>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</si>
  <si>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</si>
  <si>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</si>
  <si>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</si>
  <si>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</si>
  <si>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</si>
  <si>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</si>
  <si>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</si>
  <si>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</si>
  <si>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</si>
  <si>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</si>
  <si>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</si>
  <si>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</si>
  <si>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</si>
  <si>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</si>
  <si>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</si>
  <si>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</si>
  <si>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</si>
  <si>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</si>
  <si>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</si>
  <si>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</si>
  <si>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</si>
  <si>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</si>
  <si>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</si>
  <si>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</si>
  <si>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</si>
  <si>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</si>
  <si>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</si>
  <si>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</si>
  <si>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</si>
  <si>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</si>
  <si>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</si>
  <si>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</si>
  <si>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</si>
  <si>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</si>
  <si>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</si>
  <si>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</si>
  <si>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</si>
  <si>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</si>
  <si>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</si>
  <si>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</si>
  <si>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</si>
  <si>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</si>
  <si>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</si>
  <si>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</si>
  <si>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</si>
  <si>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</si>
  <si>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</si>
  <si>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</si>
  <si>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</si>
  <si>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</si>
  <si>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</si>
  <si>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</si>
  <si>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</si>
  <si>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</si>
  <si>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</si>
  <si>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</si>
  <si>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</si>
  <si>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</si>
  <si>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</si>
  <si>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</si>
  <si>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</si>
  <si>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</si>
  <si>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</si>
  <si>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</si>
  <si>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</si>
  <si>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</si>
  <si>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</si>
  <si>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</si>
  <si>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</si>
  <si>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</si>
  <si>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</si>
  <si>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</si>
  <si>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</si>
  <si>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</si>
  <si>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</si>
  <si>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</si>
  <si>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</si>
  <si>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</si>
  <si>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</si>
  <si>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</si>
  <si>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</si>
  <si>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</si>
  <si>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</si>
  <si>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</si>
  <si>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</si>
  <si>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</si>
  <si>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</si>
  <si>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</si>
  <si>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</si>
  <si>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</si>
  <si>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</si>
  <si>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</si>
  <si>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</si>
  <si>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</si>
  <si>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</si>
  <si>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</si>
  <si>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</si>
  <si>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</si>
  <si>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</si>
  <si>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</si>
  <si>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</si>
  <si>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</si>
  <si>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</si>
  <si>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</si>
  <si>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</si>
  <si>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</si>
  <si>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</si>
  <si>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</si>
  <si>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</si>
  <si>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</si>
  <si>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</si>
  <si>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</si>
  <si>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</si>
  <si>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</si>
  <si>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</si>
  <si>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</si>
  <si>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</si>
  <si>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</si>
  <si>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</si>
  <si>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</si>
  <si>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</si>
  <si>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</si>
  <si>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</si>
  <si>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</si>
  <si>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</si>
  <si>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</si>
  <si>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</si>
  <si>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</si>
  <si>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</si>
  <si>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</si>
  <si>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</si>
  <si>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</si>
  <si>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</si>
  <si>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</si>
  <si>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</si>
  <si>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</si>
  <si>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</si>
  <si>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</si>
  <si>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</si>
  <si>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</si>
  <si>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</si>
  <si>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</si>
  <si>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</si>
  <si>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</si>
  <si>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</si>
  <si>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</si>
  <si>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</si>
  <si>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</si>
  <si>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</si>
  <si>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</si>
  <si>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</si>
  <si>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</si>
  <si>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</si>
  <si>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</si>
  <si>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</si>
  <si>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</si>
  <si>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</si>
  <si>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</si>
  <si>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</si>
  <si>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</si>
  <si>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</si>
  <si>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</si>
  <si>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</si>
  <si>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</si>
  <si>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</si>
  <si>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</si>
  <si>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</si>
  <si>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</si>
  <si>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</si>
  <si>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</si>
  <si>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</si>
  <si>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</si>
  <si>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</si>
  <si>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</si>
  <si>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</si>
  <si>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</si>
  <si>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</si>
  <si>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</si>
  <si>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</si>
  <si>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</si>
  <si>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</si>
  <si>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</si>
  <si>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</si>
  <si>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</si>
  <si>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</si>
  <si>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</si>
  <si>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</si>
  <si>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</si>
  <si>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</si>
  <si>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</si>
  <si>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</si>
  <si>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</si>
  <si>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</si>
  <si>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</si>
  <si>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</si>
  <si>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</si>
  <si>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</si>
  <si>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</si>
  <si>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</si>
  <si>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</si>
  <si>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</si>
  <si>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</si>
  <si>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</si>
  <si>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</si>
  <si>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</si>
  <si>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</si>
  <si>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</si>
  <si>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</si>
  <si>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</si>
  <si>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</si>
  <si>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</si>
  <si>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</si>
  <si>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</si>
  <si>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</si>
  <si>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</si>
  <si>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</si>
  <si>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</si>
  <si>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</si>
  <si>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</si>
  <si>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</si>
  <si>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</si>
  <si>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</si>
  <si>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</si>
  <si>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</si>
  <si>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</si>
  <si>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</si>
  <si>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</si>
  <si>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</si>
  <si>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</si>
  <si>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</si>
  <si>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</si>
  <si>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</si>
  <si>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</si>
  <si>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</si>
  <si>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</si>
  <si>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</si>
  <si>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</si>
  <si>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</si>
  <si>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</si>
  <si>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</si>
  <si>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</si>
  <si>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</si>
  <si>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</si>
  <si>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</si>
  <si>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</si>
  <si>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</si>
  <si>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</si>
  <si>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</si>
  <si>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</si>
  <si>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</si>
  <si>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</si>
  <si>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</si>
  <si>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</si>
  <si>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</si>
  <si>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</si>
  <si>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</si>
  <si>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</si>
  <si>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</si>
  <si>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</si>
  <si>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</si>
  <si>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</si>
  <si>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</si>
  <si>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</si>
  <si>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</si>
  <si>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</si>
  <si>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</si>
  <si>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</si>
  <si>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</si>
  <si>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</si>
  <si>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</si>
  <si>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</si>
  <si>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</si>
  <si>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</si>
  <si>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</si>
  <si>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</si>
  <si>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</si>
  <si>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</si>
  <si>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</si>
  <si>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</si>
  <si>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</si>
  <si>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</si>
  <si>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</si>
  <si>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</si>
  <si>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</si>
  <si>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</si>
  <si>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</si>
  <si>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</si>
  <si>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</si>
  <si>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</si>
  <si>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</si>
  <si>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</si>
  <si>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</si>
  <si>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</si>
  <si>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</si>
  <si>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</si>
  <si>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</si>
  <si>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</si>
  <si>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</si>
  <si>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</si>
  <si>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</si>
  <si>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</si>
  <si>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</si>
  <si>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</si>
  <si>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</si>
  <si>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</si>
  <si>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</si>
  <si>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</si>
  <si>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</si>
  <si>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</si>
  <si>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</si>
  <si>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</si>
  <si>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</si>
  <si>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</si>
  <si>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</si>
  <si>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</si>
  <si>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</si>
  <si>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</si>
  <si>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</si>
  <si>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</si>
  <si>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</si>
  <si>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</si>
  <si>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</si>
  <si>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</si>
  <si>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</si>
  <si>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</si>
  <si>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</si>
  <si>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</si>
  <si>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</si>
  <si>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</si>
  <si>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</si>
  <si>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</si>
  <si>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</si>
  <si>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</si>
  <si>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</si>
  <si>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</si>
  <si>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</si>
  <si>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</si>
  <si>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</si>
  <si>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</si>
  <si>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</si>
  <si>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</si>
  <si>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</si>
  <si>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</si>
  <si>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</si>
  <si>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</si>
  <si>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</si>
  <si>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</si>
  <si>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</si>
  <si>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</si>
  <si>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</si>
  <si>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</si>
  <si>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</si>
  <si>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</si>
  <si>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</si>
  <si>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</si>
  <si>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</si>
  <si>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</si>
  <si>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</si>
  <si>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</si>
  <si>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</si>
  <si>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</si>
  <si>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</si>
  <si>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</si>
  <si>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</si>
  <si>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</si>
  <si>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</si>
  <si>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</si>
  <si>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</si>
  <si>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</si>
  <si>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</si>
  <si>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</si>
  <si>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</si>
  <si>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</si>
  <si>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</si>
  <si>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</si>
  <si>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</si>
  <si>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</si>
  <si>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</si>
  <si>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</si>
  <si>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</si>
  <si>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</si>
  <si>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</si>
  <si>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</si>
  <si>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</si>
  <si>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</si>
  <si>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</si>
  <si>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</si>
  <si>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</si>
  <si>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</si>
  <si>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</si>
  <si>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</si>
  <si>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</si>
  <si>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</si>
  <si>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</si>
  <si>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</si>
  <si>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</si>
  <si>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</si>
  <si>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</si>
  <si>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</si>
  <si>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</si>
  <si>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</si>
  <si>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</si>
  <si>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</si>
  <si>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</si>
  <si>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</si>
  <si>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</si>
  <si>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</si>
  <si>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</si>
  <si>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</si>
  <si>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</si>
  <si>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</si>
  <si>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</si>
  <si>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</si>
  <si>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</si>
  <si>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</si>
  <si>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</si>
  <si>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</si>
  <si>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</si>
  <si>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</si>
  <si>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</si>
  <si>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</si>
  <si>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</si>
  <si>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</si>
  <si>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</si>
  <si>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</si>
  <si>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</si>
  <si>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</si>
  <si>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</si>
  <si>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</si>
  <si>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</si>
  <si>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</si>
  <si>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</si>
  <si>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</si>
  <si>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</si>
  <si>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</si>
  <si>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</si>
  <si>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</si>
  <si>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</si>
  <si>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</si>
  <si>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</si>
  <si>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</si>
  <si>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</si>
  <si>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</si>
  <si>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</si>
  <si>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</si>
  <si>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</si>
  <si>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</si>
  <si>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</si>
  <si>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</si>
  <si>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</si>
  <si>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</si>
  <si>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</si>
  <si>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</si>
  <si>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</si>
  <si>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</si>
  <si>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</si>
  <si>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</si>
  <si>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</si>
  <si>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</si>
  <si>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</si>
  <si>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</si>
  <si>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</si>
  <si>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</si>
  <si>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</si>
  <si>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</si>
  <si>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</si>
  <si>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</si>
  <si>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</si>
  <si>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</si>
  <si>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</si>
  <si>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</si>
  <si>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</si>
  <si>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</si>
  <si>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</si>
  <si>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</si>
  <si>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</si>
  <si>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</si>
  <si>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</si>
  <si>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</si>
  <si>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</si>
  <si>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</si>
  <si>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</si>
  <si>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</si>
  <si>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</si>
  <si>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</si>
  <si>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</si>
  <si>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</si>
  <si>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</si>
  <si>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</si>
  <si>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</si>
  <si>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</si>
  <si>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</si>
  <si>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</si>
  <si>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</si>
  <si>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</si>
  <si>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</si>
  <si>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</si>
  <si>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</si>
  <si>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</si>
  <si>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</si>
  <si>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</si>
  <si>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</si>
  <si>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</si>
  <si>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</si>
  <si>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</si>
  <si>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</si>
  <si>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</si>
  <si>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</si>
  <si>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</si>
  <si>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</si>
  <si>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</si>
  <si>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</si>
  <si>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</si>
  <si>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</si>
  <si>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</si>
  <si>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</si>
  <si>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</si>
  <si>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</si>
  <si>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</si>
  <si>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</si>
  <si>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</si>
  <si>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</si>
  <si>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</si>
  <si>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</si>
  <si>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</si>
  <si>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</si>
  <si>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</si>
  <si>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</si>
  <si>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</si>
  <si>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</si>
  <si>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</si>
  <si>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</si>
  <si>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</si>
  <si>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</si>
  <si>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</si>
  <si>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</si>
  <si>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</si>
  <si>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</si>
  <si>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</si>
  <si>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</si>
  <si>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</si>
  <si>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</si>
  <si>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</si>
  <si>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</si>
  <si>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</si>
  <si>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</si>
  <si>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</si>
  <si>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</si>
  <si>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</si>
  <si>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</si>
  <si>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</si>
  <si>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</si>
  <si>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</si>
  <si>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</si>
  <si>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</si>
  <si>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</si>
  <si>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</si>
  <si>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</si>
  <si>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</si>
  <si>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</si>
  <si>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</si>
  <si>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</si>
  <si>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</si>
  <si>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</si>
  <si>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</si>
  <si>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</si>
  <si>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</si>
  <si>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</si>
  <si>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</si>
  <si>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</si>
  <si>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</si>
  <si>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</si>
  <si>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</si>
  <si>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</si>
  <si>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</si>
  <si>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</si>
  <si>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</si>
  <si>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</si>
  <si>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</si>
  <si>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</si>
  <si>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</si>
  <si>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</si>
  <si>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</si>
  <si>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</si>
  <si>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</si>
  <si>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</si>
  <si>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</si>
  <si>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</si>
  <si>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</si>
  <si>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</si>
  <si>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</si>
  <si>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</si>
  <si>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</si>
  <si>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</si>
  <si>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</si>
  <si>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</si>
  <si>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</si>
  <si>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</si>
  <si>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</si>
  <si>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</si>
  <si>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</si>
  <si>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</si>
  <si>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</si>
  <si>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</si>
  <si>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</si>
  <si>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</si>
  <si>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</si>
  <si>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</si>
  <si>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</si>
  <si>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</si>
  <si>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</si>
  <si>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</si>
  <si>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</si>
  <si>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</si>
  <si>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</si>
  <si>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</si>
  <si>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</si>
  <si>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</si>
  <si>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</si>
  <si>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</si>
  <si>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</si>
  <si>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</si>
  <si>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</si>
  <si>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</si>
  <si>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</si>
  <si>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</si>
  <si>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</si>
  <si>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</si>
  <si>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</si>
  <si>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</si>
  <si>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</si>
  <si>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</si>
  <si>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</si>
  <si>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</si>
  <si>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</si>
  <si>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</si>
  <si>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</si>
  <si>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</si>
  <si>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</si>
  <si>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</si>
  <si>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</si>
  <si>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</si>
  <si>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</si>
  <si>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</si>
  <si>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</si>
  <si>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</si>
  <si>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</si>
  <si>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</si>
  <si>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</si>
  <si>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</si>
  <si>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</si>
  <si>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</si>
  <si>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</si>
  <si>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</si>
  <si>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</si>
  <si>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</si>
  <si>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</si>
  <si>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</si>
  <si>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</si>
  <si>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</si>
  <si>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</si>
  <si>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</si>
  <si>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</si>
  <si>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</si>
  <si>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</si>
  <si>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</si>
  <si>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</si>
  <si>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</si>
  <si>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</si>
  <si>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</si>
  <si>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</si>
  <si>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</si>
  <si>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</si>
  <si>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</si>
  <si>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</si>
  <si>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</si>
  <si>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</si>
  <si>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</si>
  <si>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</si>
  <si>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</si>
  <si>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</si>
  <si>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</si>
  <si>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</si>
  <si>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</si>
  <si>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</si>
  <si>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</si>
  <si>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</si>
  <si>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</si>
  <si>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</si>
  <si>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</si>
  <si>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</si>
  <si>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</si>
  <si>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</si>
  <si>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</si>
  <si>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</si>
  <si>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</si>
  <si>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</si>
  <si>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</si>
  <si>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</si>
  <si>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</si>
  <si>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</si>
  <si>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</si>
  <si>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</si>
  <si>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</si>
  <si>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</si>
  <si>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</si>
  <si>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</si>
  <si>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</si>
  <si>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</si>
  <si>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</si>
  <si>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</si>
  <si>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</si>
  <si>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</si>
  <si>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</si>
  <si>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</si>
  <si>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</si>
  <si>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</si>
  <si>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</si>
  <si>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</si>
  <si>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</si>
  <si>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</si>
  <si>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</si>
  <si>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</si>
  <si>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</si>
  <si>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</si>
  <si>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</si>
  <si>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</si>
  <si>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</si>
  <si>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</si>
  <si>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</si>
  <si>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</si>
  <si>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</si>
  <si>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</si>
  <si>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</si>
  <si>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</si>
  <si>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</si>
  <si>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</si>
  <si>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</si>
  <si>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</si>
  <si>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</si>
  <si>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</si>
  <si>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</si>
  <si>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</si>
  <si>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</si>
  <si>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</si>
  <si>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</si>
  <si>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</si>
  <si>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</si>
  <si>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</si>
  <si>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</si>
  <si>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</si>
  <si>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</si>
  <si>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</si>
  <si>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</si>
  <si>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</si>
  <si>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</si>
  <si>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</si>
  <si>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</si>
  <si>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</si>
  <si>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</si>
  <si>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</si>
  <si>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</si>
  <si>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</si>
  <si>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</si>
  <si>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</si>
  <si>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</si>
  <si>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</si>
  <si>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</si>
  <si>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</si>
  <si>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</si>
  <si>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</si>
  <si>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</si>
  <si>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</si>
  <si>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</si>
  <si>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</si>
  <si>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</si>
  <si>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</si>
  <si>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</si>
  <si>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</si>
  <si>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</si>
  <si>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</si>
  <si>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</si>
  <si>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</si>
  <si>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</si>
  <si>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</si>
  <si>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</si>
  <si>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</si>
  <si>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</si>
  <si>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</si>
  <si>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</si>
  <si>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</si>
  <si>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</si>
  <si>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</si>
  <si>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</si>
  <si>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</si>
  <si>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</si>
  <si>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</si>
  <si>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</si>
  <si>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</si>
  <si>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</si>
  <si>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</si>
  <si>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</si>
  <si>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</si>
  <si>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</si>
  <si>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</si>
  <si>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</si>
  <si>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</si>
  <si>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</si>
  <si>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</si>
  <si>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</si>
  <si>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</si>
  <si>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</si>
  <si>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</si>
  <si>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</si>
  <si>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</si>
  <si>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</si>
  <si>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</si>
  <si>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</si>
  <si>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</si>
  <si>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</si>
  <si>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</si>
  <si>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</si>
  <si>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</si>
  <si>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</si>
  <si>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</si>
  <si>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</si>
  <si>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</si>
  <si>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</si>
  <si>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</si>
  <si>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</si>
  <si>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</si>
  <si>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</si>
  <si>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</si>
  <si>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</si>
  <si>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</si>
  <si>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</si>
  <si>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</si>
  <si>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</si>
  <si>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</si>
  <si>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</si>
  <si>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</si>
  <si>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</si>
  <si>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</si>
  <si>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</si>
  <si>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</si>
  <si>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</si>
  <si>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</si>
  <si>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</si>
  <si>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</si>
  <si>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</si>
  <si>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</si>
  <si>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</si>
  <si>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</si>
  <si>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</si>
  <si>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</si>
  <si>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</si>
  <si>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</si>
  <si>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</si>
  <si>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</si>
  <si>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</si>
  <si>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</si>
  <si>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</si>
  <si>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</si>
  <si>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</si>
  <si>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</si>
  <si>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</si>
  <si>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</si>
  <si>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</si>
  <si>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</si>
  <si>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</si>
  <si>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</si>
  <si>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</si>
  <si>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</si>
  <si>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</si>
  <si>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</si>
  <si>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</si>
  <si>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</si>
  <si>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</si>
  <si>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</si>
  <si>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</si>
  <si>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</si>
  <si>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</si>
  <si>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</si>
  <si>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</si>
  <si>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</si>
  <si>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</si>
  <si>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</si>
  <si>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</si>
  <si>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</si>
  <si>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</si>
  <si>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</si>
  <si>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</si>
  <si>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</si>
  <si>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</si>
  <si>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</si>
  <si>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</si>
  <si>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</si>
  <si>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</si>
  <si>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</si>
  <si>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</si>
  <si>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</si>
  <si>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</si>
  <si>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</si>
  <si>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</si>
  <si>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</si>
  <si>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</si>
  <si>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</si>
  <si>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</si>
  <si>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</si>
  <si>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</si>
  <si>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</si>
  <si>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</si>
  <si>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</si>
  <si>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</si>
  <si>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</si>
  <si>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</si>
  <si>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</si>
  <si>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</si>
  <si>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</si>
  <si>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</si>
  <si>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</si>
  <si>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</si>
  <si>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</si>
  <si>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</si>
  <si>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</si>
  <si>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</si>
  <si>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</si>
  <si>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</si>
  <si>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</si>
  <si>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</si>
  <si>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</si>
  <si>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</si>
  <si>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</si>
  <si>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</si>
  <si>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</si>
  <si>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</si>
  <si>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</si>
  <si>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</si>
  <si>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</si>
  <si>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</si>
  <si>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</si>
  <si>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</si>
  <si>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</si>
  <si>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</si>
  <si>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</si>
  <si>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</si>
  <si>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</si>
  <si>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</si>
  <si>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</si>
  <si>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</si>
  <si>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</si>
  <si>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</si>
  <si>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</si>
  <si>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</si>
  <si>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</si>
  <si>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</si>
  <si>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</si>
  <si>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</si>
  <si>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</si>
  <si>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</si>
  <si>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</si>
  <si>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</si>
  <si>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</si>
  <si>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</si>
  <si>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</si>
  <si>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</si>
  <si>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</si>
  <si>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</si>
  <si>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</si>
  <si>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</si>
  <si>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</si>
  <si>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</si>
  <si>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</si>
  <si>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</si>
  <si>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</si>
  <si>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</si>
  <si>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</si>
  <si>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</si>
  <si>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</si>
  <si>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</si>
  <si>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</si>
  <si>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</si>
  <si>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</si>
  <si>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</si>
  <si>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</si>
  <si>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</si>
  <si>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</si>
  <si>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</si>
  <si>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</si>
  <si>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</si>
  <si>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</si>
  <si>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</si>
  <si>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</si>
  <si>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</si>
  <si>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</si>
  <si>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</si>
  <si>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</si>
  <si>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</si>
  <si>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</si>
  <si>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</si>
  <si>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</si>
  <si>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</si>
  <si>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</si>
  <si>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</si>
  <si>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</si>
  <si>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</si>
  <si>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</si>
  <si>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</si>
  <si>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</si>
  <si>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</si>
  <si>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</si>
  <si>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</si>
  <si>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</si>
  <si>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</si>
  <si>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</si>
  <si>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</si>
  <si>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</si>
  <si>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</si>
  <si>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</si>
  <si>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</si>
  <si>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</si>
  <si>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</si>
  <si>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</si>
  <si>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</si>
  <si>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</si>
  <si>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</si>
  <si>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</si>
  <si>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</si>
  <si>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</si>
  <si>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</si>
  <si>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</si>
  <si>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</si>
  <si>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</si>
  <si>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</si>
  <si>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</si>
  <si>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</si>
  <si>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</si>
  <si>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</si>
  <si>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</si>
  <si>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</si>
  <si>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</si>
  <si>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</si>
  <si>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</si>
  <si>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</si>
  <si>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</si>
  <si>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</si>
  <si>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</si>
  <si>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</si>
  <si>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</si>
  <si>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</si>
  <si>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</si>
  <si>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</si>
  <si>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</si>
  <si>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</si>
  <si>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</si>
  <si>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</si>
  <si>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</si>
  <si>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</si>
  <si>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</si>
  <si>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</si>
  <si>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</si>
  <si>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</si>
  <si>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</si>
  <si>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</si>
  <si>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</si>
  <si>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</si>
  <si>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</si>
  <si>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</si>
  <si>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</si>
  <si>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</si>
  <si>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</si>
  <si>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</si>
  <si>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</si>
  <si>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</si>
  <si>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</si>
  <si>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</si>
  <si>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</si>
  <si>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</si>
  <si>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</si>
  <si>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</si>
  <si>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</si>
  <si>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</si>
  <si>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</si>
  <si>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</si>
  <si>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</si>
  <si>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</si>
  <si>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</si>
  <si>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</si>
  <si>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</si>
  <si>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</si>
  <si>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</si>
  <si>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</si>
  <si>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</si>
  <si>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</si>
  <si>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</si>
  <si>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</si>
  <si>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</si>
  <si>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</si>
  <si>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</si>
  <si>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</si>
  <si>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</si>
  <si>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</si>
  <si>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</si>
  <si>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</si>
  <si>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</si>
  <si>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</si>
  <si>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</si>
  <si>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</si>
  <si>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</si>
  <si>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</si>
  <si>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</si>
  <si>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</si>
  <si>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</si>
  <si>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</si>
  <si>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</si>
  <si>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</si>
  <si>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</si>
  <si>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</si>
  <si>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</si>
  <si>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</si>
  <si>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</si>
  <si>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</si>
  <si>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</si>
  <si>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</si>
  <si>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</si>
  <si>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</si>
  <si>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</si>
  <si>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</si>
  <si>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</si>
  <si>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</si>
  <si>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</si>
  <si>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</si>
  <si>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</si>
  <si>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</si>
  <si>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</si>
  <si>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</si>
  <si>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</si>
  <si>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</si>
  <si>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</si>
  <si>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</si>
  <si>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</si>
  <si>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</si>
  <si>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</si>
  <si>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</si>
  <si>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</si>
  <si>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</si>
  <si>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</si>
  <si>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</si>
  <si>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</si>
  <si>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</si>
  <si>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</si>
  <si>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</si>
  <si>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</si>
  <si>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</si>
  <si>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</si>
  <si>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</si>
  <si>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</si>
  <si>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</si>
  <si>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</si>
  <si>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</si>
  <si>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</si>
  <si>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</si>
  <si>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</si>
  <si>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</si>
  <si>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</si>
  <si>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</si>
  <si>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</si>
  <si>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</si>
  <si>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</si>
  <si>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</si>
  <si>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</si>
  <si>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</si>
  <si>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</si>
  <si>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</si>
  <si>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</si>
  <si>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</si>
  <si>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</si>
  <si>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</si>
  <si>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</si>
  <si>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</si>
  <si>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</si>
  <si>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</si>
  <si>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</si>
  <si>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</si>
  <si>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</si>
  <si>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</si>
  <si>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</si>
  <si>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</si>
  <si>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</si>
  <si>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</si>
  <si>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</si>
  <si>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</si>
  <si>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</si>
  <si>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</si>
  <si>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</si>
  <si>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</si>
  <si>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</si>
  <si>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</si>
  <si>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</si>
  <si>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</si>
  <si>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</si>
  <si>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</si>
  <si>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</si>
  <si>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</si>
  <si>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</si>
  <si>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</si>
  <si>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</si>
  <si>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</si>
  <si>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</si>
  <si>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</si>
  <si>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</si>
  <si>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</si>
  <si>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</si>
  <si>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</si>
  <si>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</si>
  <si>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</si>
  <si>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</si>
  <si>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</si>
  <si>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</si>
  <si>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</si>
  <si>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</si>
  <si>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</si>
  <si>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</si>
  <si>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</si>
  <si>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</si>
  <si>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</si>
  <si>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</si>
  <si>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</si>
  <si>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</si>
  <si>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</si>
  <si>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</si>
  <si>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</si>
  <si>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</si>
  <si>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</si>
  <si>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</si>
  <si>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</si>
  <si>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</si>
  <si>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</si>
  <si>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</si>
  <si>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</si>
  <si>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</si>
  <si>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</si>
  <si>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</si>
  <si>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</si>
  <si>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</si>
  <si>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</si>
  <si>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</si>
  <si>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</si>
  <si>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</si>
  <si>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</si>
  <si>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</si>
  <si>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</si>
  <si>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</si>
  <si>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</si>
  <si>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</si>
  <si>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</si>
  <si>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</si>
  <si>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</si>
  <si>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</si>
  <si>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</si>
  <si>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</si>
  <si>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</si>
  <si>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</si>
  <si>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</si>
  <si>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</si>
  <si>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</si>
  <si>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</si>
  <si>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</si>
  <si>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</si>
  <si>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</si>
  <si>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</si>
  <si>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</si>
  <si>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</si>
  <si>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</si>
  <si>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</si>
  <si>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</si>
  <si>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</si>
  <si>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</si>
  <si>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</si>
  <si>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</si>
  <si>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</si>
  <si>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</si>
  <si>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</si>
  <si>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</si>
  <si>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</si>
  <si>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</si>
  <si>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</si>
  <si>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</si>
  <si>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</si>
  <si>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</si>
  <si>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</si>
  <si>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</si>
  <si>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</si>
  <si>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</si>
  <si>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</si>
  <si>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</si>
  <si>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</si>
  <si>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</si>
  <si>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</si>
  <si>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</si>
  <si>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</si>
  <si>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</si>
  <si>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</si>
  <si>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</si>
  <si>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</si>
  <si>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</si>
  <si>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</si>
  <si>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</si>
  <si>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</si>
  <si>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</si>
  <si>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</si>
  <si>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</si>
  <si>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</si>
  <si>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</si>
  <si>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</si>
  <si>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</si>
  <si>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</si>
  <si>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</si>
  <si>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</si>
  <si>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</si>
  <si>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</si>
  <si>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</si>
  <si>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</si>
  <si>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</si>
  <si>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</si>
  <si>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</si>
  <si>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</si>
  <si>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</si>
  <si>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</si>
  <si>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</si>
  <si>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</si>
  <si>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</si>
  <si>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</si>
  <si>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</si>
  <si>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</si>
  <si>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</si>
  <si>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</si>
  <si>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</si>
  <si>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</si>
  <si>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</si>
  <si>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</si>
  <si>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</si>
  <si>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</si>
  <si>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</si>
  <si>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</si>
  <si>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</si>
  <si>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</si>
  <si>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</si>
  <si>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</si>
  <si>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</si>
  <si>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</si>
  <si>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</si>
  <si>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</si>
  <si>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</si>
  <si>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</si>
  <si>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</si>
  <si>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</si>
  <si>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</si>
  <si>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</si>
  <si>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</si>
  <si>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</si>
  <si>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</si>
  <si>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</si>
  <si>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</si>
  <si>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</si>
  <si>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</si>
  <si>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</si>
  <si>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</si>
  <si>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</si>
  <si>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</si>
  <si>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</si>
  <si>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</si>
  <si>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</si>
  <si>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</si>
  <si>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</si>
  <si>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</si>
  <si>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</si>
  <si>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</si>
  <si>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</si>
  <si>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</si>
  <si>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</si>
  <si>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</si>
  <si>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</si>
  <si>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</si>
  <si>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</si>
  <si>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</si>
  <si>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</si>
  <si>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</si>
  <si>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</si>
  <si>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</si>
  <si>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</si>
  <si>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</si>
  <si>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</si>
  <si>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</si>
  <si>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</si>
  <si>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</si>
  <si>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</si>
  <si>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</si>
  <si>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</si>
  <si>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</si>
  <si>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</si>
  <si>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</si>
  <si>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</si>
  <si>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</si>
  <si>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</si>
  <si>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</si>
  <si>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</si>
  <si>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</si>
  <si>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</si>
  <si>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</si>
  <si>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</si>
  <si>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</si>
  <si>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</si>
  <si>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</si>
  <si>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</si>
  <si>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</si>
  <si>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</si>
  <si>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</si>
  <si>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</si>
  <si>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</si>
  <si>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</si>
  <si>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</si>
  <si>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</si>
  <si>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</si>
  <si>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</si>
  <si>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</si>
  <si>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</si>
  <si>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</si>
  <si>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</si>
  <si>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</si>
  <si>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</si>
  <si>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</si>
  <si>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</si>
  <si>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</si>
  <si>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</si>
  <si>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</si>
  <si>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</si>
  <si>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</si>
  <si>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</si>
  <si>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</si>
  <si>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</si>
  <si>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</si>
  <si>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</si>
  <si>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</si>
  <si>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</si>
  <si>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</si>
  <si>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</si>
  <si>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</si>
  <si>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</si>
  <si>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</si>
  <si>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</si>
  <si>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</si>
  <si>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</si>
  <si>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</si>
  <si>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</si>
  <si>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</si>
  <si>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</si>
  <si>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</si>
  <si>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</si>
  <si>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</si>
  <si>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</si>
  <si>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</si>
  <si>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</si>
  <si>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</si>
  <si>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</si>
  <si>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</si>
  <si>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</si>
  <si>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</si>
  <si>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</si>
  <si>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</si>
  <si>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</si>
  <si>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</si>
  <si>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</si>
  <si>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</si>
  <si>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</si>
  <si>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</si>
  <si>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</si>
  <si>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</si>
  <si>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</si>
  <si>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</si>
  <si>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</si>
  <si>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</si>
  <si>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</si>
  <si>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</si>
  <si>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</si>
  <si>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</si>
  <si>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</si>
  <si>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</si>
  <si>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</si>
  <si>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</si>
  <si>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</si>
  <si>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</si>
  <si>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</si>
  <si>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</si>
  <si>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</si>
  <si>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</si>
  <si>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</si>
  <si>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</si>
  <si>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</si>
  <si>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</si>
  <si>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</si>
  <si>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</si>
  <si>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</si>
  <si>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</si>
  <si>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</si>
  <si>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</si>
  <si>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</si>
  <si>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</si>
  <si>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</si>
  <si>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</si>
  <si>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</si>
  <si>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</si>
  <si>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</si>
  <si>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</si>
  <si>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</si>
  <si>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</si>
  <si>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</si>
  <si>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</si>
  <si>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</si>
  <si>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</si>
  <si>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</si>
  <si>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</si>
  <si>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</si>
  <si>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</si>
  <si>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</si>
  <si>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</si>
  <si>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</si>
  <si>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</si>
  <si>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</si>
  <si>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</si>
  <si>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</si>
  <si>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</si>
  <si>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</si>
  <si>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</si>
  <si>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</si>
  <si>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</si>
  <si>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</si>
  <si>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</si>
  <si>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</si>
  <si>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</si>
  <si>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</si>
  <si>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</si>
  <si>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</si>
  <si>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</si>
  <si>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</si>
  <si>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</si>
  <si>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</si>
  <si>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</si>
  <si>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</si>
  <si>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</si>
  <si>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</si>
  <si>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</si>
  <si>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</si>
  <si>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</si>
  <si>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</si>
  <si>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</si>
  <si>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</si>
  <si>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</si>
  <si>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</si>
  <si>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</si>
  <si>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</si>
  <si>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</si>
  <si>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</si>
  <si>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</si>
  <si>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</si>
  <si>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</si>
  <si>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</si>
  <si>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</si>
  <si>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</si>
  <si>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</si>
  <si>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</si>
  <si>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</si>
  <si>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</si>
  <si>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</si>
  <si>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</si>
  <si>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</si>
  <si>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</si>
  <si>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</si>
  <si>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</si>
  <si>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</si>
  <si>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</si>
  <si>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</si>
  <si>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</si>
  <si>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</si>
  <si>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</si>
  <si>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</si>
  <si>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</si>
  <si>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</si>
  <si>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</si>
  <si>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</si>
  <si>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</si>
  <si>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</si>
  <si>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</si>
  <si>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</si>
  <si>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</si>
  <si>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</si>
  <si>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</si>
  <si>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</si>
  <si>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</si>
  <si>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</si>
  <si>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</si>
  <si>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</si>
  <si>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</si>
  <si>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</si>
  <si>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</si>
  <si>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</si>
  <si>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</si>
  <si>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</si>
  <si>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</si>
  <si>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</si>
  <si>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</si>
  <si>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</si>
  <si>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</si>
  <si>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</si>
  <si>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</si>
  <si>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</si>
  <si>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</si>
  <si>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</si>
  <si>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</si>
  <si>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</si>
  <si>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</si>
  <si>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</si>
  <si>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</si>
  <si>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</si>
  <si>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</si>
  <si>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</si>
  <si>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</si>
  <si>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</si>
  <si>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</si>
  <si>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</si>
  <si>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</si>
  <si>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</si>
  <si>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</si>
  <si>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</si>
  <si>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</si>
  <si>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</si>
  <si>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</si>
  <si>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</si>
  <si>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</si>
  <si>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</si>
  <si>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</si>
  <si>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</si>
  <si>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</si>
  <si>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</si>
  <si>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</si>
  <si>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</si>
  <si>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</si>
  <si>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</si>
  <si>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</si>
  <si>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</si>
  <si>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</si>
  <si>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</si>
  <si>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</si>
  <si>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</si>
  <si>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</si>
  <si>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</si>
  <si>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</si>
  <si>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</si>
  <si>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</si>
  <si>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</si>
  <si>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</si>
  <si>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</si>
  <si>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</si>
  <si>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</si>
  <si>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</si>
  <si>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</si>
  <si>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</si>
  <si>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</si>
  <si>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</si>
  <si>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</si>
  <si>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</si>
  <si>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</si>
  <si>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</si>
  <si>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</si>
  <si>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</si>
  <si>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</si>
  <si>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</si>
  <si>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</si>
  <si>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</si>
  <si>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</si>
  <si>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</si>
  <si>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</si>
  <si>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</si>
  <si>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</si>
  <si>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</si>
  <si>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</si>
  <si>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</si>
  <si>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</si>
  <si>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</si>
  <si>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</si>
  <si>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</si>
  <si>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</si>
  <si>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</si>
  <si>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</si>
  <si>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</si>
  <si>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</si>
  <si>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</si>
  <si>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</si>
  <si>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</si>
  <si>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</si>
  <si>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</si>
  <si>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</si>
  <si>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</si>
  <si>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</si>
  <si>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</si>
  <si>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</si>
  <si>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</si>
  <si>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</si>
  <si>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</si>
  <si>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</si>
  <si>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</si>
  <si>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</si>
  <si>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</si>
  <si>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</si>
  <si>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</si>
  <si>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</si>
  <si>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</si>
  <si>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</si>
  <si>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</si>
  <si>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</si>
  <si>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</si>
  <si>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</si>
  <si>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</si>
  <si>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</si>
  <si>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</si>
  <si>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</si>
  <si>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</si>
  <si>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</si>
  <si>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</si>
  <si>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</si>
  <si>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</si>
  <si>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</si>
  <si>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</si>
  <si>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</si>
  <si>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</si>
  <si>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</si>
  <si>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</si>
  <si>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</si>
  <si>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</si>
  <si>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</si>
  <si>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</si>
  <si>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</si>
  <si>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</si>
  <si>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</si>
  <si>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</si>
  <si>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</si>
  <si>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</si>
  <si>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</si>
  <si>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</si>
  <si>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</si>
  <si>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</si>
  <si>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</si>
  <si>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</si>
  <si>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</si>
  <si>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</si>
  <si>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</si>
  <si>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</si>
  <si>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</si>
  <si>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</si>
  <si>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</si>
  <si>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</si>
  <si>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</si>
  <si>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</si>
  <si>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</si>
  <si>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</si>
  <si>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</si>
  <si>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</si>
  <si>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</si>
  <si>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</si>
  <si>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</si>
  <si>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</si>
  <si>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</si>
  <si>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</si>
  <si>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</si>
  <si>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</si>
  <si>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</si>
  <si>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</si>
  <si>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</si>
  <si>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</si>
  <si>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</si>
  <si>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</si>
  <si>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</si>
  <si>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</si>
  <si>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</si>
  <si>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</si>
  <si>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</si>
  <si>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</si>
  <si>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</si>
  <si>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</si>
  <si>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</si>
  <si>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</si>
  <si>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</si>
  <si>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</si>
  <si>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</si>
  <si>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</si>
  <si>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</si>
  <si>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</si>
  <si>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</si>
  <si>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</si>
  <si>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</si>
  <si>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</si>
  <si>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</si>
  <si>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</si>
  <si>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</si>
  <si>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</si>
  <si>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</si>
  <si>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</si>
  <si>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</si>
  <si>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</si>
  <si>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</si>
  <si>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</si>
  <si>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</si>
  <si>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</si>
  <si>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</si>
  <si>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</si>
  <si>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</si>
  <si>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</si>
  <si>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</si>
  <si>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</si>
  <si>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</si>
  <si>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</si>
  <si>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</si>
  <si>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</si>
  <si>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</si>
  <si>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</si>
  <si>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</si>
  <si>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</si>
  <si>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</si>
  <si>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</si>
  <si>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</si>
  <si>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</si>
  <si>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</si>
  <si>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</si>
  <si>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</si>
  <si>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</si>
  <si>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</si>
  <si>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</si>
  <si>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</si>
  <si>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</si>
  <si>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</si>
  <si>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</si>
  <si>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</si>
  <si>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</si>
  <si>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</si>
  <si>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</si>
  <si>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</si>
  <si>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</si>
  <si>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</si>
  <si>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</si>
  <si>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</si>
  <si>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</si>
  <si>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</si>
  <si>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</si>
  <si>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</si>
  <si>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</si>
  <si>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</si>
  <si>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</si>
  <si>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</si>
  <si>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</si>
  <si>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</si>
  <si>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</si>
  <si>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</si>
  <si>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</si>
  <si>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</si>
  <si>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</si>
  <si>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</si>
  <si>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</si>
  <si>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</si>
  <si>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</si>
  <si>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</si>
  <si>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</si>
  <si>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</si>
  <si>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</si>
  <si>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</si>
  <si>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</si>
  <si>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</si>
  <si>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</si>
  <si>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</si>
  <si>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</si>
  <si>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</si>
  <si>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</si>
  <si>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</si>
  <si>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</si>
  <si>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</si>
  <si>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</si>
  <si>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</si>
  <si>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</si>
  <si>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</si>
  <si>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</si>
  <si>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</si>
  <si>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</si>
  <si>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</si>
  <si>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</si>
  <si>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</si>
  <si>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</si>
  <si>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</si>
  <si>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</si>
  <si>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</si>
  <si>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</si>
  <si>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</si>
  <si>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</si>
  <si>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</si>
  <si>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</si>
  <si>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</si>
  <si>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</si>
  <si>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</si>
  <si>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</si>
  <si>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</si>
  <si>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</si>
  <si>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</si>
  <si>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</si>
  <si>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</si>
  <si>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</si>
  <si>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</si>
  <si>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</si>
  <si>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</si>
  <si>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</si>
  <si>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</si>
  <si>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</si>
  <si>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</si>
  <si>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</si>
  <si>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</si>
  <si>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</si>
  <si>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</si>
  <si>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</si>
  <si>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</si>
  <si>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</si>
  <si>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</si>
  <si>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</si>
  <si>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</si>
  <si>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</si>
  <si>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</si>
  <si>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</si>
  <si>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</si>
  <si>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</si>
  <si>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</si>
  <si>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</si>
  <si>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</si>
  <si>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</si>
  <si>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</si>
  <si>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</si>
  <si>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</si>
  <si>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</si>
  <si>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</si>
  <si>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</si>
  <si>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</si>
  <si>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</si>
  <si>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</si>
  <si>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</si>
  <si>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</si>
  <si>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</si>
  <si>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</si>
  <si>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</si>
  <si>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</si>
  <si>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</si>
  <si>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</si>
  <si>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</si>
  <si>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</si>
  <si>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</si>
  <si>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</si>
  <si>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</si>
  <si>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</si>
  <si>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</si>
  <si>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</si>
  <si>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</si>
  <si>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</si>
  <si>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</si>
  <si>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</si>
  <si>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</si>
  <si>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</si>
  <si>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</si>
  <si>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</si>
  <si>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</si>
  <si>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</si>
  <si>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</si>
  <si>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</si>
  <si>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</si>
  <si>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</si>
  <si>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</si>
  <si>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</si>
  <si>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</si>
  <si>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</si>
  <si>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</si>
  <si>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</si>
  <si>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</si>
  <si>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</si>
  <si>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</si>
  <si>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</si>
  <si>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</si>
  <si>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</si>
  <si>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</si>
  <si>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</si>
  <si>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</si>
  <si>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</si>
  <si>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</si>
  <si>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</si>
  <si>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</si>
  <si>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</si>
  <si>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</si>
  <si>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</si>
  <si>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</si>
  <si>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</si>
  <si>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</si>
  <si>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</si>
  <si>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</si>
  <si>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</si>
  <si>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</si>
  <si>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</si>
  <si>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</si>
  <si>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</si>
  <si>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</si>
  <si>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</si>
  <si>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</si>
  <si>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</si>
  <si>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</si>
  <si>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</si>
  <si>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</si>
  <si>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</si>
  <si>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</si>
  <si>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</si>
  <si>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</si>
  <si>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</si>
  <si>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</si>
  <si>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</si>
  <si>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</si>
  <si>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</si>
  <si>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</si>
  <si>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</si>
  <si>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</si>
  <si>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</si>
  <si>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</si>
  <si>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</si>
  <si>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</si>
  <si>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</si>
  <si>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</si>
  <si>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</si>
  <si>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</si>
  <si>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</si>
  <si>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</si>
  <si>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</si>
  <si>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</si>
  <si>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</si>
  <si>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</si>
  <si>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</si>
  <si>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</si>
  <si>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</si>
  <si>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</si>
  <si>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</si>
  <si>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</si>
  <si>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</si>
  <si>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</si>
  <si>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</si>
  <si>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</si>
  <si>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</si>
  <si>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</si>
  <si>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</si>
  <si>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</si>
  <si>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</si>
  <si>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</si>
  <si>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</si>
  <si>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</si>
  <si>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</si>
  <si>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</si>
  <si>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</si>
  <si>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</si>
  <si>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</si>
  <si>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</si>
  <si>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</si>
  <si>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</si>
  <si>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</si>
  <si>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</si>
  <si>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</si>
  <si>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</si>
  <si>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</si>
  <si>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</si>
  <si>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</si>
  <si>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</si>
  <si>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</si>
  <si>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</si>
  <si>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</si>
  <si>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</si>
  <si>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</si>
  <si>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</si>
  <si>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</si>
  <si>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</si>
  <si>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</si>
  <si>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</si>
  <si>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</si>
  <si>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</si>
  <si>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</si>
  <si>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</si>
  <si>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</si>
  <si>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</si>
  <si>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</si>
  <si>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</si>
  <si>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</si>
  <si>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</si>
  <si>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</si>
  <si>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</si>
  <si>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</si>
  <si>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</si>
  <si>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</si>
  <si>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</si>
  <si>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</si>
  <si>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</si>
  <si>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</si>
  <si>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</si>
  <si>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</si>
  <si>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</si>
  <si>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</si>
  <si>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</si>
  <si>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</si>
  <si>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</si>
  <si>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</si>
  <si>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</si>
  <si>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</si>
  <si>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</si>
  <si>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</si>
  <si>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</si>
  <si>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</si>
  <si>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</si>
  <si>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</si>
  <si>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</si>
  <si>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</si>
  <si>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</si>
  <si>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</si>
  <si>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</si>
  <si>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</si>
  <si>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</si>
  <si>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</si>
  <si>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</si>
  <si>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</si>
  <si>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</si>
  <si>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</si>
  <si>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</si>
  <si>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</si>
  <si>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</si>
  <si>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</si>
  <si>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</si>
  <si>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</si>
  <si>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</si>
  <si>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</si>
  <si>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</si>
  <si>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</si>
  <si>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</si>
  <si>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</si>
  <si>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</si>
  <si>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</si>
  <si>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</si>
  <si>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</si>
  <si>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</si>
  <si>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</si>
  <si>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</si>
  <si>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</si>
  <si>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</si>
  <si>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</si>
  <si>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</si>
  <si>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</si>
  <si>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</si>
  <si>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</si>
  <si>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</si>
  <si>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</si>
  <si>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</si>
  <si>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</si>
  <si>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</si>
  <si>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</si>
  <si>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</si>
  <si>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</si>
  <si>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</si>
  <si>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</si>
  <si>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</si>
  <si>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</si>
  <si>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</si>
  <si>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</si>
  <si>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</si>
  <si>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</si>
  <si>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</si>
  <si>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</si>
  <si>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</si>
  <si>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</si>
  <si>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</si>
  <si>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</si>
  <si>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</si>
  <si>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</si>
  <si>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</si>
  <si>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</si>
  <si>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</si>
  <si>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</si>
  <si>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</si>
  <si>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</si>
  <si>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</si>
  <si>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</si>
  <si>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</si>
  <si>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</si>
  <si>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</si>
  <si>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</si>
  <si>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</si>
  <si>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</si>
  <si>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</si>
  <si>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</si>
  <si>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</si>
  <si>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</si>
  <si>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</si>
  <si>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</si>
  <si>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</si>
  <si>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</si>
  <si>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</si>
  <si>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</si>
  <si>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</si>
  <si>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</si>
  <si>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</si>
  <si>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</si>
  <si>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</si>
  <si>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</si>
  <si>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</si>
  <si>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</si>
  <si>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</si>
  <si>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</si>
  <si>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</si>
  <si>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</si>
  <si>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</si>
  <si>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</si>
  <si>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</si>
  <si>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</si>
  <si>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</si>
  <si>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</si>
  <si>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</si>
  <si>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</si>
  <si>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</si>
  <si>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</si>
  <si>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</si>
  <si>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</si>
  <si>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</si>
  <si>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</si>
  <si>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</si>
  <si>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</si>
  <si>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</si>
  <si>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</si>
  <si>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</si>
  <si>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</si>
  <si>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</si>
  <si>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</si>
  <si>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</si>
  <si>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</si>
  <si>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</si>
  <si>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</si>
  <si>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</si>
  <si>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</si>
  <si>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</si>
  <si>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</si>
  <si>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</si>
  <si>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</si>
  <si>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</si>
  <si>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</si>
  <si>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</si>
  <si>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</si>
  <si>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</si>
  <si>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</si>
  <si>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</si>
  <si>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</si>
  <si>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</si>
  <si>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</si>
  <si>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</si>
  <si>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</si>
  <si>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</si>
  <si>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</si>
  <si>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</si>
  <si>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</si>
  <si>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</si>
  <si>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</si>
  <si>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</si>
  <si>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</si>
  <si>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</si>
  <si>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</si>
  <si>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</si>
  <si>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</si>
  <si>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</si>
  <si>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</si>
  <si>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</si>
  <si>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</si>
  <si>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</si>
  <si>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</si>
  <si>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</si>
  <si>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</si>
  <si>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</si>
  <si>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</si>
  <si>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</si>
  <si>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</si>
  <si>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</si>
  <si>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</si>
  <si>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</si>
  <si>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</si>
  <si>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</si>
  <si>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</si>
  <si>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</si>
  <si>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</si>
  <si>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</si>
  <si>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</si>
  <si>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</si>
  <si>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</si>
  <si>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</si>
  <si>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</si>
  <si>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</si>
  <si>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</si>
  <si>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</si>
  <si>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</si>
  <si>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</si>
  <si>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</si>
  <si>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</si>
  <si>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</si>
  <si>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</si>
  <si>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</si>
  <si>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</si>
  <si>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</si>
  <si>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</si>
  <si>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</si>
  <si>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</si>
  <si>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</si>
  <si>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</si>
  <si>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</si>
  <si>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</si>
  <si>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</si>
  <si>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</si>
  <si>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</si>
  <si>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</si>
  <si>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</si>
  <si>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</si>
  <si>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</si>
  <si>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</si>
  <si>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</si>
  <si>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</si>
  <si>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</si>
  <si>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</si>
  <si>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</si>
  <si>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</si>
  <si>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</si>
  <si>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</si>
  <si>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</si>
  <si>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</si>
  <si>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</si>
  <si>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</si>
  <si>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</si>
  <si>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</si>
  <si>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</si>
  <si>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</si>
  <si>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</si>
  <si>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</si>
  <si>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</si>
  <si>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</si>
  <si>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</si>
  <si>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</si>
  <si>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</si>
  <si>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</si>
  <si>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</si>
  <si>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</si>
  <si>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</si>
  <si>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</si>
  <si>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</si>
  <si>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</si>
  <si>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</si>
  <si>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</si>
  <si>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</si>
  <si>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</si>
  <si>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</si>
  <si>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</si>
  <si>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</si>
  <si>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</si>
  <si>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</si>
  <si>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</si>
  <si>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</si>
  <si>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</si>
  <si>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</si>
  <si>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</si>
  <si>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</si>
  <si>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</si>
  <si>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</si>
  <si>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</si>
  <si>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</si>
  <si>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</si>
  <si>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</si>
  <si>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</si>
  <si>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</si>
  <si>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</si>
  <si>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</si>
  <si>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</si>
  <si>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</si>
  <si>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</si>
  <si>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</si>
  <si>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</si>
  <si>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</si>
  <si>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</si>
  <si>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</si>
  <si>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</si>
  <si>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</si>
  <si>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</si>
  <si>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</si>
  <si>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</si>
  <si>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</si>
  <si>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</si>
  <si>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</si>
  <si>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</si>
  <si>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</si>
  <si>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</si>
  <si>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</si>
  <si>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</si>
  <si>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</si>
  <si>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</si>
  <si>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</si>
  <si>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</si>
  <si>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</si>
  <si>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</si>
  <si>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</si>
  <si>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</si>
  <si>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</si>
  <si>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</si>
  <si>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</si>
  <si>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</si>
  <si>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</si>
  <si>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</si>
  <si>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</si>
  <si>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</si>
  <si>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</si>
  <si>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</si>
  <si>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</si>
  <si>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</si>
  <si>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</si>
  <si>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</si>
  <si>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</si>
  <si>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</si>
  <si>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</si>
  <si>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</si>
  <si>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</si>
  <si>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</si>
  <si>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</si>
  <si>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</si>
  <si>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</si>
  <si>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</si>
  <si>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</si>
  <si>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</si>
  <si>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</si>
  <si>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</si>
  <si>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</si>
  <si>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</si>
  <si>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</si>
  <si>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</si>
  <si>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</si>
  <si>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</si>
  <si>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</si>
  <si>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</si>
  <si>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</si>
  <si>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</si>
  <si>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</si>
  <si>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</si>
  <si>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</si>
  <si>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</si>
  <si>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</si>
  <si>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</si>
  <si>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</si>
  <si>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</si>
  <si>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</si>
  <si>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</si>
  <si>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</si>
  <si>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</si>
  <si>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</si>
  <si>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</si>
  <si>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</si>
  <si>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</si>
  <si>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</si>
  <si>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</si>
  <si>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</si>
  <si>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</si>
  <si>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</si>
  <si>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</si>
  <si>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</si>
  <si>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</si>
  <si>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</si>
  <si>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</si>
  <si>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</si>
  <si>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</si>
  <si>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</si>
  <si>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</si>
  <si>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</si>
  <si>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</si>
  <si>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</si>
  <si>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</si>
  <si>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</si>
  <si>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</si>
  <si>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</si>
  <si>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</si>
  <si>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</si>
  <si>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</si>
  <si>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</si>
  <si>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</si>
  <si>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</si>
  <si>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</si>
  <si>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</si>
  <si>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</si>
  <si>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</si>
  <si>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</si>
  <si>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</si>
  <si>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</si>
  <si>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</si>
  <si>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</si>
  <si>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</si>
  <si>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</si>
  <si>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</si>
  <si>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</si>
  <si>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</si>
  <si>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</si>
  <si>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</si>
  <si>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</si>
  <si>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</si>
  <si>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</si>
  <si>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</si>
  <si>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</si>
  <si>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</si>
  <si>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</si>
  <si>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</si>
  <si>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</si>
  <si>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</si>
  <si>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</si>
  <si>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</si>
  <si>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</si>
  <si>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</si>
  <si>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</si>
  <si>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</si>
  <si>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</si>
  <si>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</si>
  <si>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</si>
  <si>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</si>
  <si>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</si>
  <si>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</si>
  <si>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</si>
  <si>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</si>
  <si>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</si>
  <si>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</si>
  <si>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</si>
  <si>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</si>
  <si>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</si>
  <si>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</si>
  <si>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</si>
  <si>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</si>
  <si>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</si>
  <si>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</si>
  <si>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</si>
  <si>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</si>
  <si>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</si>
  <si>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</si>
  <si>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</si>
  <si>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</si>
  <si>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</si>
  <si>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</si>
  <si>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</si>
  <si>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</si>
  <si>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</si>
  <si>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</si>
  <si>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</si>
  <si>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</si>
  <si>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</si>
  <si>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</si>
  <si>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</si>
  <si>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</si>
  <si>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</si>
  <si>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</si>
  <si>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</si>
  <si>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</si>
  <si>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</si>
  <si>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</si>
  <si>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</si>
  <si>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</si>
  <si>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</si>
  <si>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</si>
  <si>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</si>
  <si>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</si>
  <si>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</si>
  <si>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</si>
  <si>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</si>
  <si>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</si>
  <si>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</si>
  <si>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</si>
  <si>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</si>
  <si>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</si>
  <si>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</si>
  <si>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</si>
  <si>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</si>
  <si>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</si>
  <si>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</si>
  <si>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</si>
  <si>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</si>
  <si>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</si>
  <si>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</si>
  <si>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</si>
  <si>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</si>
  <si>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</si>
  <si>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</si>
  <si>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</si>
  <si>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</si>
  <si>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</si>
  <si>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</si>
  <si>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</si>
  <si>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</si>
  <si>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</si>
  <si>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</si>
  <si>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</si>
  <si>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</si>
  <si>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</si>
  <si>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</si>
  <si>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</si>
  <si>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</si>
  <si>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</si>
  <si>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</si>
  <si>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</si>
  <si>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</si>
  <si>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</si>
  <si>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</si>
  <si>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</si>
  <si>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</si>
  <si>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</si>
  <si>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</si>
  <si>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</si>
  <si>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</si>
  <si>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</si>
  <si>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</si>
  <si>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</si>
  <si>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</si>
  <si>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</si>
  <si>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</si>
  <si>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</si>
  <si>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</si>
  <si>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</si>
  <si>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</si>
  <si>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</si>
  <si>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</si>
  <si>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</si>
  <si>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</si>
  <si>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</si>
  <si>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</si>
  <si>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</si>
  <si>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</si>
  <si>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</si>
  <si>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</si>
  <si>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</si>
  <si>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</si>
  <si>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</si>
  <si>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</si>
  <si>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</si>
  <si>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</si>
  <si>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</si>
  <si>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</si>
  <si>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</si>
  <si>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</si>
  <si>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</si>
  <si>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</si>
  <si>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</si>
  <si>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</si>
  <si>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</si>
  <si>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</si>
  <si>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</si>
  <si>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</si>
  <si>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</si>
  <si>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</si>
  <si>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</si>
  <si>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</si>
  <si>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</si>
  <si>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</si>
  <si>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</si>
  <si>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</si>
  <si>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</si>
  <si>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</si>
  <si>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</si>
  <si>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</si>
  <si>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</si>
  <si>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</si>
  <si>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</si>
  <si>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</si>
  <si>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</si>
  <si>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</si>
  <si>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</si>
  <si>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</si>
  <si>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</si>
  <si>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</si>
  <si>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</si>
  <si>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</si>
  <si>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</si>
  <si>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</si>
  <si>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</si>
  <si>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</si>
  <si>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</si>
  <si>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</si>
  <si>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</si>
  <si>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</si>
  <si>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</si>
  <si>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</si>
  <si>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</si>
  <si>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</si>
  <si>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</si>
  <si>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</si>
  <si>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</si>
  <si>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</si>
  <si>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</si>
  <si>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</si>
  <si>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</si>
  <si>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</si>
  <si>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</si>
  <si>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</si>
  <si>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</si>
  <si>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</si>
  <si>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</si>
  <si>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</si>
  <si>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</si>
  <si>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</si>
  <si>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</si>
  <si>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</si>
  <si>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</si>
  <si>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</si>
  <si>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</si>
  <si>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</si>
  <si>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</si>
  <si>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</si>
  <si>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</si>
  <si>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</si>
  <si>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</si>
  <si>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</si>
  <si>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</si>
  <si>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</si>
  <si>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</si>
  <si>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</si>
  <si>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</si>
  <si>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</si>
  <si>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</si>
  <si>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</si>
  <si>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</si>
  <si>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</si>
  <si>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</si>
  <si>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</si>
  <si>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</si>
  <si>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</si>
  <si>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</si>
  <si>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</si>
  <si>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</si>
  <si>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</si>
  <si>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</si>
  <si>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</si>
  <si>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</si>
  <si>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</si>
  <si>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</si>
  <si>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</si>
  <si>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</si>
  <si>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</si>
  <si>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</si>
  <si>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</si>
  <si>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</si>
  <si>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</si>
  <si>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</si>
  <si>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</si>
  <si>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</si>
  <si>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</si>
  <si>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</si>
  <si>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</si>
  <si>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</si>
  <si>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</si>
  <si>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</si>
  <si>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</si>
  <si>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</si>
  <si>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</si>
  <si>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</si>
  <si>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</si>
  <si>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</si>
  <si>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</si>
  <si>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</si>
  <si>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</si>
  <si>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</si>
  <si>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</si>
  <si>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</si>
  <si>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</si>
  <si>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</si>
  <si>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</si>
  <si>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</si>
  <si>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</si>
  <si>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</si>
  <si>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</si>
  <si>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</si>
  <si>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</si>
  <si>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</si>
  <si>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</si>
  <si>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</si>
  <si>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</si>
  <si>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</si>
  <si>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</si>
  <si>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</si>
  <si>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</si>
  <si>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</si>
  <si>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</si>
  <si>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</si>
  <si>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</si>
  <si>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</si>
  <si>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</si>
  <si>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</si>
  <si>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</si>
  <si>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</si>
  <si>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</si>
  <si>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</si>
  <si>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</si>
  <si>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</si>
  <si>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</si>
  <si>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</si>
  <si>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</si>
  <si>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</si>
  <si>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</si>
  <si>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</si>
  <si>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</si>
  <si>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</si>
  <si>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</si>
  <si>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</si>
  <si>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</si>
  <si>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</si>
  <si>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</si>
  <si>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</si>
  <si>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</si>
  <si>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</si>
  <si>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</si>
  <si>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</si>
  <si>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</si>
  <si>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</si>
  <si>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</si>
  <si>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</si>
  <si>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</si>
  <si>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</si>
  <si>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</si>
  <si>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</si>
  <si>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</si>
  <si>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</si>
  <si>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</si>
  <si>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</si>
  <si>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</si>
  <si>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</si>
  <si>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</si>
  <si>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</si>
  <si>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</si>
  <si>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</si>
  <si>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</si>
  <si>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</si>
  <si>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</si>
  <si>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</si>
  <si>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</si>
  <si>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</si>
  <si>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</si>
  <si>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</si>
  <si>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</si>
  <si>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</si>
  <si>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</si>
  <si>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</si>
  <si>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</si>
  <si>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</si>
  <si>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</si>
  <si>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</si>
  <si>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</si>
  <si>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</si>
  <si>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</si>
  <si>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</si>
  <si>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</si>
  <si>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</si>
  <si>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</si>
  <si>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</si>
  <si>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</si>
  <si>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</si>
  <si>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</si>
  <si>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</si>
  <si>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</si>
  <si>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</si>
  <si>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</si>
  <si>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</si>
  <si>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</si>
  <si>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</si>
  <si>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</si>
  <si>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</si>
  <si>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</si>
  <si>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</si>
  <si>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</si>
  <si>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</si>
  <si>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</si>
  <si>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</si>
  <si>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</si>
  <si>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</si>
  <si>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</si>
  <si>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</si>
  <si>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</si>
  <si>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</si>
  <si>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</si>
  <si>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</si>
  <si>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</si>
  <si>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</si>
  <si>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</si>
  <si>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</si>
  <si>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</si>
  <si>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</si>
  <si>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</si>
  <si>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</si>
  <si>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</si>
  <si>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</si>
  <si>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</si>
  <si>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</si>
  <si>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</si>
  <si>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</si>
  <si>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</si>
  <si>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</si>
  <si>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</si>
  <si>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</si>
  <si>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</si>
  <si>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</si>
  <si>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</si>
  <si>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</si>
  <si>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</si>
  <si>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</si>
  <si>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</si>
  <si>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</si>
  <si>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</si>
  <si>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</si>
  <si>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</si>
  <si>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</si>
  <si>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</si>
  <si>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</si>
  <si>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</si>
  <si>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</si>
  <si>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</si>
  <si>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</si>
  <si>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</si>
  <si>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</si>
  <si>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</si>
  <si>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</si>
  <si>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</si>
  <si>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</si>
  <si>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</si>
  <si>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</si>
  <si>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</si>
  <si>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</si>
  <si>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</si>
  <si>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</si>
  <si>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</si>
  <si>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</si>
  <si>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</si>
  <si>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</si>
  <si>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</si>
  <si>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</si>
  <si>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</si>
  <si>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</si>
  <si>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</si>
  <si>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</si>
  <si>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</si>
  <si>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</si>
  <si>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</si>
  <si>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</si>
  <si>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</si>
  <si>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</si>
  <si>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</si>
  <si>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</si>
  <si>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</si>
  <si>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</si>
  <si>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</si>
  <si>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</si>
  <si>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</si>
  <si>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</si>
  <si>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</si>
  <si>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</si>
  <si>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</si>
  <si>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</si>
  <si>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</si>
  <si>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</si>
  <si>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</si>
  <si>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</si>
  <si>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</si>
  <si>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</si>
  <si>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</si>
  <si>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</si>
  <si>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</si>
  <si>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</si>
  <si>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</si>
  <si>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</si>
  <si>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</si>
  <si>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</si>
  <si>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</si>
  <si>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</si>
  <si>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</si>
  <si>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</si>
  <si>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</si>
  <si>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</si>
  <si>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</si>
  <si>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</si>
  <si>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</si>
  <si>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</si>
  <si>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</si>
  <si>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</si>
  <si>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</si>
  <si>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</si>
  <si>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</si>
  <si>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</si>
  <si>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</si>
  <si>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</si>
  <si>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</si>
  <si>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</si>
  <si>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</si>
  <si>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</si>
  <si>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</si>
  <si>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</si>
  <si>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</si>
  <si>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</si>
  <si>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</si>
  <si>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</si>
  <si>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</si>
  <si>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</si>
  <si>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</si>
  <si>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</si>
  <si>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</si>
  <si>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</si>
  <si>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</si>
  <si>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</si>
  <si>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</si>
  <si>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</si>
  <si>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</si>
  <si>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</si>
  <si>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</si>
  <si>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</si>
  <si>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</si>
  <si>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</si>
  <si>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</si>
  <si>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</si>
  <si>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</si>
  <si>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</si>
  <si>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</si>
  <si>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</si>
  <si>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</si>
  <si>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</si>
  <si>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</si>
  <si>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</si>
  <si>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</si>
  <si>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</si>
  <si>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</si>
  <si>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</si>
  <si>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</si>
  <si>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</si>
  <si>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</si>
  <si>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</si>
  <si>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</si>
  <si>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</si>
  <si>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</si>
  <si>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</si>
  <si>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</si>
  <si>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</si>
  <si>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</si>
  <si>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</si>
  <si>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</si>
  <si>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</si>
  <si>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</si>
  <si>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</si>
  <si>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</si>
  <si>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</si>
  <si>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</si>
  <si>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</si>
  <si>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</si>
  <si>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</si>
  <si>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</si>
  <si>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</si>
  <si>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</si>
  <si>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</si>
  <si>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</si>
  <si>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</si>
  <si>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</si>
  <si>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</si>
  <si>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</si>
  <si>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</si>
  <si>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</si>
  <si>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</si>
  <si>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</si>
  <si>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</si>
  <si>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</si>
  <si>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</si>
  <si>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</si>
  <si>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</si>
  <si>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</si>
  <si>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</si>
  <si>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</si>
  <si>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</si>
  <si>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</si>
  <si>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</si>
  <si>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</si>
  <si>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</si>
  <si>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</si>
  <si>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</si>
  <si>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</si>
  <si>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</si>
  <si>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</si>
  <si>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</si>
  <si>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</si>
  <si>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</si>
  <si>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</si>
  <si>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</si>
  <si>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</si>
  <si>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</si>
  <si>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</si>
  <si>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</si>
  <si>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</si>
  <si>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</si>
  <si>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</si>
  <si>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</si>
  <si>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</si>
  <si>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</si>
  <si>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</si>
  <si>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</si>
  <si>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</si>
  <si>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</si>
  <si>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</si>
  <si>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</si>
  <si>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</si>
  <si>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</si>
  <si>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</si>
  <si>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</si>
  <si>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</si>
  <si>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</si>
  <si>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</si>
  <si>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</si>
  <si>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</si>
  <si>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</si>
  <si>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</si>
  <si>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</si>
  <si>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</si>
  <si>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</si>
  <si>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</si>
  <si>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</si>
  <si>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</si>
  <si>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</si>
  <si>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</si>
  <si>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</si>
  <si>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</si>
  <si>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</si>
  <si>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</si>
  <si>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</si>
  <si>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</si>
  <si>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</si>
  <si>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</si>
  <si>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</si>
  <si>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</si>
  <si>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</si>
  <si>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</si>
  <si>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</si>
  <si>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</si>
  <si>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</si>
  <si>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</si>
  <si>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</si>
  <si>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</si>
  <si>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</si>
  <si>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</si>
  <si>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</si>
  <si>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</si>
  <si>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</si>
  <si>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</si>
  <si>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</si>
  <si>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</si>
  <si>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</si>
  <si>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</si>
  <si>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</si>
  <si>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</si>
  <si>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</si>
  <si>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</si>
  <si>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</si>
  <si>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</si>
  <si>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</si>
  <si>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</si>
  <si>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</si>
  <si>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</si>
  <si>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</si>
  <si>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</si>
  <si>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</si>
  <si>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</si>
  <si>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</si>
  <si>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</si>
  <si>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</si>
  <si>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</si>
  <si>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</si>
  <si>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</si>
  <si>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</si>
  <si>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</si>
  <si>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</si>
  <si>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</si>
  <si>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</si>
  <si>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</si>
  <si>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</si>
  <si>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</si>
  <si>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</si>
  <si>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</si>
  <si>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</si>
  <si>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</si>
  <si>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</si>
  <si>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</si>
  <si>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</si>
  <si>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</si>
  <si>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</si>
  <si>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</si>
  <si>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</si>
  <si>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</si>
  <si>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</si>
  <si>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</si>
  <si>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</si>
  <si>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</si>
  <si>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</si>
  <si>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</si>
  <si>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</si>
  <si>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</si>
  <si>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</si>
  <si>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</si>
  <si>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</si>
  <si>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</si>
  <si>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</si>
  <si>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</si>
  <si>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</si>
  <si>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</si>
  <si>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</si>
  <si>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</si>
  <si>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</si>
  <si>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</si>
  <si>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</si>
  <si>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</si>
  <si>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</si>
  <si>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</si>
  <si>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</si>
  <si>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</si>
  <si>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</si>
  <si>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</si>
  <si>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</si>
  <si>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</si>
  <si>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</si>
  <si>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</si>
  <si>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</si>
  <si>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</si>
  <si>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</si>
  <si>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</si>
  <si>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</si>
  <si>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</si>
  <si>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</si>
  <si>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</si>
  <si>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</si>
  <si>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</si>
  <si>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</si>
  <si>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</si>
  <si>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</si>
  <si>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</si>
  <si>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</si>
  <si>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</si>
  <si>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</si>
  <si>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</si>
  <si>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</si>
  <si>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</si>
  <si>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</si>
  <si>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</si>
  <si>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</si>
  <si>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</si>
  <si>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</si>
  <si>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</si>
  <si>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</si>
  <si>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</si>
  <si>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</si>
  <si>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</si>
  <si>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</si>
  <si>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</si>
  <si>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</si>
  <si>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</si>
  <si>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</si>
  <si>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</si>
  <si>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</si>
  <si>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</si>
  <si>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</si>
  <si>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</si>
  <si>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</si>
  <si>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</si>
  <si>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</si>
  <si>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</si>
  <si>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</si>
  <si>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</si>
  <si>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</si>
  <si>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</si>
  <si>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</si>
  <si>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</si>
  <si>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</si>
  <si>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</si>
  <si>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</si>
  <si>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</si>
  <si>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</si>
  <si>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</si>
  <si>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</si>
  <si>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</si>
  <si>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</si>
  <si>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</si>
  <si>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</si>
  <si>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</si>
  <si>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</si>
  <si>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</si>
  <si>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</si>
  <si>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</si>
  <si>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</si>
  <si>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</si>
  <si>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</si>
  <si>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</si>
  <si>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</si>
  <si>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</si>
  <si>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</si>
  <si>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</si>
  <si>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</si>
  <si>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</si>
  <si>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</si>
  <si>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</si>
  <si>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</si>
  <si>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</si>
  <si>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</si>
  <si>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</si>
  <si>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</si>
  <si>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</si>
  <si>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</si>
  <si>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</si>
  <si>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</si>
  <si>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</si>
  <si>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</si>
  <si>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</si>
  <si>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</si>
  <si>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</si>
  <si>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</si>
  <si>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</si>
  <si>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</si>
  <si>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</si>
  <si>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</si>
  <si>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</si>
  <si>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</si>
  <si>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</si>
  <si>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</si>
  <si>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</si>
  <si>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</si>
  <si>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</si>
  <si>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</si>
  <si>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</si>
  <si>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</si>
  <si>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</si>
  <si>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</si>
  <si>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</si>
  <si>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</si>
  <si>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</si>
  <si>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</si>
  <si>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</si>
  <si>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</si>
  <si>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</si>
  <si>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</si>
  <si>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</si>
  <si>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</si>
  <si>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</si>
  <si>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</si>
  <si>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</si>
  <si>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</si>
  <si>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</si>
  <si>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</si>
  <si>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</si>
  <si>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</si>
  <si>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</si>
  <si>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</si>
  <si>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</si>
  <si>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</si>
  <si>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</si>
  <si>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</si>
  <si>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</si>
  <si>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</si>
  <si>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</si>
  <si>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</si>
  <si>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</si>
  <si>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</si>
  <si>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</si>
  <si>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</si>
  <si>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</si>
  <si>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</si>
  <si>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</si>
  <si>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</si>
  <si>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</si>
  <si>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</si>
  <si>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</si>
  <si>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</si>
  <si>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</si>
  <si>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</si>
  <si>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</si>
  <si>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</si>
  <si>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</si>
  <si>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</si>
  <si>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</si>
  <si>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</si>
  <si>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</si>
  <si>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</si>
  <si>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</si>
  <si>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</si>
  <si>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</si>
  <si>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</si>
  <si>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</si>
  <si>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</si>
  <si>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</si>
  <si>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</si>
  <si>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</si>
  <si>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</si>
  <si>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</si>
  <si>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</si>
  <si>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</si>
  <si>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</si>
  <si>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</si>
  <si>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</si>
  <si>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</si>
  <si>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</si>
  <si>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</si>
  <si>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</si>
  <si>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</si>
  <si>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</si>
  <si>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</si>
  <si>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</si>
  <si>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</si>
  <si>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</si>
  <si>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</si>
  <si>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</si>
  <si>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</si>
  <si>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</si>
  <si>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</si>
  <si>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</si>
  <si>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</si>
  <si>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</si>
  <si>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</si>
  <si>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</si>
  <si>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</si>
  <si>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</si>
  <si>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</si>
  <si>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</si>
  <si>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</si>
  <si>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</si>
  <si>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</si>
  <si>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</si>
  <si>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</si>
  <si>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</si>
  <si>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</si>
  <si>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</si>
  <si>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</si>
  <si>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</si>
  <si>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</si>
  <si>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</si>
  <si>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</si>
  <si>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</si>
  <si>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</si>
  <si>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</si>
  <si>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</si>
  <si>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</si>
  <si>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</si>
  <si>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</si>
  <si>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</si>
  <si>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</si>
  <si>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</si>
  <si>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</si>
  <si>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</si>
  <si>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</si>
  <si>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</si>
  <si>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</si>
  <si>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</si>
  <si>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</si>
  <si>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</si>
  <si>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</si>
  <si>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</si>
  <si>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</si>
  <si>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</si>
  <si>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</si>
  <si>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</si>
  <si>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</si>
  <si>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</si>
  <si>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</si>
  <si>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</si>
  <si>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</si>
  <si>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</si>
  <si>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</si>
  <si>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</si>
  <si>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</si>
  <si>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</si>
  <si>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</si>
  <si>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</si>
  <si>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</si>
  <si>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</si>
  <si>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</si>
  <si>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</si>
  <si>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</si>
  <si>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</si>
  <si>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</si>
  <si>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</si>
  <si>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</si>
  <si>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</si>
  <si>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</si>
  <si>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</si>
  <si>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</si>
  <si>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</si>
  <si>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</si>
  <si>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</si>
  <si>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</si>
  <si>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</si>
  <si>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</si>
  <si>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</si>
  <si>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</si>
  <si>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</si>
  <si>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</si>
  <si>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</si>
  <si>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</si>
  <si>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</si>
  <si>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</si>
  <si>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</si>
  <si>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</si>
  <si>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</si>
  <si>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</si>
  <si>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</si>
  <si>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</si>
  <si>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</si>
  <si>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</si>
  <si>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</si>
  <si>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</si>
  <si>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</si>
  <si>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</si>
  <si>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</si>
  <si>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</si>
  <si>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</si>
  <si>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</si>
  <si>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</si>
  <si>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</si>
  <si>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</si>
  <si>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</si>
  <si>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</si>
  <si>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</si>
  <si>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</si>
  <si>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</si>
  <si>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</si>
  <si>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</si>
  <si>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</si>
  <si>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</si>
  <si>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</si>
  <si>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</si>
  <si>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</si>
  <si>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</si>
  <si>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</si>
  <si>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</si>
  <si>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</si>
  <si>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</si>
  <si>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</si>
  <si>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</si>
  <si>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</si>
  <si>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</si>
  <si>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</si>
  <si>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</si>
  <si>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</si>
  <si>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</si>
  <si>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</si>
  <si>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</si>
  <si>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</si>
  <si>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</si>
  <si>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</si>
  <si>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</si>
  <si>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</si>
  <si>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</si>
  <si>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</si>
  <si>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</si>
  <si>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</si>
  <si>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</si>
  <si>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</si>
  <si>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</si>
  <si>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</si>
  <si>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</si>
  <si>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</si>
  <si>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</si>
  <si>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</si>
  <si>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</si>
  <si>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</si>
  <si>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</si>
  <si>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</si>
  <si>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</si>
  <si>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</si>
  <si>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</si>
  <si>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</si>
  <si>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</si>
  <si>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</si>
  <si>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</si>
  <si>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</si>
  <si>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</si>
  <si>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</si>
  <si>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</si>
  <si>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</si>
  <si>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</si>
  <si>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</si>
  <si>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</si>
  <si>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</si>
  <si>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</si>
  <si>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</si>
  <si>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</si>
  <si>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</si>
  <si>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</si>
  <si>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</si>
  <si>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</si>
  <si>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</si>
  <si>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</si>
  <si>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</si>
  <si>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</si>
  <si>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</si>
  <si>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</si>
  <si>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</si>
  <si>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</si>
  <si>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</si>
  <si>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</si>
  <si>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</si>
  <si>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</si>
  <si>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</si>
  <si>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</si>
  <si>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</si>
  <si>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</si>
  <si>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</si>
  <si>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</si>
  <si>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</si>
  <si>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</si>
  <si>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</si>
  <si>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</si>
  <si>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</si>
  <si>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</si>
  <si>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</si>
  <si>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</si>
  <si>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</si>
  <si>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</si>
  <si>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</si>
  <si>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</si>
  <si>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</si>
  <si>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</si>
  <si>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</si>
  <si>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</si>
  <si>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</si>
  <si>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</si>
  <si>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</si>
  <si>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</si>
  <si>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</si>
  <si>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</si>
  <si>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</si>
  <si>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</si>
  <si>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</si>
  <si>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</si>
  <si>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</si>
  <si>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</si>
  <si>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</si>
  <si>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</si>
  <si>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</si>
  <si>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</si>
  <si>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</si>
  <si>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</si>
  <si>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</si>
  <si>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</si>
  <si>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</si>
  <si>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</si>
  <si>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</si>
  <si>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</si>
  <si>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</si>
  <si>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</si>
  <si>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</si>
  <si>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</si>
  <si>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</si>
  <si>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</si>
  <si>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</si>
  <si>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</si>
  <si>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</si>
  <si>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</si>
  <si>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</si>
  <si>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</si>
  <si>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</si>
  <si>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</si>
  <si>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</si>
  <si>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</si>
  <si>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</si>
  <si>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</si>
  <si>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</si>
  <si>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</si>
  <si>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</si>
  <si>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</si>
  <si>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</si>
  <si>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</si>
  <si>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</si>
  <si>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</si>
  <si>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</si>
  <si>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</si>
  <si>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</si>
  <si>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</si>
  <si>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</si>
  <si>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</si>
  <si>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</si>
  <si>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</si>
  <si>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</si>
  <si>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</si>
  <si>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</si>
  <si>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</si>
  <si>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</si>
  <si>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</si>
  <si>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</si>
  <si>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</si>
  <si>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</si>
  <si>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</si>
  <si>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</si>
  <si>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</si>
  <si>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</si>
  <si>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</si>
  <si>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</si>
  <si>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</si>
  <si>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</si>
  <si>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</si>
  <si>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</si>
  <si>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</si>
  <si>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</si>
  <si>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</si>
  <si>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</si>
  <si>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</si>
  <si>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</si>
  <si>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</si>
  <si>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</si>
  <si>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</si>
  <si>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</si>
  <si>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</si>
  <si>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</si>
  <si>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</si>
  <si>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</si>
  <si>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</si>
  <si>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</si>
  <si>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</si>
  <si>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</si>
  <si>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</si>
  <si>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</si>
  <si>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</si>
  <si>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</si>
  <si>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</si>
  <si>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</si>
  <si>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</si>
  <si>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</si>
  <si>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</si>
  <si>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</si>
  <si>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</si>
  <si>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</si>
  <si>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</si>
  <si>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</si>
  <si>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</si>
  <si>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</si>
  <si>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</si>
  <si>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</si>
  <si>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</si>
  <si>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</si>
  <si>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</si>
  <si>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</si>
  <si>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</si>
  <si>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</si>
  <si>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</si>
  <si>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</si>
  <si>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</si>
  <si>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</si>
  <si>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</si>
  <si>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</si>
  <si>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</si>
  <si>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</si>
  <si>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</si>
  <si>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</si>
  <si>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</si>
  <si>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</si>
  <si>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</si>
  <si>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</si>
  <si>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</si>
  <si>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</si>
  <si>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</si>
  <si>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</si>
  <si>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</si>
  <si>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</si>
  <si>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</si>
  <si>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</si>
  <si>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</si>
  <si>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</si>
  <si>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</si>
  <si>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</si>
  <si>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</si>
  <si>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</si>
  <si>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</si>
  <si>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</si>
  <si>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</si>
  <si>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</si>
  <si>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</si>
  <si>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</si>
  <si>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</si>
  <si>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</si>
  <si>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</si>
  <si>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</si>
  <si>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</si>
  <si>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</si>
  <si>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</si>
  <si>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</si>
  <si>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</si>
  <si>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</si>
  <si>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</si>
  <si>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</si>
  <si>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</si>
  <si>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</si>
  <si>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</si>
  <si>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</si>
  <si>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</si>
  <si>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</si>
  <si>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</si>
  <si>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</si>
  <si>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</si>
  <si>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</si>
  <si>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</si>
  <si>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</si>
  <si>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</si>
  <si>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</si>
  <si>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</si>
  <si>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</si>
  <si>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</si>
  <si>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</si>
  <si>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</si>
  <si>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</si>
  <si>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</si>
  <si>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</si>
  <si>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</si>
  <si>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</si>
  <si>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</si>
  <si>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</si>
  <si>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</si>
  <si>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</si>
  <si>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</si>
  <si>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</si>
  <si>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</si>
  <si>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</si>
  <si>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</si>
  <si>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</si>
  <si>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</si>
  <si>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</si>
  <si>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</si>
  <si>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</si>
  <si>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</si>
  <si>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</si>
  <si>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</si>
  <si>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</si>
  <si>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</si>
  <si>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</si>
  <si>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</si>
  <si>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</si>
  <si>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</si>
  <si>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</si>
  <si>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</si>
  <si>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</si>
  <si>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</si>
  <si>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</si>
  <si>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</si>
  <si>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</si>
  <si>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</si>
  <si>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</si>
  <si>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</si>
  <si>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</si>
  <si>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</si>
  <si>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</si>
  <si>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</si>
  <si>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</si>
  <si>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</si>
  <si>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</si>
  <si>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</si>
  <si>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</si>
  <si>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</si>
  <si>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</si>
  <si>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</si>
  <si>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</si>
  <si>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</si>
  <si>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</si>
  <si>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</si>
  <si>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</si>
  <si>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</si>
  <si>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</si>
  <si>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</si>
  <si>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</si>
  <si>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</si>
  <si>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</si>
  <si>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</si>
  <si>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</si>
  <si>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</si>
  <si>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</si>
  <si>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</si>
  <si>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</si>
  <si>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</si>
  <si>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</si>
  <si>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</si>
  <si>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</si>
  <si>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</si>
  <si>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</si>
  <si>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</si>
  <si>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</si>
  <si>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</si>
  <si>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</si>
  <si>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</si>
  <si>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</si>
  <si>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</si>
  <si>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</si>
  <si>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</si>
  <si>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</si>
  <si>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</si>
  <si>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</si>
  <si>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</si>
  <si>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</si>
  <si>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</si>
  <si>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</si>
  <si>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</si>
  <si>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</si>
  <si>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</si>
  <si>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</si>
  <si>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</si>
  <si>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</si>
  <si>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</si>
  <si>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</si>
  <si>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</si>
  <si>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</si>
  <si>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</si>
  <si>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</si>
  <si>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</si>
  <si>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</si>
  <si>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</si>
  <si>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</si>
  <si>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</si>
  <si>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</si>
  <si>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</si>
  <si>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</si>
  <si>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</si>
  <si>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</si>
  <si>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</si>
  <si>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</si>
  <si>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</si>
  <si>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</si>
  <si>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</si>
  <si>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</si>
  <si>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</si>
  <si>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</si>
  <si>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</si>
  <si>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</si>
  <si>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</si>
  <si>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</si>
  <si>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</si>
  <si>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</si>
  <si>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</si>
  <si>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</si>
  <si>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</si>
  <si>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</si>
  <si>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</si>
  <si>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</si>
  <si>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</si>
  <si>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</si>
  <si>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</si>
  <si>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</si>
  <si>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</si>
  <si>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</si>
  <si>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</si>
  <si>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</si>
  <si>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</si>
  <si>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</si>
  <si>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</si>
  <si>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</si>
  <si>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</si>
  <si>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</si>
  <si>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</si>
  <si>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</si>
  <si>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</si>
  <si>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</si>
  <si>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</si>
  <si>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</si>
  <si>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</si>
  <si>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</si>
  <si>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</si>
  <si>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</si>
  <si>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</si>
  <si>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</si>
  <si>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</si>
  <si>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</si>
  <si>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</si>
  <si>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</si>
  <si>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</si>
  <si>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</si>
  <si>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</si>
  <si>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</si>
  <si>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</si>
  <si>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</si>
  <si>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</si>
  <si>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</si>
  <si>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</si>
  <si>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</si>
  <si>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</si>
  <si>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</si>
  <si>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</si>
  <si>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</si>
  <si>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</si>
  <si>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</si>
  <si>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</si>
  <si>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</si>
  <si>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</si>
  <si>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</si>
  <si>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</si>
  <si>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</si>
  <si>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</si>
  <si>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</si>
  <si>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</si>
  <si>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</si>
  <si>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</si>
  <si>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</si>
  <si>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</si>
  <si>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</si>
  <si>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</si>
  <si>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</si>
  <si>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</si>
  <si>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</si>
  <si>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</si>
  <si>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</si>
  <si>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</si>
  <si>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</si>
  <si>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</si>
  <si>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</si>
  <si>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</si>
  <si>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</si>
  <si>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</si>
  <si>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</si>
  <si>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</si>
  <si>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</si>
  <si>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</si>
  <si>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</si>
  <si>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</si>
  <si>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</si>
  <si>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</si>
  <si>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</si>
  <si>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</si>
  <si>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</si>
  <si>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</si>
  <si>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</si>
  <si>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</si>
  <si>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</si>
  <si>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</si>
  <si>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</si>
  <si>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</si>
  <si>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</si>
  <si>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</si>
  <si>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</si>
  <si>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</si>
  <si>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</si>
  <si>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</si>
  <si>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</si>
  <si>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</si>
  <si>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</si>
  <si>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</si>
  <si>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</si>
  <si>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</si>
  <si>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</si>
  <si>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</si>
  <si>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</si>
  <si>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</si>
  <si>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</si>
  <si>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</si>
  <si>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</si>
  <si>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</si>
  <si>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</si>
  <si>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</si>
  <si>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</si>
  <si>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</si>
  <si>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</si>
  <si>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</si>
  <si>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</si>
  <si>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</si>
  <si>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</si>
  <si>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</si>
  <si>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</si>
  <si>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</si>
  <si>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</si>
  <si>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</si>
  <si>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</si>
  <si>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</si>
  <si>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</si>
  <si>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</si>
  <si>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</si>
  <si>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</si>
  <si>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</si>
  <si>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</si>
  <si>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</si>
  <si>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</si>
  <si>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</si>
  <si>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</si>
  <si>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</si>
  <si>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</si>
  <si>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</si>
  <si>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</si>
  <si>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</si>
  <si>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</si>
  <si>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</si>
  <si>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</si>
  <si>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</si>
  <si>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</si>
  <si>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</si>
  <si>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</si>
  <si>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</si>
  <si>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</si>
  <si>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</si>
  <si>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</si>
  <si>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</si>
  <si>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</si>
  <si>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</si>
  <si>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</si>
  <si>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</si>
  <si>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</si>
  <si>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</si>
  <si>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</si>
  <si>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</si>
  <si>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</si>
  <si>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</si>
  <si>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</si>
  <si>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</si>
  <si>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</si>
  <si>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</si>
  <si>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</si>
  <si>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</si>
  <si>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</si>
  <si>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</si>
  <si>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</si>
  <si>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</si>
  <si>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</si>
  <si>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</si>
  <si>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</si>
  <si>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</si>
  <si>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</si>
  <si>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</si>
  <si>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</si>
  <si>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</si>
  <si>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</si>
  <si>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</si>
  <si>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</si>
  <si>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</si>
  <si>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</si>
  <si>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</si>
  <si>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</si>
  <si>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</si>
  <si>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</si>
  <si>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</si>
  <si>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</si>
  <si>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</si>
  <si>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</si>
  <si>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</si>
  <si>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</si>
  <si>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</si>
  <si>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</si>
  <si>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</si>
  <si>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</si>
  <si>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</si>
  <si>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</si>
  <si>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</si>
  <si>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</si>
  <si>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</si>
  <si>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</si>
  <si>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</si>
  <si>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</si>
  <si>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</si>
  <si>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</si>
  <si>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</si>
  <si>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</si>
  <si>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</si>
  <si>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</si>
  <si>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</si>
  <si>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</si>
  <si>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</si>
  <si>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</si>
  <si>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</si>
  <si>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</si>
  <si>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</si>
  <si>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</si>
  <si>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</si>
  <si>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</si>
  <si>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</si>
  <si>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</si>
  <si>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</si>
  <si>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</si>
  <si>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</si>
  <si>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</si>
  <si>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</si>
  <si>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</si>
  <si>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</si>
  <si>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</si>
  <si>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</si>
  <si>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</si>
  <si>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</si>
  <si>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</si>
  <si>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</si>
  <si>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</si>
  <si>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</si>
  <si>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</si>
  <si>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</si>
  <si>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</si>
  <si>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</si>
  <si>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</si>
  <si>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</si>
  <si>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</si>
  <si>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</si>
  <si>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</si>
  <si>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</si>
  <si>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</si>
  <si>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</si>
  <si>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</si>
  <si>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</si>
  <si>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</si>
  <si>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</si>
  <si>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</si>
  <si>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</si>
  <si>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</si>
  <si>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</si>
  <si>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</si>
  <si>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</si>
  <si>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</si>
  <si>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</si>
  <si>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</si>
  <si>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</si>
  <si>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</si>
  <si>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</si>
  <si>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</si>
  <si>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</si>
  <si>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</si>
  <si>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</si>
  <si>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</si>
  <si>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</si>
  <si>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</si>
  <si>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</si>
  <si>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</si>
  <si>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</si>
  <si>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</si>
  <si>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</si>
  <si>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</si>
  <si>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</si>
  <si>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</si>
  <si>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</si>
  <si>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</si>
  <si>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</si>
  <si>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</si>
  <si>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</si>
  <si>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</si>
  <si>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</si>
  <si>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</si>
  <si>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</si>
  <si>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</si>
  <si>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</si>
  <si>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</si>
  <si>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</si>
  <si>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</si>
  <si>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</si>
  <si>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</si>
  <si>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</si>
  <si>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</si>
  <si>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</si>
  <si>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</si>
  <si>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</si>
  <si>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</si>
  <si>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</si>
  <si>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</si>
  <si>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</si>
  <si>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</si>
  <si>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</si>
  <si>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</si>
  <si>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</si>
  <si>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</si>
  <si>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</si>
  <si>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</si>
  <si>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</si>
  <si>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</si>
  <si>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</si>
  <si>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</si>
  <si>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</si>
  <si>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</si>
  <si>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</si>
  <si>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</si>
  <si>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</si>
  <si>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</si>
  <si>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</si>
  <si>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</si>
  <si>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</si>
  <si>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</si>
  <si>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</si>
  <si>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</si>
  <si>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</si>
  <si>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</si>
  <si>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</si>
  <si>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</si>
  <si>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</si>
  <si>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</si>
  <si>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</si>
  <si>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</si>
  <si>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</si>
  <si>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</si>
  <si>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</si>
  <si>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</si>
  <si>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</si>
  <si>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</si>
  <si>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</si>
  <si>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</si>
  <si>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</si>
  <si>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</si>
  <si>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</si>
  <si>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</si>
  <si>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</si>
  <si>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</si>
  <si>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</si>
  <si>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</si>
  <si>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</si>
  <si>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</si>
  <si>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</si>
  <si>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</si>
  <si>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</si>
  <si>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</si>
  <si>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</si>
  <si>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</si>
  <si>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</si>
  <si>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</si>
  <si>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</si>
  <si>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</si>
  <si>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</si>
  <si>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</si>
  <si>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</si>
  <si>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</si>
  <si>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</si>
  <si>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</si>
  <si>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</si>
  <si>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</si>
  <si>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</si>
  <si>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</si>
  <si>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</si>
  <si>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</si>
  <si>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</si>
  <si>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</si>
  <si>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</si>
  <si>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</si>
  <si>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</si>
  <si>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</si>
  <si>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</si>
  <si>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</si>
  <si>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</si>
  <si>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</si>
  <si>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</si>
  <si>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</si>
  <si>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</si>
  <si>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</si>
  <si>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</si>
  <si>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</si>
  <si>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</si>
  <si>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</si>
  <si>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</si>
  <si>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</si>
  <si>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</si>
  <si>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</si>
  <si>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</si>
  <si>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</si>
  <si>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</si>
  <si>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</si>
  <si>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</si>
  <si>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</si>
  <si>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</si>
  <si>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</si>
  <si>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</si>
  <si>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</si>
  <si>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</si>
  <si>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</si>
  <si>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</si>
  <si>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</si>
  <si>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</si>
  <si>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</si>
  <si>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</si>
  <si>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</si>
  <si>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</si>
  <si>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</si>
  <si>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</si>
  <si>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</si>
  <si>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</si>
  <si>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</si>
  <si>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</si>
  <si>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</si>
  <si>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</si>
  <si>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</si>
  <si>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</si>
  <si>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</si>
  <si>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</si>
  <si>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</si>
  <si>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</si>
  <si>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</si>
  <si>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</si>
  <si>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</si>
  <si>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</si>
  <si>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</si>
  <si>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</si>
  <si>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</si>
  <si>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</si>
  <si>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</si>
  <si>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</si>
  <si>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</si>
  <si>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</si>
  <si>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</si>
  <si>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</si>
  <si>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</si>
  <si>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</si>
  <si>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</si>
  <si>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</si>
  <si>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</si>
  <si>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</si>
  <si>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</si>
  <si>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</si>
  <si>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</si>
  <si>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</si>
  <si>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</si>
  <si>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</si>
  <si>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</si>
  <si>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</si>
  <si>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</si>
  <si>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</si>
  <si>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</si>
  <si>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</si>
  <si>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</si>
  <si>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</si>
  <si>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</si>
  <si>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</si>
  <si>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</si>
  <si>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</si>
  <si>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</si>
  <si>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</si>
  <si>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</si>
  <si>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</si>
  <si>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</si>
  <si>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</si>
  <si>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</si>
  <si>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</si>
  <si>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</si>
  <si>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</si>
  <si>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</si>
  <si>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</si>
  <si>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</si>
  <si>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</si>
  <si>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</si>
  <si>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</si>
  <si>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</si>
  <si>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</si>
  <si>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</si>
  <si>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</si>
  <si>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</si>
  <si>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</si>
  <si>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</si>
  <si>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</si>
  <si>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</si>
  <si>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</si>
  <si>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</si>
  <si>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</si>
  <si>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</si>
  <si>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</si>
  <si>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</si>
  <si>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</si>
  <si>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</si>
  <si>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</si>
  <si>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</si>
  <si>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</si>
  <si>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</si>
  <si>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</si>
  <si>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</si>
  <si>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</si>
  <si>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</si>
  <si>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</si>
  <si>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</si>
  <si>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</si>
  <si>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</si>
  <si>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</si>
  <si>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</si>
  <si>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</si>
  <si>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</si>
  <si>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</si>
  <si>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</si>
  <si>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</si>
  <si>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</si>
  <si>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</si>
  <si>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</si>
  <si>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</si>
  <si>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</si>
  <si>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</si>
  <si>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</si>
  <si>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</si>
  <si>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</si>
  <si>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</si>
  <si>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</si>
  <si>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</si>
  <si>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</si>
  <si>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</si>
  <si>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</si>
  <si>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</si>
  <si>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</si>
  <si>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</si>
  <si>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</si>
  <si>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</si>
  <si>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</si>
  <si>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</si>
  <si>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</si>
  <si>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</si>
  <si>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</si>
  <si>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</si>
  <si>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</si>
  <si>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</si>
  <si>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</si>
  <si>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</si>
  <si>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</si>
  <si>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</si>
  <si>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</si>
  <si>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</si>
  <si>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</si>
  <si>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</si>
  <si>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</si>
  <si>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</si>
  <si>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</si>
  <si>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</si>
  <si>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</si>
  <si>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</si>
  <si>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</si>
  <si>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</si>
  <si>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</si>
  <si>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</si>
  <si>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</si>
  <si>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</si>
  <si>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</si>
  <si>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</si>
  <si>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</si>
  <si>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</si>
  <si>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</si>
  <si>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</si>
  <si>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</si>
  <si>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</si>
  <si>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</si>
  <si>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</si>
  <si>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</si>
  <si>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</si>
  <si>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</si>
  <si>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</si>
  <si>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</si>
  <si>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</si>
  <si>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</si>
  <si>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</si>
  <si>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</si>
  <si>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</si>
  <si>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</si>
  <si>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</si>
  <si>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</si>
  <si>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</si>
  <si>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</si>
  <si>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</si>
  <si>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</si>
  <si>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</si>
  <si>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</si>
  <si>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</si>
  <si>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</si>
  <si>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</si>
  <si>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</si>
  <si>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</si>
  <si>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</si>
  <si>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</si>
  <si>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</si>
  <si>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</si>
  <si>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</si>
  <si>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</si>
  <si>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</si>
  <si>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</si>
  <si>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</si>
  <si>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</si>
  <si>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</si>
  <si>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</si>
  <si>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</si>
  <si>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</si>
  <si>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</si>
  <si>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</si>
  <si>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</si>
  <si>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</si>
  <si>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</si>
  <si>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</si>
  <si>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</si>
  <si>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</si>
  <si>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</si>
  <si>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</si>
  <si>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</si>
  <si>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</si>
  <si>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</si>
  <si>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</si>
  <si>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</si>
  <si>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</si>
  <si>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</si>
  <si>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</si>
  <si>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</si>
  <si>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</si>
  <si>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</si>
  <si>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</si>
  <si>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</si>
  <si>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</si>
  <si>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</si>
  <si>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</si>
  <si>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</si>
  <si>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</si>
  <si>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</si>
  <si>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</si>
  <si>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</si>
  <si>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</si>
  <si>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</si>
  <si>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</si>
  <si>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</si>
  <si>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</si>
  <si>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</si>
  <si>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</si>
  <si>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</si>
  <si>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</si>
  <si>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</si>
  <si>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</si>
  <si>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</si>
  <si>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</si>
  <si>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</si>
  <si>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</si>
  <si>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</si>
  <si>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</si>
  <si>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</si>
  <si>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</si>
  <si>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</si>
  <si>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</si>
  <si>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</si>
  <si>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</si>
  <si>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</si>
  <si>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</si>
  <si>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</si>
  <si>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</si>
  <si>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</si>
  <si>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</si>
  <si>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</si>
  <si>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</si>
  <si>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</si>
  <si>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</si>
  <si>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</si>
  <si>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</si>
  <si>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</si>
  <si>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</si>
  <si>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</si>
  <si>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</si>
  <si>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</si>
  <si>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</si>
  <si>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</si>
  <si>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</si>
  <si>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</si>
  <si>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</si>
  <si>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</si>
  <si>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</si>
  <si>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</si>
  <si>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</si>
  <si>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</si>
  <si>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</si>
  <si>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</si>
  <si>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</si>
  <si>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</si>
  <si>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</si>
  <si>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</si>
  <si>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</si>
  <si>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</si>
  <si>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</si>
  <si>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</si>
  <si>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</si>
  <si>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</si>
  <si>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</si>
  <si>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</si>
  <si>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</si>
  <si>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</si>
  <si>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</si>
  <si>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</si>
  <si>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</si>
  <si>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</si>
  <si>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</si>
  <si>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</si>
  <si>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</si>
  <si>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</si>
  <si>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</si>
  <si>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</si>
  <si>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</si>
  <si>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</si>
  <si>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</si>
  <si>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</si>
  <si>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</si>
  <si>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</si>
  <si>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</si>
  <si>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</si>
  <si>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</si>
  <si>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</si>
  <si>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</si>
  <si>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</si>
  <si>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</si>
  <si>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</si>
  <si>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</si>
  <si>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</si>
  <si>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</si>
  <si>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</si>
  <si>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</si>
  <si>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</si>
  <si>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</si>
  <si>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</si>
  <si>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</si>
  <si>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</si>
  <si>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</si>
  <si>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</si>
  <si>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</si>
  <si>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</si>
  <si>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</si>
  <si>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</si>
  <si>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</si>
  <si>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</si>
  <si>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</si>
  <si>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</si>
  <si>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</si>
  <si>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</si>
  <si>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</si>
  <si>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</si>
  <si>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</si>
  <si>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</si>
  <si>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</si>
  <si>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</si>
  <si>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</si>
  <si>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</si>
  <si>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</si>
  <si>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</si>
  <si>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</si>
  <si>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</si>
  <si>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</si>
  <si>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</si>
  <si>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</si>
  <si>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</si>
  <si>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</si>
  <si>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</si>
  <si>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</si>
  <si>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</si>
  <si>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</si>
  <si>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</si>
  <si>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</si>
  <si>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</si>
  <si>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</si>
  <si>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</si>
  <si>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</si>
  <si>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</si>
  <si>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</si>
  <si>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</si>
  <si>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</si>
  <si>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</si>
  <si>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</si>
  <si>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</si>
  <si>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</si>
  <si>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</si>
  <si>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</si>
  <si>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</si>
  <si>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</si>
  <si>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</si>
  <si>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</si>
  <si>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</si>
  <si>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</si>
  <si>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</si>
  <si>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</si>
  <si>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</si>
  <si>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</si>
  <si>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</si>
  <si>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</si>
  <si>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</si>
  <si>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</si>
  <si>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</si>
  <si>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</si>
  <si>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</si>
  <si>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</si>
  <si>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</si>
  <si>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</si>
  <si>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</si>
  <si>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</si>
  <si>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</si>
  <si>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</si>
  <si>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</si>
  <si>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</si>
  <si>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</si>
  <si>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</si>
  <si>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</si>
  <si>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</si>
  <si>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</si>
  <si>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</si>
  <si>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</si>
  <si>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</si>
  <si>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</si>
  <si>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</si>
  <si>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</si>
  <si>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</si>
  <si>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</si>
  <si>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</si>
  <si>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</si>
  <si>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</si>
  <si>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</si>
  <si>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</si>
  <si>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</si>
  <si>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</si>
  <si>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</si>
  <si>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</si>
  <si>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</si>
  <si>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</si>
  <si>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</si>
  <si>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</si>
  <si>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</si>
  <si>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</si>
  <si>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</si>
  <si>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</si>
  <si>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</si>
  <si>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</si>
  <si>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</si>
  <si>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</si>
  <si>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</si>
  <si>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</si>
  <si>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</si>
  <si>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</si>
  <si>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</si>
  <si>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</si>
  <si>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</si>
  <si>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</si>
  <si>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</si>
  <si>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</si>
  <si>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</si>
  <si>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</si>
  <si>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</si>
  <si>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</si>
  <si>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</si>
  <si>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</si>
  <si>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</si>
  <si>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</si>
  <si>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</si>
  <si>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</si>
  <si>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</si>
  <si>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</si>
  <si>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</si>
  <si>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</si>
  <si>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</si>
  <si>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</si>
  <si>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</si>
  <si>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</si>
  <si>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</si>
  <si>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</si>
  <si>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</si>
  <si>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</si>
  <si>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</si>
  <si>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</si>
  <si>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</si>
  <si>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</si>
  <si>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</si>
  <si>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</si>
  <si>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</si>
  <si>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</si>
  <si>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</si>
  <si>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</si>
  <si>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</si>
  <si>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</si>
  <si>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</si>
  <si>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</si>
  <si>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</si>
  <si>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</si>
  <si>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</si>
  <si>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</si>
  <si>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</si>
  <si>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</si>
  <si>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</si>
  <si>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</si>
  <si>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</si>
  <si>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</si>
  <si>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</si>
  <si>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</si>
  <si>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</si>
  <si>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</si>
  <si>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</si>
  <si>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</si>
  <si>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</si>
  <si>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</si>
  <si>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</si>
  <si>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</si>
  <si>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</si>
  <si>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</si>
  <si>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</si>
  <si>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</si>
  <si>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</si>
  <si>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</si>
  <si>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</si>
  <si>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</si>
  <si>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</si>
  <si>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</si>
  <si>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</si>
  <si>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</si>
  <si>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</si>
  <si>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</si>
  <si>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</si>
  <si>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</si>
  <si>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</si>
  <si>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</si>
  <si>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</si>
  <si>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</si>
  <si>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</si>
  <si>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</si>
  <si>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</si>
  <si>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</si>
  <si>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</si>
  <si>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</si>
  <si>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</si>
  <si>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</si>
  <si>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</si>
  <si>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</si>
  <si>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</si>
  <si>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</si>
  <si>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</si>
  <si>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</si>
  <si>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</si>
  <si>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</si>
  <si>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</si>
  <si>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</si>
  <si>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</si>
  <si>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</si>
  <si>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</si>
  <si>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</si>
  <si>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</si>
  <si>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</si>
  <si>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</si>
  <si>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</si>
  <si>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</si>
  <si>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</si>
  <si>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</si>
  <si>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</si>
  <si>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</si>
  <si>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</si>
  <si>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</si>
  <si>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</si>
  <si>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</si>
  <si>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</si>
  <si>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</si>
  <si>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</si>
  <si>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</si>
  <si>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</si>
  <si>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</si>
  <si>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</si>
  <si>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</si>
  <si>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</si>
  <si>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</si>
  <si>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</si>
  <si>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</si>
  <si>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</si>
  <si>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</si>
  <si>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</si>
  <si>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</si>
  <si>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</si>
  <si>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</si>
  <si>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</si>
  <si>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</si>
  <si>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</si>
  <si>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</si>
  <si>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</si>
  <si>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</si>
  <si>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</si>
  <si>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</si>
  <si>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</si>
  <si>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</si>
  <si>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</si>
  <si>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</si>
  <si>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</si>
  <si>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</si>
  <si>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</si>
  <si>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</si>
  <si>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</si>
  <si>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</si>
  <si>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</si>
  <si>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</si>
  <si>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</si>
  <si>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</si>
  <si>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</si>
  <si>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</si>
  <si>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</si>
  <si>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</si>
  <si>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</si>
  <si>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</si>
  <si>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</si>
  <si>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</si>
  <si>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</si>
  <si>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</si>
  <si>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</si>
  <si>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</si>
  <si>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</si>
  <si>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</si>
  <si>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</si>
  <si>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</si>
  <si>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</si>
  <si>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</si>
  <si>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</si>
  <si>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</si>
  <si>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</si>
  <si>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</si>
  <si>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</si>
  <si>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</si>
  <si>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</si>
  <si>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</si>
  <si>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</si>
  <si>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</si>
  <si>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</si>
  <si>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</si>
  <si>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</si>
  <si>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</si>
  <si>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</si>
  <si>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</si>
  <si>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</si>
  <si>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</si>
  <si>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</si>
  <si>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</si>
  <si>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</si>
  <si>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</si>
  <si>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</si>
  <si>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</si>
  <si>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</si>
  <si>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</si>
  <si>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</si>
  <si>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</si>
  <si>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</si>
  <si>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</si>
  <si>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</si>
  <si>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</si>
  <si>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</si>
  <si>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</si>
  <si>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</si>
  <si>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</si>
  <si>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</si>
  <si>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</si>
  <si>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</si>
  <si>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</si>
  <si>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</si>
  <si>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</si>
  <si>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</si>
  <si>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</si>
  <si>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</si>
  <si>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</si>
  <si>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</si>
  <si>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</si>
  <si>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</si>
  <si>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</si>
  <si>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</si>
  <si>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</si>
  <si>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</si>
  <si>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</si>
  <si>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</si>
  <si>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</si>
  <si>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</si>
  <si>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</si>
  <si>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</si>
  <si>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</si>
  <si>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</si>
  <si>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</si>
  <si>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</si>
  <si>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</si>
  <si>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</si>
  <si>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</si>
  <si>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</si>
  <si>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</si>
  <si>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</si>
  <si>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</si>
  <si>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</si>
  <si>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</si>
  <si>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</si>
  <si>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</si>
  <si>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</si>
  <si>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</si>
  <si>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</si>
  <si>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</si>
  <si>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</si>
  <si>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</si>
  <si>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</si>
  <si>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</si>
  <si>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</si>
  <si>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</si>
  <si>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</si>
  <si>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</si>
  <si>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</si>
  <si>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</si>
  <si>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</si>
  <si>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</si>
  <si>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</si>
  <si>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</si>
  <si>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</si>
  <si>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</si>
  <si>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</si>
  <si>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</si>
  <si>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</si>
  <si>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</si>
  <si>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</si>
  <si>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</si>
  <si>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</si>
  <si>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</si>
  <si>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</si>
  <si>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</si>
  <si>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</si>
  <si>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</si>
  <si>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</si>
  <si>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</si>
  <si>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</si>
  <si>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</si>
  <si>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</si>
  <si>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</si>
  <si>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</si>
  <si>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</si>
  <si>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</si>
  <si>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</si>
  <si>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</si>
  <si>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</si>
  <si>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</si>
  <si>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</si>
  <si>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</si>
  <si>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</si>
  <si>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</si>
  <si>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</si>
  <si>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</si>
  <si>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</si>
  <si>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</si>
  <si>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</si>
  <si>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</si>
  <si>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</si>
  <si>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</si>
  <si>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</si>
  <si>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</si>
  <si>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</si>
  <si>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</si>
  <si>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</si>
  <si>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</si>
  <si>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</si>
  <si>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</si>
  <si>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</si>
  <si>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</si>
  <si>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</si>
  <si>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</si>
  <si>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</si>
  <si>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</si>
  <si>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</si>
  <si>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</si>
  <si>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</si>
  <si>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</si>
  <si>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</si>
  <si>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</si>
  <si>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</si>
  <si>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</si>
  <si>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</si>
  <si>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</si>
  <si>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</si>
  <si>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</si>
  <si>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</si>
  <si>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</si>
  <si>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</si>
  <si>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</si>
  <si>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</si>
  <si>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</si>
  <si>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</si>
  <si>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</si>
  <si>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</si>
  <si>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</si>
  <si>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</si>
  <si>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</si>
  <si>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</si>
  <si>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</si>
  <si>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</si>
  <si>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</si>
  <si>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</si>
  <si>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</si>
  <si>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</si>
  <si>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</si>
  <si>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</si>
  <si>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</si>
  <si>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</si>
  <si>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</si>
  <si>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</si>
  <si>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</si>
  <si>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</si>
  <si>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</si>
  <si>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</si>
  <si>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</si>
  <si>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</si>
  <si>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</si>
  <si>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</si>
  <si>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</si>
  <si>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</si>
  <si>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</si>
  <si>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</si>
  <si>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</si>
  <si>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</si>
  <si>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</si>
  <si>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</si>
  <si>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</si>
  <si>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</si>
  <si>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</si>
  <si>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</si>
  <si>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</si>
  <si>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</si>
  <si>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</si>
  <si>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</si>
  <si>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</si>
  <si>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</si>
  <si>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</si>
  <si>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</si>
  <si>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</si>
  <si>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</si>
  <si>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</si>
  <si>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</si>
  <si>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</si>
  <si>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</si>
  <si>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</si>
  <si>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</si>
  <si>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</si>
  <si>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</si>
  <si>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</si>
  <si>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</si>
  <si>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</si>
  <si>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</si>
  <si>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</si>
  <si>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</si>
  <si>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</si>
  <si>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</si>
  <si>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</si>
  <si>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</si>
  <si>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</si>
  <si>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</si>
  <si>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</si>
  <si>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</si>
  <si>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</si>
  <si>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</si>
  <si>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</si>
  <si>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</si>
  <si>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</si>
  <si>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</si>
  <si>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</si>
  <si>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</si>
  <si>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</si>
  <si>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</si>
  <si>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</si>
  <si>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</si>
  <si>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</si>
  <si>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</si>
  <si>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</si>
  <si>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</si>
  <si>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</si>
  <si>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</si>
  <si>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</si>
  <si>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</si>
  <si>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</si>
  <si>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</si>
  <si>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</si>
  <si>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</si>
  <si>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</si>
  <si>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</si>
  <si>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</si>
  <si>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</si>
  <si>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</si>
  <si>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</si>
  <si>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</si>
  <si>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</si>
  <si>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</si>
  <si>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</si>
  <si>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</si>
  <si>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</si>
  <si>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</si>
  <si>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</si>
  <si>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</si>
  <si>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</si>
  <si>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</si>
  <si>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</si>
  <si>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</si>
  <si>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</si>
  <si>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</si>
  <si>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</si>
  <si>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</si>
  <si>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</si>
  <si>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</si>
  <si>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</si>
  <si>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</si>
  <si>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</si>
  <si>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</si>
  <si>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</si>
  <si>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</si>
  <si>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</si>
  <si>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</si>
  <si>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</si>
  <si>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</si>
  <si>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</si>
  <si>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</si>
  <si>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</si>
  <si>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</si>
  <si>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</si>
  <si>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</si>
  <si>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</si>
  <si>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</si>
  <si>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</si>
  <si>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</si>
  <si>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</si>
  <si>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</si>
  <si>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</si>
  <si>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</si>
  <si>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</si>
  <si>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</si>
  <si>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</si>
  <si>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</si>
  <si>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</si>
  <si>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</si>
  <si>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</si>
  <si>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</si>
  <si>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</si>
  <si>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</si>
  <si>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</si>
  <si>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</si>
  <si>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</si>
  <si>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</si>
  <si>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</si>
  <si>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</si>
  <si>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</si>
  <si>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</si>
  <si>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</si>
  <si>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</si>
  <si>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</si>
  <si>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</si>
  <si>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</si>
  <si>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</si>
  <si>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</si>
  <si>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</si>
  <si>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</si>
  <si>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</si>
  <si>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</si>
  <si>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</si>
  <si>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</si>
  <si>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</si>
  <si>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</si>
  <si>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</si>
  <si>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</si>
  <si>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</si>
  <si>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</si>
  <si>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</si>
  <si>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</si>
  <si>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</si>
  <si>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</si>
  <si>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</si>
  <si>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</si>
  <si>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</si>
  <si>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</si>
  <si>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</si>
  <si>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</si>
  <si>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</si>
  <si>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</si>
  <si>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</si>
  <si>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</si>
  <si>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</si>
  <si>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</si>
  <si>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</si>
  <si>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</si>
  <si>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</si>
  <si>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</si>
  <si>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</si>
  <si>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</si>
  <si>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</si>
  <si>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</si>
  <si>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</si>
  <si>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</si>
  <si>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</si>
  <si>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</si>
  <si>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</si>
  <si>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</si>
  <si>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</si>
  <si>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</si>
  <si>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</si>
  <si>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</si>
  <si>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</si>
  <si>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</si>
  <si>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</si>
  <si>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</si>
  <si>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</si>
  <si>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</si>
  <si>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</si>
  <si>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</si>
  <si>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</si>
  <si>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</si>
  <si>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</si>
  <si>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</si>
  <si>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</si>
  <si>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</si>
  <si>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</si>
  <si>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</si>
  <si>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</si>
  <si>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</si>
  <si>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</si>
  <si>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</si>
  <si>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</si>
  <si>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</si>
  <si>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</si>
  <si>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</si>
  <si>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</si>
  <si>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</si>
  <si>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</si>
  <si>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</si>
  <si>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</si>
  <si>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</si>
  <si>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</si>
  <si>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</si>
  <si>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</si>
  <si>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</si>
  <si>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</si>
  <si>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</si>
  <si>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</si>
  <si>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</si>
  <si>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</si>
  <si>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</si>
  <si>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</si>
  <si>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</si>
  <si>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</si>
  <si>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</si>
  <si>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</si>
  <si>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</si>
  <si>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</si>
  <si>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</si>
  <si>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</si>
  <si>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</si>
  <si>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</si>
  <si>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</si>
  <si>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</si>
  <si>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</si>
  <si>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</si>
  <si>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</si>
  <si>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</si>
  <si>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</si>
  <si>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</si>
  <si>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</si>
  <si>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</si>
  <si>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</si>
  <si>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</si>
  <si>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</si>
  <si>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</si>
  <si>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</si>
  <si>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</si>
  <si>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</si>
  <si>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</si>
  <si>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</si>
  <si>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</si>
  <si>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</si>
  <si>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</si>
  <si>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</si>
  <si>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</si>
  <si>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</si>
  <si>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</si>
  <si>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</si>
  <si>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</si>
  <si>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</si>
  <si>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</si>
  <si>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</si>
  <si>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</si>
  <si>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</si>
  <si>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</si>
  <si>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</si>
  <si>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</si>
  <si>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</si>
  <si>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</si>
  <si>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</si>
  <si>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</si>
  <si>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</si>
  <si>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</si>
  <si>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</si>
  <si>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</si>
  <si>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</si>
  <si>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</si>
  <si>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</si>
  <si>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</si>
  <si>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</si>
  <si>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</si>
  <si>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</si>
  <si>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</si>
  <si>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</si>
  <si>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</si>
  <si>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</si>
  <si>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</si>
  <si>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</si>
  <si>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</si>
  <si>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</si>
  <si>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</si>
  <si>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</si>
  <si>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</si>
  <si>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</si>
  <si>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</si>
  <si>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</si>
  <si>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</si>
  <si>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</si>
  <si>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</si>
  <si>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</si>
  <si>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</si>
  <si>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</si>
  <si>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</si>
  <si>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</si>
  <si>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</si>
  <si>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</si>
  <si>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</si>
  <si>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</si>
  <si>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</si>
  <si>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</si>
  <si>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</si>
  <si>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</si>
  <si>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</si>
  <si>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</si>
  <si>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</si>
  <si>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</si>
  <si>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</si>
  <si>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</si>
  <si>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</si>
  <si>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</si>
  <si>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</si>
  <si>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</si>
  <si>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</si>
  <si>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</si>
  <si>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</si>
  <si>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</si>
  <si>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</si>
  <si>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</si>
  <si>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</si>
  <si>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</si>
  <si>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</si>
  <si>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</si>
  <si>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</si>
  <si>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</si>
  <si>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</si>
  <si>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</si>
  <si>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</si>
  <si>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</si>
  <si>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</si>
  <si>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</si>
  <si>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</si>
  <si>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</si>
  <si>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</si>
  <si>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</si>
  <si>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</si>
  <si>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</si>
  <si>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</si>
  <si>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</si>
  <si>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</si>
  <si>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</si>
  <si>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</si>
  <si>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</si>
  <si>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</si>
  <si>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</si>
  <si>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</si>
  <si>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</si>
  <si>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</si>
  <si>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</si>
  <si>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</si>
  <si>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</si>
  <si>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</si>
  <si>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</si>
  <si>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</si>
  <si>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</si>
  <si>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</si>
  <si>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</si>
  <si>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</si>
  <si>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</si>
  <si>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</si>
  <si>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</si>
  <si>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</si>
  <si>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</si>
  <si>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</si>
  <si>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</si>
  <si>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</si>
  <si>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</si>
  <si>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</si>
  <si>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</si>
  <si>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</si>
  <si>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</si>
  <si>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</si>
  <si>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</si>
  <si>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</si>
  <si>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</si>
  <si>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</si>
  <si>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</si>
  <si>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</si>
  <si>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</si>
  <si>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</si>
  <si>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</si>
  <si>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</si>
  <si>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</si>
  <si>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</si>
  <si>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</si>
  <si>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</si>
  <si>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</si>
  <si>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</si>
  <si>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</si>
  <si>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</si>
  <si>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</si>
  <si>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</si>
  <si>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</si>
  <si>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</si>
  <si>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</si>
  <si>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</si>
  <si>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</si>
  <si>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</si>
  <si>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</si>
  <si>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</si>
  <si>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</si>
  <si>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</si>
  <si>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</si>
  <si>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</si>
  <si>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</si>
  <si>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</si>
  <si>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</si>
  <si>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</si>
  <si>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</si>
  <si>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</si>
  <si>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</si>
  <si>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</si>
  <si>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</si>
  <si>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</si>
  <si>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</si>
  <si>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</si>
  <si>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</si>
  <si>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</si>
  <si>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</si>
  <si>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</si>
  <si>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</si>
  <si>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</si>
  <si>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</si>
  <si>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</si>
  <si>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</si>
  <si>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</si>
  <si>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</si>
  <si>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</si>
  <si>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</si>
  <si>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</si>
  <si>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</si>
  <si>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</si>
  <si>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</si>
  <si>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</si>
  <si>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</si>
  <si>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</si>
  <si>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</si>
  <si>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</si>
  <si>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</si>
  <si>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</si>
  <si>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</si>
  <si>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</si>
  <si>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</si>
  <si>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</si>
  <si>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</si>
  <si>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</si>
  <si>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</si>
  <si>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</si>
  <si>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</si>
  <si>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</si>
  <si>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</si>
  <si>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</si>
  <si>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</si>
  <si>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</si>
  <si>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</si>
  <si>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</si>
  <si>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</si>
  <si>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</si>
  <si>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</si>
  <si>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</si>
  <si>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</si>
  <si>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</si>
  <si>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</si>
  <si>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</si>
  <si>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</si>
  <si>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</si>
  <si>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</si>
  <si>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</si>
  <si>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</si>
  <si>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</si>
  <si>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</si>
  <si>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</si>
  <si>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</si>
  <si>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</si>
  <si>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</si>
  <si>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</si>
  <si>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</si>
  <si>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</si>
  <si>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</si>
  <si>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</si>
  <si>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</si>
  <si>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</si>
  <si>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</si>
  <si>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</si>
  <si>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Total Count of outcomes</t>
  </si>
  <si>
    <t>Total Count of Quarters</t>
  </si>
  <si>
    <t>Count of Quarters</t>
  </si>
  <si>
    <t>Years</t>
  </si>
  <si>
    <t>Name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</si>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</sst>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FD-FF43-9E0D-4E8DD79B5B9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FD-FF43-9E0D-4E8DD79B5B9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FD-FF43-9E0D-4E8DD79B5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0077391"/>
        <c:axId val="1430088223"/>
      </c:lineChart>
      <c:catAx>
        <c:axId val="1430077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088223"/>
        <c:crosses val="autoZero"/>
        <c:auto val="1"/>
        <c:lblAlgn val="ctr"/>
        <c:lblOffset val="100"/>
        <c:noMultiLvlLbl val="0"/>
      </c:catAx>
      <c:valAx>
        <c:axId val="143008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077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C9-B54C-93AA-75969AF3046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C9-B54C-93AA-75969AF3046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C9-B54C-93AA-75969AF304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9489471"/>
        <c:axId val="1369831455"/>
      </c:lineChart>
      <c:catAx>
        <c:axId val="136948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831455"/>
        <c:crosses val="autoZero"/>
        <c:auto val="1"/>
        <c:lblAlgn val="ctr"/>
        <c:lblOffset val="100"/>
        <c:noMultiLvlLbl val="0"/>
      </c:catAx>
      <c:valAx>
        <c:axId val="136983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48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9C-D644-A1D9-33F57F0FC18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49C-D644-A1D9-33F57F0FC18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49C-D644-A1D9-33F57F0FC18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49C-D644-A1D9-33F57F0FC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69329792"/>
        <c:axId val="1369331440"/>
      </c:barChart>
      <c:catAx>
        <c:axId val="136932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331440"/>
        <c:crosses val="autoZero"/>
        <c:auto val="1"/>
        <c:lblAlgn val="ctr"/>
        <c:lblOffset val="100"/>
        <c:noMultiLvlLbl val="0"/>
      </c:catAx>
      <c:valAx>
        <c:axId val="136933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32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 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74-BA4B-B3A0-B87D7A9AC593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074-BA4B-B3A0-B87D7A9AC593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074-BA4B-B3A0-B87D7A9AC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3396767"/>
        <c:axId val="2001917808"/>
      </c:barChart>
      <c:catAx>
        <c:axId val="653396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917808"/>
        <c:crosses val="autoZero"/>
        <c:auto val="1"/>
        <c:lblAlgn val="ctr"/>
        <c:lblOffset val="100"/>
        <c:noMultiLvlLbl val="0"/>
      </c:catAx>
      <c:valAx>
        <c:axId val="200191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39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Date'!$B$4:$B$6</c:f>
              <c:strCache>
                <c:ptCount val="1"/>
                <c:pt idx="0">
                  <c:v>canceled - Count of outcomes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40-0149-AF91-363F0CA6DD16}"/>
            </c:ext>
          </c:extLst>
        </c:ser>
        <c:ser>
          <c:idx val="1"/>
          <c:order val="1"/>
          <c:tx>
            <c:strRef>
              <c:f>'Outcomes Based On Launch Date'!$C$4:$C$6</c:f>
              <c:strCache>
                <c:ptCount val="1"/>
                <c:pt idx="0">
                  <c:v>canceled - Count of Quarters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40-0149-AF91-363F0CA6DD16}"/>
            </c:ext>
          </c:extLst>
        </c:ser>
        <c:ser>
          <c:idx val="2"/>
          <c:order val="2"/>
          <c:tx>
            <c:strRef>
              <c:f>'Outcomes Based On Launch Date'!$D$4:$D$6</c:f>
              <c:strCache>
                <c:ptCount val="1"/>
                <c:pt idx="0">
                  <c:v>failed - Count of outcomes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040-0149-AF91-363F0CA6DD16}"/>
            </c:ext>
          </c:extLst>
        </c:ser>
        <c:ser>
          <c:idx val="3"/>
          <c:order val="3"/>
          <c:tx>
            <c:strRef>
              <c:f>'Outcomes Based On Launch Date'!$E$4:$E$6</c:f>
              <c:strCache>
                <c:ptCount val="1"/>
                <c:pt idx="0">
                  <c:v>failed - Count of Quarters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040-0149-AF91-363F0CA6DD16}"/>
            </c:ext>
          </c:extLst>
        </c:ser>
        <c:ser>
          <c:idx val="4"/>
          <c:order val="4"/>
          <c:tx>
            <c:strRef>
              <c:f>'Outcomes Based On Launch Date'!$F$4:$F$6</c:f>
              <c:strCache>
                <c:ptCount val="1"/>
                <c:pt idx="0">
                  <c:v>live - Count of outcomes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Date'!$F$7:$F$19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040-0149-AF91-363F0CA6DD16}"/>
            </c:ext>
          </c:extLst>
        </c:ser>
        <c:ser>
          <c:idx val="5"/>
          <c:order val="5"/>
          <c:tx>
            <c:strRef>
              <c:f>'Outcomes Based On Launch Date'!$G$4:$G$6</c:f>
              <c:strCache>
                <c:ptCount val="1"/>
                <c:pt idx="0">
                  <c:v>live - Count of Quarters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Date'!$G$7:$G$19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040-0149-AF91-363F0CA6DD16}"/>
            </c:ext>
          </c:extLst>
        </c:ser>
        <c:ser>
          <c:idx val="6"/>
          <c:order val="6"/>
          <c:tx>
            <c:strRef>
              <c:f>'Outcomes Based On Launch Date'!$H$4:$H$6</c:f>
              <c:strCache>
                <c:ptCount val="1"/>
                <c:pt idx="0">
                  <c:v>successful - Count of outcomes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Date'!$H$7:$H$19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040-0149-AF91-363F0CA6DD16}"/>
            </c:ext>
          </c:extLst>
        </c:ser>
        <c:ser>
          <c:idx val="7"/>
          <c:order val="7"/>
          <c:tx>
            <c:strRef>
              <c:f>'Outcomes Based On Launch Date'!$I$4:$I$6</c:f>
              <c:strCache>
                <c:ptCount val="1"/>
                <c:pt idx="0">
                  <c:v>successful - Count of Quarters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Date'!$I$7:$I$19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040-0149-AF91-363F0CA6D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2551920"/>
        <c:axId val="2002767184"/>
      </c:lineChart>
      <c:catAx>
        <c:axId val="200255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767184"/>
        <c:crosses val="autoZero"/>
        <c:auto val="1"/>
        <c:lblAlgn val="ctr"/>
        <c:lblOffset val="100"/>
        <c:noMultiLvlLbl val="0"/>
      </c:catAx>
      <c:valAx>
        <c:axId val="200276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55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</xdr:colOff>
      <xdr:row>3</xdr:row>
      <xdr:rowOff>6350</xdr:rowOff>
    </xdr:from>
    <xdr:to>
      <xdr:col>12</xdr:col>
      <xdr:colOff>2540</xdr:colOff>
      <xdr:row>25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B8103B-ACDD-B925-1F88-3F5615DB3A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1019849</xdr:colOff>
      <xdr:row>14</xdr:row>
      <xdr:rowOff>13853</xdr:rowOff>
    </xdr:from>
    <xdr:to>
      <xdr:col>9</xdr:col>
      <xdr:colOff>469900</xdr:colOff>
      <xdr:row>43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AB94D2-438F-EC78-F394-654FD115AE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1</xdr:row>
      <xdr:rowOff>184150</xdr:rowOff>
    </xdr:from>
    <xdr:to>
      <xdr:col>12</xdr:col>
      <xdr:colOff>457200</xdr:colOff>
      <xdr:row>16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08130F-7820-94F0-202E-0FE5205FA3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184150</xdr:rowOff>
    </xdr:from>
    <xdr:to>
      <xdr:col>16</xdr:col>
      <xdr:colOff>25400</xdr:colOff>
      <xdr:row>29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201DD4-686C-8CA3-6BCB-3EF26EC62D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21</xdr:row>
      <xdr:rowOff>6350</xdr:rowOff>
    </xdr:from>
    <xdr:to>
      <xdr:col>4</xdr:col>
      <xdr:colOff>1066800</xdr:colOff>
      <xdr:row>35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069590-8B17-46B5-FC9A-9C50BBD1DB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37.638427546299" createdVersion="8" refreshedVersion="8" minRefreshableVersion="3" recordCount="4114" xr:uid="{FE9D3A40-DA8F-FD42-9C18-DB6E5BF154B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37.682137847223" createdVersion="8" refreshedVersion="8" minRefreshableVersion="3" recordCount="4114" xr:uid="{D7A9E7BD-B3A0-FC4E-A97C-C99EDBA7C33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40.910929976853" createdVersion="8" refreshedVersion="8" minRefreshableVersion="3" recordCount="4114" xr:uid="{B423C11D-BB68-8047-9D05-1AA772D24F3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C967C4-385A-9045-ACAF-D38F62CB691F}" name="PivotTable2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dataField="1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Quarters" fld="21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FCC7BC-289E-4544-863B-9829CE415F98}" name="PivotTable1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190C66-5D47-AF40-BFB8-AD695AE08D81}" name="PivotTable2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C5E71A-3ECF-B24E-A427-4423CEC322BB}" name="PivotTable3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K19" firstHeaderRow="1" firstDataRow="3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dataField="1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pageFields count="2">
    <pageField fld="16" hier="-1"/>
    <pageField fld="21" hier="-1"/>
  </pageFields>
  <dataFields count="2">
    <dataField name="Count of outcomes" fld="5" subtotal="count" baseField="0" baseItem="0"/>
    <dataField name="Count of Quarters" fld="20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16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0" format="17" series="1">
      <pivotArea type="data" grandCol="1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selection activeCell="T1" sqref="T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20" width="8.83203125" style="14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8" t="s">
        <v>8307</v>
      </c>
      <c r="Q1" s="9" t="s">
        <v>8358</v>
      </c>
      <c r="R1" s="8" t="s">
        <v>8359</v>
      </c>
      <c r="S1" s="13" t="s">
        <v>8365</v>
      </c>
      <c r="T1" s="13" t="s">
        <v>8366</v>
      </c>
      <c r="U1" s="8" t="s">
        <v>8382</v>
      </c>
    </row>
    <row r="2" spans="1:21" ht="48" x14ac:dyDescent="0.2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YEAR(T2)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2:O65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YEAR(T3)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2015</v>
      </c>
    </row>
    <row r="25" spans="1:21" ht="48" x14ac:dyDescent="0.2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2016</v>
      </c>
    </row>
    <row r="28" spans="1:21" ht="48" x14ac:dyDescent="0.2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2015</v>
      </c>
    </row>
    <row r="53" spans="1:21" ht="48" x14ac:dyDescent="0.2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YEAR(T67)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2016</v>
      </c>
    </row>
    <row r="77" spans="1:21" ht="48" x14ac:dyDescent="0.2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2017</v>
      </c>
    </row>
    <row r="95" spans="1:21" ht="48" x14ac:dyDescent="0.2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2014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2013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2012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2017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YEAR(T131)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2017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2015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2016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2017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2017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YEAR(T195)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2015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2015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2016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2016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3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2012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YEAR(T259)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2014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2012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2011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2012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2010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YEAR(T323)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2012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2017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2013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2016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2015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YEAR(T387)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2012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YEAR(T451)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2014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2014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2013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2017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2012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2016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2014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2015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YEAR(T515)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2017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2017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2016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2016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2015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2016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2016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2015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YEAR(T579)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2016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YEAR(T643)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2015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2017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2015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2015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2015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2015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2017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2017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2017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2017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YEAR(T707)</f>
        <v>2017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2017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2017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2013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2012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2015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2017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2013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YEAR(T771)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2016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2014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2012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YEAR(T835)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2012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2013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2014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2012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YEAR(T899)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2012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2016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2011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2016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2012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2017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2016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2016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2015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2015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YEAR(T963)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2017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2016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2017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2017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2015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YEAR(T1027)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2013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2014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2016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2015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YEAR(T1091)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2013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2016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2015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2017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2015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2016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YEAR(T1155)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2017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2017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YEAR(T1219)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2012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2011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2014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2014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2011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YEAR(T1283)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2017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2015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2015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2017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YEAR(T1347)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2015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2017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2017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YEAR(T1411)</f>
        <v>2015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2016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2017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2016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2017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2017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2016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YEAR(T1475)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2014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2015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2016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YEAR(T1539)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2015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2017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YEAR(T1603)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2012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2011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2014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2013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2013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2012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2016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YEAR(T1667)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2015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2016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YEAR(T1731)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2016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2017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2017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2015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2015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2015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2015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2015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YEAR(T1795)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2016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2017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2014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2014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2011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2015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2014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YEAR(T1859)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2015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2017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2016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2017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2016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YEAR(T1923)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2014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2012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YEAR(T1987)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2016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2017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2016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2015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2016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YEAR(T2051)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2016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2016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2012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2013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YEAR(T2115)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2014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2017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2017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2013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2015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2013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YEAR(T2179)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2017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2012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2017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YEAR(T2243)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2017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2014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2016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2016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2013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2013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2011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YEAR(T2307)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2016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2016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2017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2015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2015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2016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YEAR(T2371)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2015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2015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2015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2017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2015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2016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2015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2015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2017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YEAR(T2435)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2016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2017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2012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2013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2011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YEAR(T2499)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2017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2010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2015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2011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YEAR(T2563)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2015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2017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2015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YEAR(T2627)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2015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2016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2016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YEAR(T2691)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2017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2014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YEAR(T2755)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2014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2013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2013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2015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YEAR(T2819)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2017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2017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2015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2015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2017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2016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YEAR(T2883)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2015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2015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2015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2016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2015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2015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YEAR(T2947)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2016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2016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2015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2016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2017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2016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YEAR(T3011)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2015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2016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2015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YEAR(T3075)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2015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2016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2015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2016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YEAR(T3139)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2011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2012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2011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2012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YEAR(T3203)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2016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2017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2017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2017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2015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YEAR(T3267)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2015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YEAR(T3331)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2015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2017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YEAR(T3395)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YEAR(T3459)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2015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YEAR(T3523)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2017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2015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2015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YEAR(T3587)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2015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2015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2015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2015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2017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2015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YEAR(T3651)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2015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2015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YEAR(T3715)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2016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2015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2015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YEAR(T3779)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2015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2017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2015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2015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2016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2016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YEAR(T3843)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2015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2015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2015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2015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YEAR(T3907)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2016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2015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2016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YEAR(T3971)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2015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2015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2015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2015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YEAR(T4035)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2015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2015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2017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2017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2016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2015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2015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YEAR(T4099)</f>
        <v>2016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2017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2016</v>
      </c>
    </row>
  </sheetData>
  <autoFilter ref="A1:T4115" xr:uid="{00000000-0001-0000-0000-000000000000}"/>
  <conditionalFormatting sqref="F1:F1048576">
    <cfRule type="containsText" dxfId="5" priority="3" operator="containsText" text="live">
      <formula>NOT(ISERROR(SEARCH("live",F1)))</formula>
    </cfRule>
    <cfRule type="containsText" dxfId="4" priority="4" operator="containsText" text="failed">
      <formula>NOT(ISERROR(SEARCH("failed",F1)))</formula>
    </cfRule>
    <cfRule type="containsText" dxfId="3" priority="5" operator="containsText" text="canceled">
      <formula>NOT(ISERROR(SEARCH("canceled",F1)))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cancelled">
      <formula>NOT(ISERROR(SEARCH("cancelled",F1)))</formula>
    </cfRule>
    <cfRule type="containsText" dxfId="0" priority="8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num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7B2E7-0547-AC49-B6D6-5049DFEAA62F}">
  <dimension ref="A1:E18"/>
  <sheetViews>
    <sheetView workbookViewId="0">
      <selection activeCell="C10" sqref="C10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4.83203125" bestFit="1" customWidth="1"/>
    <col min="8" max="8" width="13.1640625" bestFit="1" customWidth="1"/>
    <col min="9" max="9" width="14.83203125" bestFit="1" customWidth="1"/>
    <col min="10" max="10" width="17.5" bestFit="1" customWidth="1"/>
    <col min="11" max="11" width="19.1640625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8382</v>
      </c>
      <c r="B2" t="s">
        <v>8364</v>
      </c>
    </row>
    <row r="4" spans="1:5" x14ac:dyDescent="0.2">
      <c r="A4" s="11" t="s">
        <v>8381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5" t="s">
        <v>8373</v>
      </c>
      <c r="B6">
        <v>56</v>
      </c>
      <c r="C6">
        <v>33</v>
      </c>
      <c r="D6">
        <v>7</v>
      </c>
      <c r="E6">
        <v>96</v>
      </c>
    </row>
    <row r="7" spans="1:5" x14ac:dyDescent="0.2">
      <c r="A7" s="15" t="s">
        <v>8374</v>
      </c>
      <c r="B7">
        <v>71</v>
      </c>
      <c r="C7">
        <v>39</v>
      </c>
      <c r="D7">
        <v>3</v>
      </c>
      <c r="E7">
        <v>113</v>
      </c>
    </row>
    <row r="8" spans="1:5" x14ac:dyDescent="0.2">
      <c r="A8" s="15" t="s">
        <v>8375</v>
      </c>
      <c r="B8">
        <v>56</v>
      </c>
      <c r="C8">
        <v>33</v>
      </c>
      <c r="D8">
        <v>3</v>
      </c>
      <c r="E8">
        <v>92</v>
      </c>
    </row>
    <row r="9" spans="1:5" x14ac:dyDescent="0.2">
      <c r="A9" s="15" t="s">
        <v>8376</v>
      </c>
      <c r="B9">
        <v>71</v>
      </c>
      <c r="C9">
        <v>40</v>
      </c>
      <c r="D9">
        <v>2</v>
      </c>
      <c r="E9">
        <v>113</v>
      </c>
    </row>
    <row r="10" spans="1:5" x14ac:dyDescent="0.2">
      <c r="A10" s="15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2">
      <c r="A11" s="15" t="s">
        <v>8377</v>
      </c>
      <c r="B11">
        <v>100</v>
      </c>
      <c r="C11">
        <v>49</v>
      </c>
      <c r="D11">
        <v>4</v>
      </c>
      <c r="E11">
        <v>153</v>
      </c>
    </row>
    <row r="12" spans="1:5" x14ac:dyDescent="0.2">
      <c r="A12" s="15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2">
      <c r="A13" s="15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2">
      <c r="A14" s="15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2">
      <c r="A15" s="15" t="s">
        <v>8371</v>
      </c>
      <c r="B15">
        <v>65</v>
      </c>
      <c r="C15">
        <v>50</v>
      </c>
      <c r="E15">
        <v>115</v>
      </c>
    </row>
    <row r="16" spans="1:5" x14ac:dyDescent="0.2">
      <c r="A16" s="15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2">
      <c r="A17" s="15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2">
      <c r="A18" s="15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5E406-2605-A44B-8E99-3EBBA3263661}">
  <dimension ref="A1:H13"/>
  <sheetViews>
    <sheetView workbookViewId="0">
      <selection activeCell="F10" sqref="F10:F11"/>
    </sheetView>
  </sheetViews>
  <sheetFormatPr baseColWidth="10" defaultRowHeight="15" x14ac:dyDescent="0.2"/>
  <cols>
    <col min="1" max="1" width="13.5" bestFit="1" customWidth="1"/>
    <col min="2" max="2" width="15.6640625" bestFit="1" customWidth="1"/>
    <col min="3" max="3" width="12.5" bestFit="1" customWidth="1"/>
    <col min="4" max="4" width="15" bestFit="1" customWidth="1"/>
    <col min="5" max="5" width="15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8" t="s">
        <v>8384</v>
      </c>
      <c r="B1" s="8" t="s">
        <v>8396</v>
      </c>
      <c r="C1" s="8" t="s">
        <v>8397</v>
      </c>
      <c r="D1" s="8" t="s">
        <v>8398</v>
      </c>
      <c r="E1" s="8" t="s">
        <v>8399</v>
      </c>
      <c r="F1" s="8" t="s">
        <v>8400</v>
      </c>
      <c r="G1" s="8" t="s">
        <v>8401</v>
      </c>
      <c r="H1" s="8" t="s">
        <v>8402</v>
      </c>
    </row>
    <row r="2" spans="1:8" x14ac:dyDescent="0.2">
      <c r="A2" t="s">
        <v>8403</v>
      </c>
      <c r="B2">
        <f>COUNTIFS(Kickstarter!$D$2:$D$4115,"&lt;1000",Kickstarter!$F$2:$F$4115,"Successful", Kickstarter!$R$2:$R$4115, "plays")</f>
        <v>141</v>
      </c>
      <c r="C2">
        <f>COUNTIFS(Kickstarter!$D$2:$D$4115,"&lt;1000",Kickstarter!$F$2:$F$4115,"Failed", Kickstarter!$R$2:$R$4115, "plays")</f>
        <v>45</v>
      </c>
      <c r="D2">
        <f>COUNTIFS(Kickstarter!$D$2:$D$4115,"&lt;1000",Kickstarter!$F$2:$F$4115,"Canceled", Kickstarter!$R$2:$R$4115, "plays")</f>
        <v>0</v>
      </c>
      <c r="E2">
        <f>SUM(B2:D2)</f>
        <v>186</v>
      </c>
      <c r="F2" s="16">
        <f>B2/$E2</f>
        <v>0.75806451612903225</v>
      </c>
      <c r="G2" s="16">
        <f t="shared" ref="G2:H13" si="0">C2/$E2</f>
        <v>0.24193548387096775</v>
      </c>
      <c r="H2" s="16">
        <f t="shared" si="0"/>
        <v>0</v>
      </c>
    </row>
    <row r="3" spans="1:8" x14ac:dyDescent="0.2">
      <c r="A3" t="s">
        <v>8404</v>
      </c>
      <c r="B3">
        <f>COUNTIFS(Kickstarter!$D$2:$D$4115,"&gt;=1000", Kickstarter!$D$2:$D$4115,"&lt;=4999", Kickstarter!$F$2:$F$4115,"Successful", Kickstarter!$R$2:$R$4115, "plays")</f>
        <v>388</v>
      </c>
      <c r="C3">
        <f>COUNTIFS(Kickstarter!$D$2:$D$4115,"&gt;=1000", Kickstarter!$D$2:$D$4115,"&lt;=4999", Kickstarter!$F$2:$F$4115,"Failed", Kickstarter!$R$2:$R$4115, "plays")</f>
        <v>146</v>
      </c>
      <c r="D3">
        <f>COUNTIFS(Kickstarter!$D$2:$D$4115,"&gt;=1000", Kickstarter!$D$2:$D$4115,"&lt;=4999", Kickstarter!$F$2:$F$4115,"Canceled", Kickstarter!$R$2:$R$4115, "plays")</f>
        <v>0</v>
      </c>
      <c r="E3">
        <f t="shared" ref="E3:E13" si="1">SUM(B3:D3)</f>
        <v>534</v>
      </c>
      <c r="F3" s="16">
        <f t="shared" ref="F3:F13" si="2">B3/$E3</f>
        <v>0.72659176029962547</v>
      </c>
      <c r="G3" s="16">
        <f t="shared" si="0"/>
        <v>0.27340823970037453</v>
      </c>
      <c r="H3" s="16">
        <f t="shared" si="0"/>
        <v>0</v>
      </c>
    </row>
    <row r="4" spans="1:8" x14ac:dyDescent="0.2">
      <c r="A4" t="s">
        <v>8405</v>
      </c>
      <c r="B4">
        <f>COUNTIFS(Kickstarter!$D$2:$D$4115,"&gt;=5000", Kickstarter!$D$2:$D$4115,"&lt;=9999", Kickstarter!$F$2:$F$4115,"Successful", Kickstarter!$R$2:$R$4115, "plays")</f>
        <v>93</v>
      </c>
      <c r="C4">
        <f>COUNTIFS(Kickstarter!$D$2:$D$4115,"&gt;=5000", Kickstarter!$D$2:$D$4115,"&lt;=9999", Kickstarter!$F$2:$F$4115,"Failed", Kickstarter!$R$2:$R$4115, "plays")</f>
        <v>76</v>
      </c>
      <c r="D4">
        <f>COUNTIFS(Kickstarter!$D$2:$D$4115,"&gt;=5000", Kickstarter!$D$2:$D$4115,"&lt;=9999", Kickstarter!$F$2:$F$4115,"Canceled", Kickstarter!$R$2:$R$4115, "plays")</f>
        <v>0</v>
      </c>
      <c r="E4">
        <f t="shared" si="1"/>
        <v>169</v>
      </c>
      <c r="F4" s="16">
        <f t="shared" si="2"/>
        <v>0.55029585798816572</v>
      </c>
      <c r="G4" s="16">
        <f t="shared" si="0"/>
        <v>0.44970414201183434</v>
      </c>
      <c r="H4" s="16">
        <f t="shared" si="0"/>
        <v>0</v>
      </c>
    </row>
    <row r="5" spans="1:8" x14ac:dyDescent="0.2">
      <c r="A5" t="s">
        <v>8406</v>
      </c>
      <c r="B5">
        <f>COUNTIFS(Kickstarter!$D$2:$D$4115,"&gt;=10000", Kickstarter!$D$2:$D$4115,"&lt;=14999", Kickstarter!$F$2:$F$4115,"Successful", Kickstarter!$R$2:$R$4115, "plays")</f>
        <v>39</v>
      </c>
      <c r="C5">
        <f>COUNTIFS(Kickstarter!$D$2:$D$4115,"&gt;=10000", Kickstarter!$D$2:$D$4115,"&lt;=14999", Kickstarter!$F$2:$F$4115,"Failed", Kickstarter!$R$2:$R$4115, "plays")</f>
        <v>33</v>
      </c>
      <c r="D5">
        <f>COUNTIFS(Kickstarter!$D$2:$D$4115,"&gt;=10000", Kickstarter!$D$2:$D$4115,"&lt;=14999", Kickstarter!$F$2:$F$4115,"Canceled", Kickstarter!$R$2:$R$4115, "plays")</f>
        <v>0</v>
      </c>
      <c r="E5">
        <f t="shared" si="1"/>
        <v>72</v>
      </c>
      <c r="F5" s="16">
        <f t="shared" si="2"/>
        <v>0.54166666666666663</v>
      </c>
      <c r="G5" s="16">
        <f t="shared" si="0"/>
        <v>0.45833333333333331</v>
      </c>
      <c r="H5" s="16">
        <f t="shared" si="0"/>
        <v>0</v>
      </c>
    </row>
    <row r="6" spans="1:8" x14ac:dyDescent="0.2">
      <c r="A6" t="s">
        <v>8407</v>
      </c>
      <c r="B6">
        <f>COUNTIFS(Kickstarter!$D$2:$D$4115,"&gt;=15000", Kickstarter!$D$2:$D$4115,"&lt;=19999", Kickstarter!$F$2:$F$4115,"Successful", Kickstarter!$R$2:$R$4115, "plays")</f>
        <v>12</v>
      </c>
      <c r="C6">
        <f>COUNTIFS(Kickstarter!$D$2:$D$4115,"&gt;=15000", Kickstarter!$D$2:$D$4115,"&lt;=19999", Kickstarter!$F$2:$F$4115,"Failed", Kickstarter!$R$2:$R$4115, "plays")</f>
        <v>12</v>
      </c>
      <c r="D6">
        <f>COUNTIFS(Kickstarter!$D$2:$D$4115,"&gt;=15000", Kickstarter!$D$2:$D$4115,"&lt;=19999", Kickstarter!$F$2:$F$4115,"Canceled", Kickstarter!$R$2:$R$4115, "plays")</f>
        <v>0</v>
      </c>
      <c r="E6">
        <f t="shared" si="1"/>
        <v>24</v>
      </c>
      <c r="F6" s="16">
        <f t="shared" si="2"/>
        <v>0.5</v>
      </c>
      <c r="G6" s="16">
        <f t="shared" si="0"/>
        <v>0.5</v>
      </c>
      <c r="H6" s="16">
        <f t="shared" si="0"/>
        <v>0</v>
      </c>
    </row>
    <row r="7" spans="1:8" x14ac:dyDescent="0.2">
      <c r="A7" t="s">
        <v>8408</v>
      </c>
      <c r="B7">
        <f>COUNTIFS(Kickstarter!$D$2:$D$4115,"&gt;=20000", Kickstarter!$D$2:$D$4115,"&lt;=24999", Kickstarter!$F$2:$F$4115,"Successful", Kickstarter!$R$2:$R$4115, "plays")</f>
        <v>9</v>
      </c>
      <c r="C7">
        <f>COUNTIFS(Kickstarter!$D$2:$D$4115,"&gt;=20000", Kickstarter!$D$2:$D$4115,"&lt;=24999", Kickstarter!$F$2:$F$4115,"Failed", Kickstarter!$R$2:$R$4115, "plays")</f>
        <v>11</v>
      </c>
      <c r="D7">
        <f>COUNTIFS(Kickstarter!$D$2:$D$4115,"&gt;=20000", Kickstarter!$D$2:$D$4115,"&lt;=24999", Kickstarter!$F$2:$F$4115,"Canceled", Kickstarter!$R$2:$R$4115, "plays")</f>
        <v>0</v>
      </c>
      <c r="E7">
        <f t="shared" si="1"/>
        <v>20</v>
      </c>
      <c r="F7" s="16">
        <f t="shared" si="2"/>
        <v>0.45</v>
      </c>
      <c r="G7" s="16">
        <f t="shared" si="0"/>
        <v>0.55000000000000004</v>
      </c>
      <c r="H7" s="16">
        <f t="shared" si="0"/>
        <v>0</v>
      </c>
    </row>
    <row r="8" spans="1:8" x14ac:dyDescent="0.2">
      <c r="A8" t="s">
        <v>8409</v>
      </c>
      <c r="B8">
        <f>COUNTIFS(Kickstarter!$D$2:$D$4115,"&gt;=25000", Kickstarter!$D$2:$D$4115,"&lt;=29999", Kickstarter!$F$2:$F$4115,"Successful", Kickstarter!$R$2:$R$4115, "plays")</f>
        <v>1</v>
      </c>
      <c r="C8">
        <f>COUNTIFS(Kickstarter!$D$2:$D$4115,"&gt;=25000", Kickstarter!$D$2:$D$4115,"&lt;=29999", Kickstarter!$F$2:$F$4115,"Failed", Kickstarter!$R$2:$R$4115, "plays")</f>
        <v>4</v>
      </c>
      <c r="D8">
        <f>COUNTIFS(Kickstarter!$D$2:$D$4115,"&gt;=25000", Kickstarter!$D$2:$D$4115,"&lt;=29999", Kickstarter!$F$2:$F$4115,"Canceled", Kickstarter!$R$2:$R$4115, "plays")</f>
        <v>0</v>
      </c>
      <c r="E8">
        <f t="shared" si="1"/>
        <v>5</v>
      </c>
      <c r="F8" s="16">
        <f t="shared" si="2"/>
        <v>0.2</v>
      </c>
      <c r="G8" s="16">
        <f t="shared" si="0"/>
        <v>0.8</v>
      </c>
      <c r="H8" s="16">
        <f t="shared" si="0"/>
        <v>0</v>
      </c>
    </row>
    <row r="9" spans="1:8" x14ac:dyDescent="0.2">
      <c r="A9" t="s">
        <v>8410</v>
      </c>
      <c r="B9">
        <f>COUNTIFS(Kickstarter!$D$2:$D$4115,"&gt;=30000", Kickstarter!$D$2:$D$4115,"&lt;=34999", Kickstarter!$F$2:$F$4115,"Successful", Kickstarter!$R$2:$R$4115, "plays")</f>
        <v>3</v>
      </c>
      <c r="C9">
        <f>COUNTIFS(Kickstarter!$D$2:$D$4115,"&gt;=30000", Kickstarter!$D$2:$D$4115,"&lt;=34999", Kickstarter!$F$2:$F$4115,"Failed", Kickstarter!$R$2:$R$4115, "plays")</f>
        <v>8</v>
      </c>
      <c r="D9">
        <f>COUNTIFS(Kickstarter!$D$2:$D$4115,"&gt;=30000", Kickstarter!$D$2:$D$4115,"&lt;=34999", Kickstarter!$F$2:$F$4115,"Canceled", Kickstarter!$R$2:$R$4115, "plays")</f>
        <v>0</v>
      </c>
      <c r="E9">
        <f t="shared" si="1"/>
        <v>11</v>
      </c>
      <c r="F9" s="16">
        <f t="shared" si="2"/>
        <v>0.27272727272727271</v>
      </c>
      <c r="G9" s="16">
        <f>C9/$E9</f>
        <v>0.72727272727272729</v>
      </c>
      <c r="H9" s="16">
        <f t="shared" si="0"/>
        <v>0</v>
      </c>
    </row>
    <row r="10" spans="1:8" x14ac:dyDescent="0.2">
      <c r="A10" t="s">
        <v>8411</v>
      </c>
      <c r="B10">
        <f>COUNTIFS(Kickstarter!$D$2:$D$4115,"&gt;=35000", Kickstarter!$D$2:$D$4115,"&lt;=39999", Kickstarter!$F$2:$F$4115,"Successful", Kickstarter!$R$2:$R$4115, "plays")</f>
        <v>4</v>
      </c>
      <c r="C10">
        <f>COUNTIFS(Kickstarter!$D$2:$D$4115,"&gt;=35000", Kickstarter!$D$2:$D$4115,"&lt;=39999", Kickstarter!$F$2:$F$4115,"Failed", Kickstarter!$R$2:$R$4115, "plays")</f>
        <v>2</v>
      </c>
      <c r="D10">
        <f>COUNTIFS(Kickstarter!$D$2:$D$4115,"&gt;=35000", Kickstarter!$D$2:$D$4115,"&lt;=39999", Kickstarter!$F$2:$F$4115,"Canceled", Kickstarter!$R$2:$R$4115, "plays")</f>
        <v>0</v>
      </c>
      <c r="E10">
        <f t="shared" si="1"/>
        <v>6</v>
      </c>
      <c r="F10" s="16">
        <f t="shared" si="2"/>
        <v>0.66666666666666663</v>
      </c>
      <c r="G10" s="16">
        <f t="shared" si="0"/>
        <v>0.33333333333333331</v>
      </c>
      <c r="H10" s="16">
        <f>D10/$E10</f>
        <v>0</v>
      </c>
    </row>
    <row r="11" spans="1:8" x14ac:dyDescent="0.2">
      <c r="A11" t="s">
        <v>8412</v>
      </c>
      <c r="B11">
        <f>COUNTIFS(Kickstarter!$D$2:$D$4115,"&gt;=40000", Kickstarter!$D$2:$D$4115,"&lt;=44999", Kickstarter!$F$2:$F$4115,"Successful", Kickstarter!$R$2:$R$4115, "plays")</f>
        <v>2</v>
      </c>
      <c r="C11">
        <f>COUNTIFS(Kickstarter!$D$2:$D$4115,"&gt;=40000", Kickstarter!$D$2:$D$4115,"&lt;=44999", Kickstarter!$F$2:$F$4115,"Failed", Kickstarter!$R$2:$R$4115, "plays")</f>
        <v>1</v>
      </c>
      <c r="D11">
        <f>COUNTIFS(Kickstarter!$D$2:$D$4115,"&gt;=40000", Kickstarter!$D$2:$D$4115,"&lt;=44999", Kickstarter!$F$2:$F$4115,"Canceled", Kickstarter!$R$2:$R$4115, "plays")</f>
        <v>0</v>
      </c>
      <c r="E11">
        <f t="shared" si="1"/>
        <v>3</v>
      </c>
      <c r="F11" s="16">
        <f t="shared" si="2"/>
        <v>0.66666666666666663</v>
      </c>
      <c r="G11" s="16">
        <f t="shared" si="0"/>
        <v>0.33333333333333331</v>
      </c>
      <c r="H11" s="16">
        <f t="shared" si="0"/>
        <v>0</v>
      </c>
    </row>
    <row r="12" spans="1:8" x14ac:dyDescent="0.2">
      <c r="A12" t="s">
        <v>8413</v>
      </c>
      <c r="B12">
        <f>COUNTIFS(Kickstarter!$D$2:$D$4115,"&gt;=45000", Kickstarter!$D$2:$D$4115,"&lt;=49999", Kickstarter!$F$2:$F$4115,"Successful", Kickstarter!$R$2:$R$4115, "plays")</f>
        <v>0</v>
      </c>
      <c r="C12">
        <f>COUNTIFS(Kickstarter!$D$2:$D$4115,"&gt;=45000", Kickstarter!$D$2:$D$4115,"&lt;=49999", Kickstarter!$F$2:$F$4115,"Failed", Kickstarter!$R$2:$R$4115, "plays")</f>
        <v>1</v>
      </c>
      <c r="D12">
        <f>COUNTIFS(Kickstarter!$D$2:$D$4115,"&gt;=45000", Kickstarter!$D$2:$D$4115,"&lt;=49999", Kickstarter!$F$2:$F$4115,"Canceled", Kickstarter!$R$2:$R$4115, "plays")</f>
        <v>0</v>
      </c>
      <c r="E12">
        <f t="shared" si="1"/>
        <v>1</v>
      </c>
      <c r="F12" s="16">
        <f t="shared" si="2"/>
        <v>0</v>
      </c>
      <c r="G12" s="16">
        <f t="shared" si="0"/>
        <v>1</v>
      </c>
      <c r="H12" s="16">
        <f t="shared" si="0"/>
        <v>0</v>
      </c>
    </row>
    <row r="13" spans="1:8" x14ac:dyDescent="0.2">
      <c r="A13" t="s">
        <v>8414</v>
      </c>
      <c r="B13">
        <f>COUNTIFS(Kickstarter!$D$2:$D$4115,"&gt;=50000", Kickstarter!$F$2:$F$4115,"Successful", Kickstarter!$R$2:$R$4115, "plays")</f>
        <v>2</v>
      </c>
      <c r="C13">
        <f>COUNTIFS(Kickstarter!$D$2:$D$4115,"&gt;=50000", Kickstarter!$F$2:$F$4115,"Failed", Kickstarter!$R$2:$R$4115, "plays")</f>
        <v>14</v>
      </c>
      <c r="D13">
        <f>COUNTIFS(Kickstarter!$D$2:$D$4115,"&gt;=50000", Kickstarter!$F$2:$F$4115,"Canceled", Kickstarter!$R$2:$R$4115, "plays")</f>
        <v>0</v>
      </c>
      <c r="E13">
        <f t="shared" si="1"/>
        <v>16</v>
      </c>
      <c r="F13" s="16">
        <f t="shared" si="2"/>
        <v>0.125</v>
      </c>
      <c r="G13" s="16">
        <f t="shared" si="0"/>
        <v>0.875</v>
      </c>
      <c r="H13" s="16">
        <f t="shared" si="0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53CB2-F067-7D4D-9B38-CE78D9272BBC}">
  <dimension ref="A1:F6"/>
  <sheetViews>
    <sheetView workbookViewId="0">
      <selection activeCell="P9" sqref="P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">
      <c r="A6" s="12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9AC71-ED5D-6747-8D26-752F8BBEC536}">
  <dimension ref="A1:E7"/>
  <sheetViews>
    <sheetView workbookViewId="0">
      <selection activeCell="D5" sqref="D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>
        <v>70</v>
      </c>
      <c r="C6">
        <v>6</v>
      </c>
      <c r="D6">
        <v>238</v>
      </c>
      <c r="E6">
        <v>314</v>
      </c>
    </row>
    <row r="7" spans="1:5" x14ac:dyDescent="0.2">
      <c r="A7" s="12" t="s">
        <v>8361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63683-58AA-E84A-B6EE-211773D73674}">
  <dimension ref="A1:K19"/>
  <sheetViews>
    <sheetView workbookViewId="0">
      <selection activeCell="I26" sqref="I26"/>
    </sheetView>
  </sheetViews>
  <sheetFormatPr baseColWidth="10" defaultRowHeight="15" x14ac:dyDescent="0.2"/>
  <cols>
    <col min="1" max="1" width="13" bestFit="1" customWidth="1"/>
    <col min="2" max="2" width="15.6640625" bestFit="1" customWidth="1"/>
    <col min="3" max="3" width="14.83203125" bestFit="1" customWidth="1"/>
    <col min="4" max="4" width="15.6640625" bestFit="1" customWidth="1"/>
    <col min="5" max="5" width="14.83203125" bestFit="1" customWidth="1"/>
    <col min="6" max="6" width="15.6640625" bestFit="1" customWidth="1"/>
    <col min="7" max="7" width="14.83203125" bestFit="1" customWidth="1"/>
    <col min="8" max="8" width="15.6640625" bestFit="1" customWidth="1"/>
    <col min="9" max="9" width="14.83203125" bestFit="1" customWidth="1"/>
    <col min="10" max="10" width="20" bestFit="1" customWidth="1"/>
    <col min="11" max="11" width="19.1640625" bestFit="1" customWidth="1"/>
  </cols>
  <sheetData>
    <row r="1" spans="1:11" x14ac:dyDescent="0.2">
      <c r="A1" s="11" t="s">
        <v>8358</v>
      </c>
      <c r="B1" t="s">
        <v>8315</v>
      </c>
    </row>
    <row r="2" spans="1:11" x14ac:dyDescent="0.2">
      <c r="A2" s="11" t="s">
        <v>8382</v>
      </c>
      <c r="B2" t="s">
        <v>8364</v>
      </c>
    </row>
    <row r="4" spans="1:11" x14ac:dyDescent="0.2">
      <c r="B4" s="11" t="s">
        <v>8360</v>
      </c>
    </row>
    <row r="5" spans="1:11" x14ac:dyDescent="0.2">
      <c r="B5" t="s">
        <v>8219</v>
      </c>
      <c r="D5" t="s">
        <v>8220</v>
      </c>
      <c r="F5" t="s">
        <v>8221</v>
      </c>
      <c r="H5" t="s">
        <v>8218</v>
      </c>
      <c r="J5" t="s">
        <v>8379</v>
      </c>
      <c r="K5" t="s">
        <v>8380</v>
      </c>
    </row>
    <row r="6" spans="1:11" x14ac:dyDescent="0.2">
      <c r="A6" s="11" t="s">
        <v>8362</v>
      </c>
      <c r="B6" t="s">
        <v>8363</v>
      </c>
      <c r="C6" t="s">
        <v>8381</v>
      </c>
      <c r="D6" t="s">
        <v>8363</v>
      </c>
      <c r="E6" t="s">
        <v>8381</v>
      </c>
      <c r="F6" t="s">
        <v>8363</v>
      </c>
      <c r="G6" t="s">
        <v>8381</v>
      </c>
      <c r="H6" t="s">
        <v>8363</v>
      </c>
      <c r="I6" t="s">
        <v>8381</v>
      </c>
    </row>
    <row r="7" spans="1:11" x14ac:dyDescent="0.2">
      <c r="A7" s="15" t="s">
        <v>8373</v>
      </c>
      <c r="B7">
        <v>7</v>
      </c>
      <c r="C7">
        <v>7</v>
      </c>
      <c r="D7">
        <v>33</v>
      </c>
      <c r="E7">
        <v>33</v>
      </c>
      <c r="F7">
        <v>2</v>
      </c>
      <c r="G7">
        <v>2</v>
      </c>
      <c r="H7">
        <v>56</v>
      </c>
      <c r="I7">
        <v>56</v>
      </c>
      <c r="J7">
        <v>98</v>
      </c>
      <c r="K7">
        <v>98</v>
      </c>
    </row>
    <row r="8" spans="1:11" x14ac:dyDescent="0.2">
      <c r="A8" s="15" t="s">
        <v>8374</v>
      </c>
      <c r="B8">
        <v>3</v>
      </c>
      <c r="C8">
        <v>3</v>
      </c>
      <c r="D8">
        <v>39</v>
      </c>
      <c r="E8">
        <v>39</v>
      </c>
      <c r="F8">
        <v>8</v>
      </c>
      <c r="G8">
        <v>8</v>
      </c>
      <c r="H8">
        <v>71</v>
      </c>
      <c r="I8">
        <v>71</v>
      </c>
      <c r="J8">
        <v>121</v>
      </c>
      <c r="K8">
        <v>121</v>
      </c>
    </row>
    <row r="9" spans="1:11" x14ac:dyDescent="0.2">
      <c r="A9" s="15" t="s">
        <v>8375</v>
      </c>
      <c r="B9">
        <v>3</v>
      </c>
      <c r="C9">
        <v>3</v>
      </c>
      <c r="D9">
        <v>33</v>
      </c>
      <c r="E9">
        <v>33</v>
      </c>
      <c r="F9">
        <v>14</v>
      </c>
      <c r="G9">
        <v>14</v>
      </c>
      <c r="H9">
        <v>56</v>
      </c>
      <c r="I9">
        <v>56</v>
      </c>
      <c r="J9">
        <v>106</v>
      </c>
      <c r="K9">
        <v>106</v>
      </c>
    </row>
    <row r="10" spans="1:11" x14ac:dyDescent="0.2">
      <c r="A10" s="15" t="s">
        <v>8376</v>
      </c>
      <c r="B10">
        <v>2</v>
      </c>
      <c r="C10">
        <v>2</v>
      </c>
      <c r="D10">
        <v>40</v>
      </c>
      <c r="E10">
        <v>40</v>
      </c>
      <c r="H10">
        <v>71</v>
      </c>
      <c r="I10">
        <v>71</v>
      </c>
      <c r="J10">
        <v>113</v>
      </c>
      <c r="K10">
        <v>113</v>
      </c>
    </row>
    <row r="11" spans="1:11" x14ac:dyDescent="0.2">
      <c r="A11" s="15" t="s">
        <v>8367</v>
      </c>
      <c r="B11">
        <v>3</v>
      </c>
      <c r="C11">
        <v>3</v>
      </c>
      <c r="D11">
        <v>52</v>
      </c>
      <c r="E11">
        <v>52</v>
      </c>
      <c r="H11">
        <v>111</v>
      </c>
      <c r="I11">
        <v>111</v>
      </c>
      <c r="J11">
        <v>166</v>
      </c>
      <c r="K11">
        <v>166</v>
      </c>
    </row>
    <row r="12" spans="1:11" x14ac:dyDescent="0.2">
      <c r="A12" s="15" t="s">
        <v>8377</v>
      </c>
      <c r="B12">
        <v>4</v>
      </c>
      <c r="C12">
        <v>4</v>
      </c>
      <c r="D12">
        <v>49</v>
      </c>
      <c r="E12">
        <v>49</v>
      </c>
      <c r="H12">
        <v>100</v>
      </c>
      <c r="I12">
        <v>100</v>
      </c>
      <c r="J12">
        <v>153</v>
      </c>
      <c r="K12">
        <v>153</v>
      </c>
    </row>
    <row r="13" spans="1:11" x14ac:dyDescent="0.2">
      <c r="A13" s="15" t="s">
        <v>8368</v>
      </c>
      <c r="B13">
        <v>1</v>
      </c>
      <c r="C13">
        <v>1</v>
      </c>
      <c r="D13">
        <v>50</v>
      </c>
      <c r="E13">
        <v>50</v>
      </c>
      <c r="H13">
        <v>87</v>
      </c>
      <c r="I13">
        <v>87</v>
      </c>
      <c r="J13">
        <v>138</v>
      </c>
      <c r="K13">
        <v>138</v>
      </c>
    </row>
    <row r="14" spans="1:11" x14ac:dyDescent="0.2">
      <c r="A14" s="15" t="s">
        <v>8369</v>
      </c>
      <c r="B14">
        <v>4</v>
      </c>
      <c r="C14">
        <v>4</v>
      </c>
      <c r="D14">
        <v>47</v>
      </c>
      <c r="E14">
        <v>47</v>
      </c>
      <c r="H14">
        <v>72</v>
      </c>
      <c r="I14">
        <v>72</v>
      </c>
      <c r="J14">
        <v>123</v>
      </c>
      <c r="K14">
        <v>123</v>
      </c>
    </row>
    <row r="15" spans="1:11" x14ac:dyDescent="0.2">
      <c r="A15" s="15" t="s">
        <v>8370</v>
      </c>
      <c r="B15">
        <v>4</v>
      </c>
      <c r="C15">
        <v>4</v>
      </c>
      <c r="D15">
        <v>34</v>
      </c>
      <c r="E15">
        <v>34</v>
      </c>
      <c r="H15">
        <v>59</v>
      </c>
      <c r="I15">
        <v>59</v>
      </c>
      <c r="J15">
        <v>97</v>
      </c>
      <c r="K15">
        <v>97</v>
      </c>
    </row>
    <row r="16" spans="1:11" x14ac:dyDescent="0.2">
      <c r="A16" s="15" t="s">
        <v>8371</v>
      </c>
      <c r="D16">
        <v>50</v>
      </c>
      <c r="E16">
        <v>50</v>
      </c>
      <c r="H16">
        <v>65</v>
      </c>
      <c r="I16">
        <v>65</v>
      </c>
      <c r="J16">
        <v>115</v>
      </c>
      <c r="K16">
        <v>115</v>
      </c>
    </row>
    <row r="17" spans="1:11" x14ac:dyDescent="0.2">
      <c r="A17" s="15" t="s">
        <v>8372</v>
      </c>
      <c r="B17">
        <v>3</v>
      </c>
      <c r="C17">
        <v>3</v>
      </c>
      <c r="D17">
        <v>31</v>
      </c>
      <c r="E17">
        <v>31</v>
      </c>
      <c r="H17">
        <v>54</v>
      </c>
      <c r="I17">
        <v>54</v>
      </c>
      <c r="J17">
        <v>88</v>
      </c>
      <c r="K17">
        <v>88</v>
      </c>
    </row>
    <row r="18" spans="1:11" x14ac:dyDescent="0.2">
      <c r="A18" s="15" t="s">
        <v>8378</v>
      </c>
      <c r="B18">
        <v>3</v>
      </c>
      <c r="C18">
        <v>3</v>
      </c>
      <c r="D18">
        <v>35</v>
      </c>
      <c r="E18">
        <v>35</v>
      </c>
      <c r="H18">
        <v>37</v>
      </c>
      <c r="I18">
        <v>37</v>
      </c>
      <c r="J18">
        <v>75</v>
      </c>
      <c r="K18">
        <v>75</v>
      </c>
    </row>
    <row r="19" spans="1:11" x14ac:dyDescent="0.2">
      <c r="A19" s="15" t="s">
        <v>8361</v>
      </c>
      <c r="B19">
        <v>37</v>
      </c>
      <c r="C19">
        <v>37</v>
      </c>
      <c r="D19">
        <v>493</v>
      </c>
      <c r="E19">
        <v>493</v>
      </c>
      <c r="F19">
        <v>24</v>
      </c>
      <c r="G19">
        <v>24</v>
      </c>
      <c r="H19">
        <v>839</v>
      </c>
      <c r="I19">
        <v>839</v>
      </c>
      <c r="J19">
        <v>1393</v>
      </c>
      <c r="K19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C5062-C465-8B43-A26D-5B4A67B8DDD9}">
  <dimension ref="A1:D6"/>
  <sheetViews>
    <sheetView workbookViewId="0">
      <selection activeCell="A3" sqref="A3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4" x14ac:dyDescent="0.2">
      <c r="A1" s="8" t="s">
        <v>8383</v>
      </c>
      <c r="B1" s="8" t="s">
        <v>4110</v>
      </c>
      <c r="C1" t="s">
        <v>8384</v>
      </c>
      <c r="D1" t="s">
        <v>8385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04953-9A87-C442-B073-FF273BF11FAD}">
  <dimension ref="A1:C10"/>
  <sheetViews>
    <sheetView workbookViewId="0">
      <selection activeCell="B2" sqref="B2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8390</v>
      </c>
      <c r="C1" t="s">
        <v>8391</v>
      </c>
    </row>
    <row r="2" spans="1:3" x14ac:dyDescent="0.2">
      <c r="A2" t="s">
        <v>8386</v>
      </c>
      <c r="B2" s="5" t="e">
        <f>AVERAGE(#REF!)</f>
        <v>#REF!</v>
      </c>
      <c r="C2" s="5" t="e">
        <f>AVERAGE(#REF!)</f>
        <v>#REF!</v>
      </c>
    </row>
    <row r="3" spans="1:3" x14ac:dyDescent="0.2">
      <c r="A3" t="s">
        <v>8387</v>
      </c>
      <c r="B3" s="5" t="e">
        <f>MEDIAN(#REF!)</f>
        <v>#REF!</v>
      </c>
      <c r="C3" s="5" t="e">
        <f>MEDIAN(#REF!)</f>
        <v>#REF!</v>
      </c>
    </row>
    <row r="5" spans="1:3" x14ac:dyDescent="0.2">
      <c r="A5" t="s">
        <v>8388</v>
      </c>
      <c r="B5" s="5" t="e">
        <f>AVERAGE(#REF!)</f>
        <v>#REF!</v>
      </c>
      <c r="C5" s="7" t="e">
        <f>AVERAGE(#REF!)</f>
        <v>#REF!</v>
      </c>
    </row>
    <row r="6" spans="1:3" x14ac:dyDescent="0.2">
      <c r="A6" t="s">
        <v>8389</v>
      </c>
      <c r="B6" s="7" t="e">
        <f>MEDIAN(#REF!)</f>
        <v>#REF!</v>
      </c>
      <c r="C6" s="7" t="e">
        <f>MEDIAN(#REF!)</f>
        <v>#REF!</v>
      </c>
    </row>
    <row r="7" spans="1:3" x14ac:dyDescent="0.2">
      <c r="A7" t="s">
        <v>8392</v>
      </c>
      <c r="B7" s="7" t="e">
        <f>_xlfn.STDEV.P(#REF!)</f>
        <v>#REF!</v>
      </c>
      <c r="C7" s="7" t="e">
        <f>_xlfn.STDEV.P(#REF!)</f>
        <v>#REF!</v>
      </c>
    </row>
    <row r="8" spans="1:3" x14ac:dyDescent="0.2">
      <c r="A8" t="s">
        <v>8393</v>
      </c>
      <c r="B8" s="7" t="e">
        <f>_xlfn.QUARTILE.EXC(#REF!, 3)</f>
        <v>#REF!</v>
      </c>
      <c r="C8" s="7" t="e">
        <f>_xlfn.QUARTILE.EXC(#REF!, 3)</f>
        <v>#REF!</v>
      </c>
    </row>
    <row r="9" spans="1:3" x14ac:dyDescent="0.2">
      <c r="A9" t="s">
        <v>8394</v>
      </c>
      <c r="B9" s="7" t="e">
        <f>_xlfn.QUARTILE.EXC(#REF!, 1)</f>
        <v>#REF!</v>
      </c>
      <c r="C9" s="7" t="e">
        <f>_xlfn.QUARTILE.EXC(#REF!, 1)</f>
        <v>#REF!</v>
      </c>
    </row>
    <row r="10" spans="1:3" x14ac:dyDescent="0.2">
      <c r="A10" t="s">
        <v>8395</v>
      </c>
      <c r="B10" s="7" t="e">
        <f>B8-B9</f>
        <v>#REF!</v>
      </c>
      <c r="C10" s="7" t="e">
        <f>C8-C9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 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2022-10-10T16:42:09Z</dcterms:modified>
</cp:coreProperties>
</file>