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date1904="1"/>
  <mc:AlternateContent xmlns:mc="http://schemas.openxmlformats.org/markup-compatibility/2006">
    <mc:Choice Requires="x15">
      <x15ac:absPath xmlns:x15ac="http://schemas.microsoft.com/office/spreadsheetml/2010/11/ac" url="/Users/jjlee/Local/src/mlcvl/mlraichle/data/"/>
    </mc:Choice>
  </mc:AlternateContent>
  <bookViews>
    <workbookView xWindow="2740" yWindow="440" windowWidth="30840" windowHeight="20460" firstSheet="9" activeTab="14"/>
  </bookViews>
  <sheets>
    <sheet name="Export Summary" sheetId="1" r:id="rId1"/>
    <sheet name="Radiation Counts Log - Table 1" sheetId="2" r:id="rId2"/>
    <sheet name="Radiation Counts Log - Statisti" sheetId="3" r:id="rId3"/>
    <sheet name="Radiation Counts Log - Runs" sheetId="4" r:id="rId4"/>
    <sheet name="Radiation Counts Log - Runs-1" sheetId="5" r:id="rId5"/>
    <sheet name="Radiation Counts Log - Runs-2" sheetId="6" r:id="rId6"/>
    <sheet name="Radiation Counts Log - Drawings" sheetId="7" r:id="rId7"/>
    <sheet name="Twilite Calibration - Table 1" sheetId="8" r:id="rId8"/>
    <sheet name="Twilite Calibration - Runs" sheetId="9" r:id="rId9"/>
    <sheet name="Twilite Calibration - Runs-2" sheetId="10" r:id="rId10"/>
    <sheet name="Twilite Calibration - Runs-2-1" sheetId="11" r:id="rId11"/>
    <sheet name="Twilite Calibration - Runs-2-2" sheetId="12" r:id="rId12"/>
    <sheet name="Twilite Calibration - Runs-2-1-" sheetId="13" r:id="rId13"/>
    <sheet name="Twilite Calibration - Runs-2-11" sheetId="14" r:id="rId14"/>
    <sheet name="Twilite Calibration - Runs-2-12" sheetId="15" r:id="rId15"/>
    <sheet name="Twilite Calibration - Drawings" sheetId="16" r:id="rId1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5" l="1"/>
  <c r="B3" i="15"/>
  <c r="J4" i="14"/>
  <c r="J3" i="14"/>
  <c r="J2" i="14"/>
  <c r="J5" i="13"/>
  <c r="D5" i="13"/>
  <c r="G5" i="13"/>
  <c r="H5" i="13"/>
  <c r="B5" i="13"/>
  <c r="J4" i="13"/>
  <c r="D4" i="13"/>
  <c r="G4" i="13"/>
  <c r="H4" i="13"/>
  <c r="B4" i="13"/>
  <c r="J3" i="13"/>
  <c r="D3" i="13"/>
  <c r="G3" i="13"/>
  <c r="H3" i="13"/>
  <c r="B3" i="13"/>
  <c r="Q5" i="12"/>
  <c r="R5" i="12"/>
  <c r="N5" i="12"/>
  <c r="O5" i="12"/>
  <c r="Q4" i="12"/>
  <c r="R4" i="12"/>
  <c r="N4" i="12"/>
  <c r="O4" i="12"/>
  <c r="Q3" i="12"/>
  <c r="R3" i="12"/>
  <c r="N3" i="12"/>
  <c r="O3" i="12"/>
  <c r="D3" i="8"/>
  <c r="D2" i="8"/>
  <c r="D1" i="8"/>
  <c r="C8" i="6"/>
  <c r="C7" i="6"/>
  <c r="C6" i="6"/>
  <c r="C5" i="6"/>
  <c r="C4" i="6"/>
  <c r="C3" i="6"/>
  <c r="C2" i="6"/>
  <c r="N6" i="5"/>
  <c r="O6" i="5"/>
  <c r="G6" i="5"/>
  <c r="N5" i="5"/>
  <c r="O5" i="5"/>
  <c r="N4" i="5"/>
  <c r="O4" i="5"/>
  <c r="G4" i="5"/>
  <c r="N3" i="5"/>
  <c r="O3" i="5"/>
  <c r="N40" i="4"/>
  <c r="O40" i="4"/>
  <c r="A40" i="4"/>
  <c r="N39" i="4"/>
  <c r="O39" i="4"/>
  <c r="A39" i="4"/>
  <c r="N38" i="4"/>
  <c r="O38" i="4"/>
  <c r="A38" i="4"/>
  <c r="N37" i="4"/>
  <c r="O37" i="4"/>
  <c r="A37" i="4"/>
  <c r="N36" i="4"/>
  <c r="O36" i="4"/>
  <c r="A36" i="4"/>
  <c r="N35" i="4"/>
  <c r="O35" i="4"/>
  <c r="A35" i="4"/>
  <c r="N34" i="4"/>
  <c r="O34" i="4"/>
  <c r="A34" i="4"/>
  <c r="N33" i="4"/>
  <c r="O33" i="4"/>
  <c r="A33" i="4"/>
  <c r="N32" i="4"/>
  <c r="O32" i="4"/>
  <c r="A32" i="4"/>
  <c r="N31" i="4"/>
  <c r="O31" i="4"/>
  <c r="A31" i="4"/>
  <c r="N30" i="4"/>
  <c r="O30" i="4"/>
  <c r="A30" i="4"/>
  <c r="N29" i="4"/>
  <c r="O29" i="4"/>
  <c r="A29" i="4"/>
  <c r="N28" i="4"/>
  <c r="O28" i="4"/>
  <c r="A28" i="4"/>
  <c r="N27" i="4"/>
  <c r="O27" i="4"/>
  <c r="A27" i="4"/>
  <c r="N26" i="4"/>
  <c r="O26" i="4"/>
  <c r="A26" i="4"/>
  <c r="N25" i="4"/>
  <c r="O25" i="4"/>
  <c r="A25" i="4"/>
  <c r="N24" i="4"/>
  <c r="O24" i="4"/>
  <c r="A24" i="4"/>
  <c r="N23" i="4"/>
  <c r="O23" i="4"/>
  <c r="A23" i="4"/>
  <c r="N22" i="4"/>
  <c r="O22" i="4"/>
  <c r="A22" i="4"/>
  <c r="N21" i="4"/>
  <c r="O21" i="4"/>
  <c r="A21" i="4"/>
  <c r="N20" i="4"/>
  <c r="O20" i="4"/>
  <c r="A20" i="4"/>
  <c r="N19" i="4"/>
  <c r="O19" i="4"/>
  <c r="A19" i="4"/>
  <c r="N18" i="4"/>
  <c r="O18" i="4"/>
  <c r="A18" i="4"/>
  <c r="N17" i="4"/>
  <c r="O17" i="4"/>
  <c r="A17" i="4"/>
  <c r="N16" i="4"/>
  <c r="O16" i="4"/>
  <c r="A16" i="4"/>
  <c r="N15" i="4"/>
  <c r="O15" i="4"/>
  <c r="A15" i="4"/>
  <c r="N14" i="4"/>
  <c r="O14" i="4"/>
  <c r="A14" i="4"/>
  <c r="N13" i="4"/>
  <c r="O13" i="4"/>
  <c r="A13" i="4"/>
  <c r="N12" i="4"/>
  <c r="O12" i="4"/>
  <c r="A12" i="4"/>
  <c r="N11" i="4"/>
  <c r="O11" i="4"/>
  <c r="A11" i="4"/>
  <c r="N10" i="4"/>
  <c r="O10" i="4"/>
  <c r="A10" i="4"/>
  <c r="N9" i="4"/>
  <c r="O9" i="4"/>
  <c r="A9" i="4"/>
  <c r="N8" i="4"/>
  <c r="O8" i="4"/>
  <c r="A8" i="4"/>
  <c r="N7" i="4"/>
  <c r="O7" i="4"/>
  <c r="A7" i="4"/>
  <c r="N6" i="4"/>
  <c r="O6" i="4"/>
  <c r="A6" i="4"/>
  <c r="N5" i="4"/>
  <c r="O5" i="4"/>
  <c r="A5" i="4"/>
  <c r="N4" i="4"/>
  <c r="O4" i="4"/>
  <c r="A4" i="4"/>
  <c r="N3" i="4"/>
  <c r="O3" i="4"/>
  <c r="A3" i="4"/>
  <c r="D6" i="3"/>
  <c r="C6" i="3"/>
  <c r="B6" i="3"/>
  <c r="D4" i="3"/>
  <c r="C4" i="3"/>
  <c r="B4" i="3"/>
  <c r="F2" i="3"/>
  <c r="E2" i="3"/>
  <c r="D2" i="3"/>
  <c r="C2" i="3"/>
  <c r="B2" i="3"/>
  <c r="A2" i="3"/>
  <c r="D3" i="2"/>
</calcChain>
</file>

<file path=xl/sharedStrings.xml><?xml version="1.0" encoding="utf-8"?>
<sst xmlns="http://schemas.openxmlformats.org/spreadsheetml/2006/main" count="247" uniqueCount="146">
  <si>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</si>
  <si>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</si>
  <si>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</si>
  <si>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</si>
  <si>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Radiation Counts Log</t>
  </si>
  <si>
    <t>Table 1</t>
  </si>
  <si>
    <t>Radiation Counts Log - Table 1</t>
  </si>
  <si>
    <t>DATE:</t>
  </si>
  <si>
    <t>PROJECT ID:</t>
  </si>
  <si>
    <t>CCIR_00754</t>
  </si>
  <si>
    <t>SUBJECT ID:</t>
  </si>
  <si>
    <t>HYGLY28</t>
  </si>
  <si>
    <t>PRINCIPLE INVESTIGATOR:</t>
  </si>
  <si>
    <t>Arbelaez</t>
  </si>
  <si>
    <t>ISOTOPES:</t>
  </si>
  <si>
    <t>DOSES DELIVERED / mCi:</t>
  </si>
  <si>
    <t>OPERATOR:</t>
  </si>
  <si>
    <t>JJL</t>
  </si>
  <si>
    <t>Statistics</t>
  </si>
  <si>
    <t>Radiation Counts Log - Statisti</t>
  </si>
  <si>
    <t>ELAPSED TIME</t>
  </si>
  <si>
    <t>MAX W-01 / KCPM</t>
  </si>
  <si>
    <t>MAX CF / KDPM</t>
  </si>
  <si>
    <t>MAX GE-68 / KDPM</t>
  </si>
  <si>
    <t>Σ GE-68 / mCi</t>
  </si>
  <si>
    <t>Σ WEIGHT SMPL / G</t>
  </si>
  <si>
    <t>MEDIAN W-01 / KCPM</t>
  </si>
  <si>
    <t>MEDIAN CF / KDPM</t>
  </si>
  <si>
    <t>MEDIAN GE-68 / KDPM</t>
  </si>
  <si>
    <t>MIN W-01 / KCPM</t>
  </si>
  <si>
    <t>MIN CF / KDPM</t>
  </si>
  <si>
    <t>MIN GE-68 / KDPM</t>
  </si>
  <si>
    <t>Runs</t>
  </si>
  <si>
    <t>Radiation Counts Log - Runs</t>
  </si>
  <si>
    <t>TUBE</t>
  </si>
  <si>
    <r>
      <rPr>
        <b/>
        <sz val="10"/>
        <color indexed="8"/>
        <rFont val="Helvetica Neue"/>
      </rPr>
      <t>Time</t>
    </r>
    <r>
      <rPr>
        <b/>
        <sz val="10"/>
        <color indexed="8"/>
        <rFont val="Helvetica Neue"/>
      </rPr>
      <t xml:space="preserve"> / hh:mm:ss</t>
    </r>
  </si>
  <si>
    <r>
      <rPr>
        <b/>
        <sz val="10"/>
        <color indexed="8"/>
        <rFont val="Helvetica Neue"/>
      </rPr>
      <t xml:space="preserve">COUNTS / </t>
    </r>
    <r>
      <rPr>
        <b/>
        <sz val="10"/>
        <color indexed="8"/>
        <rFont val="Helvetica Neue"/>
      </rPr>
      <t>cpm</t>
    </r>
  </si>
  <si>
    <r>
      <rPr>
        <b/>
        <sz val="10"/>
        <color indexed="8"/>
        <rFont val="Helvetica Neue"/>
      </rPr>
      <t xml:space="preserve">counts S.E. </t>
    </r>
    <r>
      <rPr>
        <b/>
        <sz val="10"/>
        <color indexed="8"/>
        <rFont val="Helvetica Neue"/>
      </rPr>
      <t xml:space="preserve">/ </t>
    </r>
    <r>
      <rPr>
        <b/>
        <sz val="10"/>
        <color indexed="8"/>
        <rFont val="Helvetica Neue"/>
      </rPr>
      <t>cpm</t>
    </r>
  </si>
  <si>
    <t>ENTERED</t>
  </si>
  <si>
    <t>TRACER</t>
  </si>
  <si>
    <r>
      <rPr>
        <b/>
        <sz val="10"/>
        <color indexed="8"/>
        <rFont val="Helvetica Neue"/>
      </rPr>
      <t xml:space="preserve">TIME DRAWN / </t>
    </r>
    <r>
      <rPr>
        <b/>
        <sz val="10"/>
        <color indexed="8"/>
        <rFont val="Helvetica Neue"/>
      </rPr>
      <t>hh:mm:ss</t>
    </r>
  </si>
  <si>
    <r>
      <rPr>
        <b/>
        <sz val="10"/>
        <color indexed="8"/>
        <rFont val="Helvetica Neue"/>
      </rPr>
      <t xml:space="preserve">TIME COUNTED / </t>
    </r>
    <r>
      <rPr>
        <b/>
        <sz val="10"/>
        <color indexed="8"/>
        <rFont val="Helvetica Neue"/>
      </rPr>
      <t>hh:mm:ss</t>
    </r>
  </si>
  <si>
    <r>
      <rPr>
        <b/>
        <sz val="10"/>
        <color indexed="8"/>
        <rFont val="Helvetica Neue"/>
      </rPr>
      <t xml:space="preserve">W-01 /  </t>
    </r>
    <r>
      <rPr>
        <b/>
        <sz val="10"/>
        <color indexed="8"/>
        <rFont val="Helvetica Neue"/>
      </rPr>
      <t>kcpm</t>
    </r>
  </si>
  <si>
    <r>
      <rPr>
        <b/>
        <sz val="10"/>
        <color indexed="8"/>
        <rFont val="Helvetica Neue"/>
      </rPr>
      <t xml:space="preserve">CF / </t>
    </r>
    <r>
      <rPr>
        <b/>
        <sz val="10"/>
        <color indexed="8"/>
        <rFont val="Helvetica Neue"/>
      </rPr>
      <t>kdpm</t>
    </r>
  </si>
  <si>
    <r>
      <rPr>
        <b/>
        <sz val="10"/>
        <color indexed="8"/>
        <rFont val="Helvetica Neue"/>
      </rPr>
      <t xml:space="preserve">Ge-68 / </t>
    </r>
    <r>
      <rPr>
        <b/>
        <sz val="10"/>
        <color indexed="8"/>
        <rFont val="Helvetica Neue"/>
      </rPr>
      <t>kdpm</t>
    </r>
  </si>
  <si>
    <r>
      <rPr>
        <b/>
        <sz val="10"/>
        <color indexed="8"/>
        <rFont val="Helvetica Neue"/>
      </rPr>
      <t xml:space="preserve">MASS DRY / </t>
    </r>
    <r>
      <rPr>
        <b/>
        <sz val="10"/>
        <color indexed="8"/>
        <rFont val="Helvetica Neue"/>
      </rPr>
      <t>g</t>
    </r>
  </si>
  <si>
    <r>
      <rPr>
        <b/>
        <sz val="10"/>
        <color indexed="8"/>
        <rFont val="Helvetica Neue"/>
      </rPr>
      <t xml:space="preserve">MASS WET / </t>
    </r>
    <r>
      <rPr>
        <b/>
        <sz val="10"/>
        <color indexed="8"/>
        <rFont val="Helvetica Neue"/>
      </rPr>
      <t>g</t>
    </r>
  </si>
  <si>
    <t>MASS SAMPLE / G</t>
  </si>
  <si>
    <r>
      <rPr>
        <b/>
        <sz val="10"/>
        <color indexed="8"/>
        <rFont val="Helvetica Neue"/>
      </rPr>
      <t xml:space="preserve">aperture corr </t>
    </r>
    <r>
      <rPr>
        <b/>
        <sz val="10"/>
        <color indexed="8"/>
        <rFont val="Helvetica Neue"/>
      </rPr>
      <t xml:space="preserve">Ge-68 / </t>
    </r>
    <r>
      <rPr>
        <b/>
        <sz val="10"/>
        <color indexed="8"/>
        <rFont val="Helvetica Neue"/>
      </rPr>
      <t>kdpm / g</t>
    </r>
  </si>
  <si>
    <t>TRUE DECAY &amp; APERTURE CORR Ge-68 / kdpm / g</t>
  </si>
  <si>
    <t>COMMENTS</t>
  </si>
  <si>
    <t>[18F]DG</t>
  </si>
  <si>
    <t>too high</t>
  </si>
  <si>
    <t>error w-01 vs ge68</t>
  </si>
  <si>
    <t>Runs-1</t>
  </si>
  <si>
    <t>Radiation Counts Log - Runs-1</t>
  </si>
  <si>
    <r>
      <rPr>
        <b/>
        <sz val="10"/>
        <color indexed="8"/>
        <rFont val="Helvetica Neue"/>
      </rPr>
      <t>Mass sample</t>
    </r>
    <r>
      <rPr>
        <b/>
        <sz val="10"/>
        <color indexed="8"/>
        <rFont val="Helvetica Neue"/>
      </rPr>
      <t xml:space="preserve"> / </t>
    </r>
    <r>
      <rPr>
        <b/>
        <sz val="10"/>
        <color indexed="8"/>
        <rFont val="Helvetica Neue"/>
      </rPr>
      <t>g</t>
    </r>
  </si>
  <si>
    <r>
      <rPr>
        <b/>
        <sz val="10"/>
        <color indexed="8"/>
        <rFont val="Helvetica Neue"/>
      </rPr>
      <t xml:space="preserve">DECAY &amp; APERTURE CORR Ge-68 / </t>
    </r>
    <r>
      <rPr>
        <b/>
        <sz val="10"/>
        <color indexed="8"/>
        <rFont val="Helvetica Neue"/>
      </rPr>
      <t>kdpm / g</t>
    </r>
  </si>
  <si>
    <t>O[15O]</t>
  </si>
  <si>
    <t>P1</t>
  </si>
  <si>
    <t>Plasma</t>
  </si>
  <si>
    <t>P2</t>
  </si>
  <si>
    <t>Runs-2</t>
  </si>
  <si>
    <t>Radiation Counts Log - Runs-2</t>
  </si>
  <si>
    <r>
      <rPr>
        <b/>
        <sz val="10"/>
        <color indexed="8"/>
        <rFont val="Helvetica Neue"/>
      </rPr>
      <t xml:space="preserve">ADMINistration time / </t>
    </r>
    <r>
      <rPr>
        <b/>
        <sz val="10"/>
        <color indexed="8"/>
        <rFont val="Helvetica Neue"/>
      </rPr>
      <t>hh:mm:ss</t>
    </r>
  </si>
  <si>
    <r>
      <rPr>
        <b/>
        <sz val="10"/>
        <color indexed="8"/>
        <rFont val="Helvetica Neue"/>
      </rPr>
      <t xml:space="preserve">True Admin. time / </t>
    </r>
    <r>
      <rPr>
        <b/>
        <sz val="10"/>
        <color indexed="8"/>
        <rFont val="Helvetica Neue"/>
      </rPr>
      <t>hh:mm:ss</t>
    </r>
  </si>
  <si>
    <r>
      <rPr>
        <b/>
        <sz val="10"/>
        <color indexed="8"/>
        <rFont val="Helvetica Neue"/>
      </rPr>
      <t xml:space="preserve">dose / </t>
    </r>
    <r>
      <rPr>
        <b/>
        <sz val="10"/>
        <color indexed="8"/>
        <rFont val="Helvetica Neue"/>
      </rPr>
      <t>mCi</t>
    </r>
  </si>
  <si>
    <t>C[15O]</t>
  </si>
  <si>
    <t>H2[15O]</t>
  </si>
  <si>
    <t>“All Drawings from the Sheet”</t>
  </si>
  <si>
    <t>Radiation Counts Log - Drawings</t>
  </si>
  <si>
    <t>Twilite Calibration</t>
  </si>
  <si>
    <t>Twilite Calibration - Table 1</t>
  </si>
  <si>
    <t>CALC. DATE:</t>
  </si>
  <si>
    <t>Twilite Calibration - Runs</t>
  </si>
  <si>
    <t>CLOCKS</t>
  </si>
  <si>
    <r>
      <rPr>
        <b/>
        <sz val="10"/>
        <color indexed="8"/>
        <rFont val="Helvetica Neue"/>
      </rPr>
      <t>Time Offset  wrt NTS / +/-</t>
    </r>
    <r>
      <rPr>
        <b/>
        <sz val="10"/>
        <color indexed="8"/>
        <rFont val="Helvetica Neue"/>
      </rPr>
      <t>s</t>
    </r>
  </si>
  <si>
    <t>mMR console</t>
  </si>
  <si>
    <r>
      <rPr>
        <b/>
        <sz val="10"/>
        <color indexed="17"/>
        <rFont val="Helvetica Neue"/>
      </rPr>
      <t xml:space="preserve">PMOD </t>
    </r>
    <r>
      <rPr>
        <b/>
        <sz val="10"/>
        <color indexed="17"/>
        <rFont val="Helvetica Neue"/>
      </rPr>
      <t>workstation</t>
    </r>
  </si>
  <si>
    <t>mMR PEVCO lab</t>
  </si>
  <si>
    <t>CT radiation lab</t>
  </si>
  <si>
    <t>hand timers</t>
  </si>
  <si>
    <t>2nd PEVCO lab</t>
  </si>
  <si>
    <t>Twilite Calibration - Runs-2</t>
  </si>
  <si>
    <t>CYCLOTRON &amp; DOSE CALIBRATOR</t>
  </si>
  <si>
    <r>
      <rPr>
        <b/>
        <sz val="10"/>
        <color indexed="8"/>
        <rFont val="Helvetica Neue"/>
      </rPr>
      <t>time</t>
    </r>
    <r>
      <rPr>
        <b/>
        <sz val="10"/>
        <color indexed="8"/>
        <rFont val="Helvetica Neue"/>
      </rPr>
      <t xml:space="preserve"> / </t>
    </r>
    <r>
      <rPr>
        <b/>
        <sz val="10"/>
        <color indexed="8"/>
        <rFont val="Helvetica Neue"/>
      </rPr>
      <t>hh:mm:ss</t>
    </r>
  </si>
  <si>
    <r>
      <rPr>
        <b/>
        <sz val="10"/>
        <color indexed="8"/>
        <rFont val="Helvetica Neue"/>
      </rPr>
      <t>dose</t>
    </r>
    <r>
      <rPr>
        <b/>
        <sz val="10"/>
        <color indexed="8"/>
        <rFont val="Helvetica Neue"/>
      </rPr>
      <t xml:space="preserve"> / </t>
    </r>
    <r>
      <rPr>
        <b/>
        <sz val="10"/>
        <color indexed="8"/>
        <rFont val="Helvetica Neue"/>
      </rPr>
      <t>mCi</t>
    </r>
  </si>
  <si>
    <t>CYCLOTRON LOT ID</t>
  </si>
  <si>
    <t>CYCLOTRON TIME</t>
  </si>
  <si>
    <r>
      <rPr>
        <b/>
        <sz val="10"/>
        <color indexed="8"/>
        <rFont val="Helvetica Neue"/>
      </rPr>
      <t>Cyclotron Activity</t>
    </r>
    <r>
      <rPr>
        <b/>
        <sz val="10"/>
        <color indexed="8"/>
        <rFont val="Helvetica Neue"/>
      </rPr>
      <t xml:space="preserve"> /  </t>
    </r>
    <r>
      <rPr>
        <b/>
        <sz val="10"/>
        <color indexed="8"/>
        <rFont val="Helvetica Neue"/>
      </rPr>
      <t>mCi / mL</t>
    </r>
  </si>
  <si>
    <r>
      <rPr>
        <b/>
        <sz val="10"/>
        <color indexed="8"/>
        <rFont val="Helvetica Neue"/>
      </rPr>
      <t>Cyclotron volume</t>
    </r>
    <r>
      <rPr>
        <b/>
        <sz val="10"/>
        <color indexed="8"/>
        <rFont val="Helvetica Neue"/>
      </rPr>
      <t xml:space="preserve"> / </t>
    </r>
    <r>
      <rPr>
        <b/>
        <sz val="10"/>
        <color indexed="8"/>
        <rFont val="Helvetica Neue"/>
      </rPr>
      <t>mL</t>
    </r>
  </si>
  <si>
    <r>
      <rPr>
        <b/>
        <sz val="10"/>
        <color indexed="8"/>
        <rFont val="Helvetica Neue"/>
      </rPr>
      <t>Expected Dose</t>
    </r>
    <r>
      <rPr>
        <b/>
        <sz val="10"/>
        <color indexed="8"/>
        <rFont val="Helvetica Neue"/>
      </rPr>
      <t xml:space="preserve"> / </t>
    </r>
    <r>
      <rPr>
        <b/>
        <sz val="10"/>
        <color indexed="8"/>
        <rFont val="Helvetica Neue"/>
      </rPr>
      <t>mCi</t>
    </r>
  </si>
  <si>
    <t>syringe + cap dose</t>
  </si>
  <si>
    <t>F1-090916</t>
  </si>
  <si>
    <t>residual dose</t>
  </si>
  <si>
    <t>guessing residual dose</t>
  </si>
  <si>
    <t>net dose</t>
  </si>
  <si>
    <t xml:space="preserve"> </t>
  </si>
  <si>
    <t>Runs-2-1</t>
  </si>
  <si>
    <t>Twilite Calibration - Runs-2-1</t>
  </si>
  <si>
    <t>PHANTOM</t>
  </si>
  <si>
    <r>
      <rPr>
        <b/>
        <sz val="10"/>
        <color indexed="8"/>
        <rFont val="Helvetica Neue"/>
      </rPr>
      <t>Original Volume</t>
    </r>
    <r>
      <rPr>
        <b/>
        <sz val="10"/>
        <color indexed="8"/>
        <rFont val="Helvetica Neue"/>
      </rPr>
      <t xml:space="preserve"> / </t>
    </r>
    <r>
      <rPr>
        <b/>
        <sz val="10"/>
        <color indexed="8"/>
        <rFont val="Helvetica Neue"/>
      </rPr>
      <t>mL</t>
    </r>
  </si>
  <si>
    <r>
      <rPr>
        <b/>
        <sz val="10"/>
        <color indexed="8"/>
        <rFont val="Helvetica Neue"/>
      </rPr>
      <t>Net Volume (phantom + dose)</t>
    </r>
    <r>
      <rPr>
        <b/>
        <sz val="10"/>
        <color indexed="8"/>
        <rFont val="Helvetica Neue"/>
      </rPr>
      <t xml:space="preserve"> / mL</t>
    </r>
  </si>
  <si>
    <r>
      <rPr>
        <b/>
        <sz val="10"/>
        <color indexed="8"/>
        <rFont val="Helvetica Neue"/>
      </rPr>
      <t xml:space="preserve">DECAY </t>
    </r>
    <r>
      <rPr>
        <b/>
        <sz val="10"/>
        <color indexed="8"/>
        <rFont val="Helvetica Neue"/>
      </rPr>
      <t>Corr</t>
    </r>
    <r>
      <rPr>
        <b/>
        <sz val="10"/>
        <color indexed="8"/>
        <rFont val="Helvetica Neue"/>
      </rPr>
      <t xml:space="preserve"> </t>
    </r>
    <r>
      <rPr>
        <b/>
        <sz val="10"/>
        <color indexed="8"/>
        <rFont val="Helvetica Neue"/>
      </rPr>
      <t>Specific Activity</t>
    </r>
    <r>
      <rPr>
        <b/>
        <sz val="10"/>
        <color indexed="8"/>
        <rFont val="Helvetica Neue"/>
      </rPr>
      <t xml:space="preserve"> / </t>
    </r>
    <r>
      <rPr>
        <b/>
        <sz val="10"/>
        <color indexed="8"/>
        <rFont val="Helvetica Neue"/>
      </rPr>
      <t>kBq/mL</t>
    </r>
  </si>
  <si>
    <t>Runs-2-2</t>
  </si>
  <si>
    <t>Twilite Calibration - Runs-2-2</t>
  </si>
  <si>
    <t>WELL COUNTER</t>
  </si>
  <si>
    <t>S.A./S.A. OF DOSE CALIB.</t>
  </si>
  <si>
    <t>failed mixing?</t>
  </si>
  <si>
    <t>Runs-2-1-1</t>
  </si>
  <si>
    <t>Twilite Calibration - Runs-2-1-</t>
  </si>
  <si>
    <t>TWILITE</t>
  </si>
  <si>
    <r>
      <rPr>
        <b/>
        <sz val="10"/>
        <color indexed="8"/>
        <rFont val="Helvetica Neue"/>
      </rPr>
      <t>Cath Place-ment  time</t>
    </r>
    <r>
      <rPr>
        <b/>
        <sz val="10"/>
        <color indexed="8"/>
        <rFont val="Helvetica Neue"/>
      </rPr>
      <t xml:space="preserve"> / </t>
    </r>
    <r>
      <rPr>
        <b/>
        <sz val="10"/>
        <color indexed="8"/>
        <rFont val="Helvetica Neue"/>
      </rPr>
      <t>hh:mm:ss</t>
    </r>
  </si>
  <si>
    <r>
      <rPr>
        <b/>
        <sz val="10"/>
        <color indexed="8"/>
        <rFont val="Helvetica Neue"/>
      </rPr>
      <t>Enclosed Catheter length</t>
    </r>
    <r>
      <rPr>
        <b/>
        <sz val="10"/>
        <color indexed="8"/>
        <rFont val="Helvetica Neue"/>
      </rPr>
      <t xml:space="preserve"> / </t>
    </r>
    <r>
      <rPr>
        <b/>
        <sz val="10"/>
        <color indexed="8"/>
        <rFont val="Helvetica Neue"/>
      </rPr>
      <t>cm</t>
    </r>
  </si>
  <si>
    <r>
      <rPr>
        <b/>
        <sz val="10"/>
        <color indexed="8"/>
        <rFont val="Helvetica Neue"/>
      </rPr>
      <t>VISIBLE Volume</t>
    </r>
    <r>
      <rPr>
        <b/>
        <sz val="10"/>
        <color indexed="8"/>
        <rFont val="Helvetica Neue"/>
      </rPr>
      <t xml:space="preserve"> / </t>
    </r>
    <r>
      <rPr>
        <b/>
        <sz val="10"/>
        <color indexed="8"/>
        <rFont val="Helvetica Neue"/>
      </rPr>
      <t>mL</t>
    </r>
  </si>
  <si>
    <r>
      <rPr>
        <b/>
        <sz val="10"/>
        <color indexed="8"/>
        <rFont val="Helvetica Neue"/>
      </rPr>
      <t>Twilite baseline</t>
    </r>
    <r>
      <rPr>
        <b/>
        <sz val="10"/>
        <color indexed="8"/>
        <rFont val="Helvetica Neue"/>
      </rPr>
      <t xml:space="preserve"> / </t>
    </r>
    <r>
      <rPr>
        <b/>
        <sz val="10"/>
        <color indexed="8"/>
        <rFont val="Helvetica Neue"/>
      </rPr>
      <t>coincident cps</t>
    </r>
  </si>
  <si>
    <r>
      <rPr>
        <b/>
        <sz val="10"/>
        <color indexed="8"/>
        <rFont val="Helvetica Neue"/>
      </rPr>
      <t>Twilite loaded</t>
    </r>
    <r>
      <rPr>
        <b/>
        <sz val="10"/>
        <color indexed="8"/>
        <rFont val="Helvetica Neue"/>
      </rPr>
      <t xml:space="preserve"> / </t>
    </r>
    <r>
      <rPr>
        <b/>
        <sz val="10"/>
        <color indexed="8"/>
        <rFont val="Helvetica Neue"/>
      </rPr>
      <t>coincident cps</t>
    </r>
  </si>
  <si>
    <r>
      <rPr>
        <b/>
        <sz val="10"/>
        <color indexed="8"/>
        <rFont val="Helvetica Neue"/>
      </rPr>
      <t>Specific Count Rate</t>
    </r>
    <r>
      <rPr>
        <b/>
        <sz val="10"/>
        <color indexed="8"/>
        <rFont val="Helvetica Neue"/>
      </rPr>
      <t xml:space="preserve"> / </t>
    </r>
    <r>
      <rPr>
        <b/>
        <sz val="10"/>
        <color indexed="8"/>
        <rFont val="Helvetica Neue"/>
      </rPr>
      <t>kcps/mL</t>
    </r>
  </si>
  <si>
    <r>
      <rPr>
        <b/>
        <sz val="10"/>
        <color indexed="8"/>
        <rFont val="Helvetica Neue"/>
      </rPr>
      <t>Specific ACtivity</t>
    </r>
    <r>
      <rPr>
        <b/>
        <sz val="10"/>
        <color indexed="8"/>
        <rFont val="Helvetica Neue"/>
      </rPr>
      <t xml:space="preserve">/ </t>
    </r>
    <r>
      <rPr>
        <b/>
        <sz val="10"/>
        <color indexed="8"/>
        <rFont val="Helvetica Neue"/>
      </rPr>
      <t>kBq/mL</t>
    </r>
  </si>
  <si>
    <r>
      <rPr>
        <b/>
        <sz val="10"/>
        <color indexed="8"/>
        <rFont val="Helvetica Neue"/>
      </rPr>
      <t>DECAY CORR specific activity</t>
    </r>
    <r>
      <rPr>
        <b/>
        <sz val="10"/>
        <color indexed="8"/>
        <rFont val="Helvetica Neue"/>
      </rPr>
      <t xml:space="preserve"> / </t>
    </r>
    <r>
      <rPr>
        <b/>
        <sz val="10"/>
        <color indexed="8"/>
        <rFont val="Helvetica Neue"/>
      </rPr>
      <t>kBq/mL</t>
    </r>
  </si>
  <si>
    <t>Medex REF 536035, 152.4 cm  Ext. W/M/FLL Clamp APV = 1.1 mL</t>
  </si>
  <si>
    <t>Medex</t>
  </si>
  <si>
    <t>Runs-2-1-1-1</t>
  </si>
  <si>
    <t>Twilite Calibration - Runs-2-11</t>
  </si>
  <si>
    <t>MMR</t>
  </si>
  <si>
    <r>
      <rPr>
        <b/>
        <sz val="10"/>
        <color indexed="8"/>
        <rFont val="Helvetica Neue"/>
      </rPr>
      <t>scan start time</t>
    </r>
    <r>
      <rPr>
        <b/>
        <sz val="10"/>
        <color indexed="8"/>
        <rFont val="Helvetica Neue"/>
      </rPr>
      <t xml:space="preserve"> / </t>
    </r>
    <r>
      <rPr>
        <b/>
        <sz val="10"/>
        <color indexed="8"/>
        <rFont val="Helvetica Neue"/>
      </rPr>
      <t>hh:mm:ss</t>
    </r>
  </si>
  <si>
    <r>
      <rPr>
        <b/>
        <sz val="10"/>
        <color indexed="8"/>
        <rFont val="Helvetica Neue"/>
      </rPr>
      <t>ROI mean</t>
    </r>
    <r>
      <rPr>
        <b/>
        <sz val="10"/>
        <color indexed="8"/>
        <rFont val="Helvetica Neue"/>
      </rPr>
      <t xml:space="preserve"> / </t>
    </r>
    <r>
      <rPr>
        <b/>
        <sz val="10"/>
        <color indexed="8"/>
        <rFont val="Helvetica Neue"/>
      </rPr>
      <t>kBq/mL</t>
    </r>
  </si>
  <si>
    <r>
      <rPr>
        <b/>
        <sz val="10"/>
        <color indexed="8"/>
        <rFont val="Helvetica Neue"/>
      </rPr>
      <t>ROI s.d.</t>
    </r>
    <r>
      <rPr>
        <b/>
        <sz val="10"/>
        <color indexed="8"/>
        <rFont val="Helvetica Neue"/>
      </rPr>
      <t xml:space="preserve"> / </t>
    </r>
    <r>
      <rPr>
        <b/>
        <sz val="10"/>
        <color indexed="8"/>
        <rFont val="Helvetica Neue"/>
      </rPr>
      <t>kBq/mL</t>
    </r>
  </si>
  <si>
    <r>
      <rPr>
        <b/>
        <sz val="10"/>
        <color indexed="8"/>
        <rFont val="Helvetica Neue"/>
      </rPr>
      <t xml:space="preserve">ROI Vol </t>
    </r>
    <r>
      <rPr>
        <b/>
        <sz val="10"/>
        <color indexed="8"/>
        <rFont val="Helvetica Neue"/>
      </rPr>
      <t xml:space="preserve">/ </t>
    </r>
    <r>
      <rPr>
        <b/>
        <sz val="10"/>
        <color indexed="8"/>
        <rFont val="Helvetica Neue"/>
      </rPr>
      <t>cm</t>
    </r>
    <r>
      <rPr>
        <b/>
        <vertAlign val="superscript"/>
        <sz val="10"/>
        <color indexed="8"/>
        <rFont val="Helvetica Neue"/>
      </rPr>
      <t>3</t>
    </r>
  </si>
  <si>
    <t>ROI PIXELS</t>
  </si>
  <si>
    <r>
      <rPr>
        <b/>
        <sz val="10"/>
        <color indexed="8"/>
        <rFont val="Helvetica Neue"/>
      </rPr>
      <t>ROI min</t>
    </r>
    <r>
      <rPr>
        <b/>
        <sz val="10"/>
        <color indexed="8"/>
        <rFont val="Helvetica Neue"/>
      </rPr>
      <t xml:space="preserve"> / </t>
    </r>
    <r>
      <rPr>
        <b/>
        <sz val="10"/>
        <color indexed="8"/>
        <rFont val="Helvetica Neue"/>
      </rPr>
      <t>kBq/mL</t>
    </r>
  </si>
  <si>
    <r>
      <rPr>
        <b/>
        <sz val="10"/>
        <color indexed="8"/>
        <rFont val="Helvetica Neue"/>
      </rPr>
      <t>ROI max</t>
    </r>
    <r>
      <rPr>
        <b/>
        <sz val="10"/>
        <color indexed="8"/>
        <rFont val="Helvetica Neue"/>
      </rPr>
      <t xml:space="preserve"> / </t>
    </r>
    <r>
      <rPr>
        <b/>
        <sz val="10"/>
        <color indexed="8"/>
        <rFont val="Helvetica Neue"/>
      </rPr>
      <t>kBq/mL</t>
    </r>
  </si>
  <si>
    <r>
      <rPr>
        <b/>
        <sz val="10"/>
        <color indexed="8"/>
        <rFont val="Helvetica Neue"/>
      </rPr>
      <t>DECAY Corr specific activity</t>
    </r>
    <r>
      <rPr>
        <b/>
        <sz val="10"/>
        <color indexed="8"/>
        <rFont val="Helvetica Neue"/>
      </rPr>
      <t xml:space="preserve"> / </t>
    </r>
    <r>
      <rPr>
        <b/>
        <sz val="10"/>
        <color indexed="8"/>
        <rFont val="Helvetica Neue"/>
      </rPr>
      <t>kBq/mL</t>
    </r>
  </si>
  <si>
    <t>ROI1</t>
  </si>
  <si>
    <t>ROI2</t>
  </si>
  <si>
    <t>ROI3</t>
  </si>
  <si>
    <t>Runs-2-1-1-2</t>
  </si>
  <si>
    <t>Twilite Calibration - Runs-2-12</t>
  </si>
  <si>
    <t>PMOD</t>
  </si>
  <si>
    <r>
      <rPr>
        <b/>
        <sz val="10"/>
        <color indexed="8"/>
        <rFont val="Helvetica Neue"/>
      </rPr>
      <t xml:space="preserve">Twilite specific activity </t>
    </r>
    <r>
      <rPr>
        <b/>
        <sz val="10"/>
        <color indexed="8"/>
        <rFont val="Helvetica Neue"/>
      </rPr>
      <t xml:space="preserve">/ </t>
    </r>
    <r>
      <rPr>
        <b/>
        <sz val="10"/>
        <color indexed="8"/>
        <rFont val="Helvetica Neue"/>
      </rPr>
      <t>coincident kcps/mL</t>
    </r>
  </si>
  <si>
    <r>
      <rPr>
        <b/>
        <sz val="10"/>
        <color indexed="8"/>
        <rFont val="Helvetica Neue"/>
      </rPr>
      <t>mMR SPECIFIC Activity</t>
    </r>
    <r>
      <rPr>
        <b/>
        <sz val="10"/>
        <color indexed="8"/>
        <rFont val="Helvetica Neue"/>
      </rPr>
      <t xml:space="preserve"> / </t>
    </r>
    <r>
      <rPr>
        <b/>
        <sz val="10"/>
        <color indexed="8"/>
        <rFont val="Helvetica Neue"/>
      </rPr>
      <t>kBq /mL</t>
    </r>
  </si>
  <si>
    <t>REPORTED PMOD FACTOR</t>
  </si>
  <si>
    <t>MAGIC PMOD FACTOR</t>
  </si>
  <si>
    <t>Calibration Window</t>
  </si>
  <si>
    <t>if well-mixed wrt mMR results, expect reported pmod factor = 0.429</t>
  </si>
  <si>
    <t>Twilite Calibration - Drawings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</si>
</sst>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 d\,\ yyyy"/>
    <numFmt numFmtId="165" formatCode="[h]&quot;h&quot;\ m&quot;m&quot;\ s&quot;s&quot;"/>
    <numFmt numFmtId="166" formatCode="[m]&quot;m&quot;\ s&quot;s&quot;"/>
    <numFmt numFmtId="167" formatCode="hh:mm:ss"/>
    <numFmt numFmtId="168" formatCode="0.0000"/>
    <numFmt numFmtId="169" formatCode="[s]&quot;s&quot;"/>
  </numFmts>
  <fonts count="19" x14ac:knownFonts="1">
    <font>
      <b/>
      <sz val="12"/>
      <color indexed="8"/>
      <name val="Helvetica Neue"/>
    </font>
    <font>
      <b/>
      <sz val="12"/>
      <color indexed="10"/>
      <name val="Helvetica Neue"/>
    </font>
    <font>
      <b/>
      <sz val="14"/>
      <color indexed="10"/>
      <name val="Helvetica Neue"/>
    </font>
    <font>
      <sz val="10"/>
      <color indexed="10"/>
      <name val="Helvetica Neue"/>
    </font>
    <font>
      <b/>
      <u/>
      <sz val="12"/>
      <color indexed="12"/>
      <name val="Helvetica Neue"/>
    </font>
    <font>
      <b/>
      <sz val="36"/>
      <color indexed="14"/>
      <name val="Helvetica Neue"/>
    </font>
    <font>
      <sz val="10"/>
      <color indexed="15"/>
      <name val="Helvetica Neue"/>
    </font>
    <font>
      <sz val="10"/>
      <color indexed="8"/>
      <name val="Helvetica Neue"/>
    </font>
    <font>
      <b/>
      <i/>
      <sz val="24"/>
      <color indexed="10"/>
      <name val="Helvetica Neue"/>
    </font>
    <font>
      <b/>
      <sz val="24"/>
      <color indexed="14"/>
      <name val="Helvetica Neue"/>
    </font>
    <font>
      <b/>
      <sz val="10"/>
      <color indexed="17"/>
      <name val="Helvetica Neue"/>
    </font>
    <font>
      <sz val="14"/>
      <color indexed="8"/>
      <name val="Helvetica Neue"/>
    </font>
    <font>
      <b/>
      <sz val="12"/>
      <color indexed="17"/>
      <name val="Helvetica Neue"/>
    </font>
    <font>
      <b/>
      <sz val="10"/>
      <color indexed="8"/>
      <name val="Helvetica Neue"/>
    </font>
    <font>
      <i/>
      <sz val="10"/>
      <color indexed="8"/>
      <name val="Helvetica Neue Light"/>
    </font>
    <font>
      <i/>
      <sz val="10"/>
      <color indexed="10"/>
      <name val="Helvetica Neue Light"/>
    </font>
    <font>
      <i/>
      <sz val="10"/>
      <color indexed="10"/>
      <name val="Helvetica Neue"/>
    </font>
    <font>
      <b/>
      <vertAlign val="superscript"/>
      <sz val="10"/>
      <color indexed="8"/>
      <name val="Helvetica Neue"/>
    </font>
    <font>
      <sz val="10"/>
      <color indexed="17"/>
      <name val="Helvetica Neue"/>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8"/>
        <bgColor auto="1"/>
      </patternFill>
    </fill>
    <fill>
      <patternFill patternType="solid">
        <fgColor indexed="19"/>
        <bgColor auto="1"/>
      </patternFill>
    </fill>
    <fill>
      <patternFill patternType="solid">
        <fgColor indexed="25"/>
        <bgColor auto="1"/>
      </patternFill>
    </fill>
    <fill>
      <patternFill patternType="solid">
        <fgColor indexed="26"/>
        <bgColor auto="1"/>
      </patternFill>
    </fill>
    <fill>
      <patternFill patternType="solid">
        <fgColor indexed="8"/>
        <bgColor auto="1"/>
      </patternFill>
    </fill>
    <fill>
      <patternFill patternType="solid">
        <fgColor indexed="31"/>
        <bgColor auto="1"/>
      </patternFill>
    </fill>
  </fills>
  <borders count="10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dotted">
        <color indexed="15"/>
      </left>
      <right style="dotted">
        <color indexed="15"/>
      </right>
      <top/>
      <bottom/>
      <diagonal/>
    </border>
    <border>
      <left style="dotted">
        <color indexed="15"/>
      </left>
      <right style="dotted">
        <color indexed="15"/>
      </right>
      <top/>
      <bottom/>
      <diagonal/>
    </border>
    <border>
      <left/>
      <right/>
      <top/>
      <bottom/>
      <diagonal/>
    </border>
    <border>
      <left/>
      <right/>
      <top/>
      <bottom/>
      <diagonal/>
    </border>
    <border>
      <left/>
      <right/>
      <top/>
      <bottom/>
      <diagonal/>
    </border>
    <border>
      <left/>
      <right/>
      <top/>
      <bottom/>
      <diagonal/>
    </border>
    <border>
      <left/>
      <right style="dotted">
        <color indexed="20"/>
      </right>
      <top/>
      <bottom/>
      <diagonal/>
    </border>
    <border>
      <left style="dotted">
        <color indexed="20"/>
      </left>
      <right/>
      <top style="dotted">
        <color indexed="20"/>
      </top>
      <bottom/>
      <diagonal/>
    </border>
    <border>
      <left/>
      <right style="dotted">
        <color indexed="20"/>
      </right>
      <top style="dotted">
        <color indexed="20"/>
      </top>
      <bottom/>
      <diagonal/>
    </border>
    <border>
      <left style="dotted">
        <color indexed="20"/>
      </left>
      <right/>
      <top/>
      <bottom/>
      <diagonal/>
    </border>
    <border>
      <left/>
      <right/>
      <top/>
      <bottom style="thin">
        <color indexed="21"/>
      </bottom>
      <diagonal/>
    </border>
    <border>
      <left/>
      <right/>
      <top/>
      <bottom style="thin">
        <color indexed="21"/>
      </bottom>
      <diagonal/>
    </border>
    <border>
      <left/>
      <right/>
      <top/>
      <bottom style="thin">
        <color indexed="21"/>
      </bottom>
      <diagonal/>
    </border>
    <border>
      <left/>
      <right/>
      <top/>
      <bottom style="thin">
        <color indexed="21"/>
      </bottom>
      <diagonal/>
    </border>
    <border>
      <left style="thin">
        <color indexed="22"/>
      </left>
      <right style="thin">
        <color indexed="21"/>
      </right>
      <top style="thin">
        <color indexed="21"/>
      </top>
      <bottom style="dotted">
        <color indexed="21"/>
      </bottom>
      <diagonal/>
    </border>
    <border>
      <left style="thin">
        <color indexed="21"/>
      </left>
      <right style="dotted">
        <color indexed="23"/>
      </right>
      <top style="thin">
        <color indexed="21"/>
      </top>
      <bottom style="dotted">
        <color indexed="21"/>
      </bottom>
      <diagonal/>
    </border>
    <border>
      <left style="dotted">
        <color indexed="23"/>
      </left>
      <right style="dotted">
        <color indexed="23"/>
      </right>
      <top style="thin">
        <color indexed="21"/>
      </top>
      <bottom style="dotted">
        <color indexed="21"/>
      </bottom>
      <diagonal/>
    </border>
    <border>
      <left style="dotted">
        <color indexed="23"/>
      </left>
      <right style="dotted">
        <color indexed="23"/>
      </right>
      <top style="thin">
        <color indexed="21"/>
      </top>
      <bottom style="dotted">
        <color indexed="24"/>
      </bottom>
      <diagonal/>
    </border>
    <border>
      <left style="dotted">
        <color indexed="23"/>
      </left>
      <right style="dotted">
        <color indexed="23"/>
      </right>
      <top style="thin">
        <color indexed="21"/>
      </top>
      <bottom style="dotted">
        <color indexed="23"/>
      </bottom>
      <diagonal/>
    </border>
    <border>
      <left style="dotted">
        <color indexed="23"/>
      </left>
      <right style="thin">
        <color indexed="22"/>
      </right>
      <top style="thin">
        <color indexed="21"/>
      </top>
      <bottom style="dotted">
        <color indexed="21"/>
      </bottom>
      <diagonal/>
    </border>
    <border>
      <left style="thin">
        <color indexed="22"/>
      </left>
      <right style="thin">
        <color indexed="21"/>
      </right>
      <top style="dotted">
        <color indexed="21"/>
      </top>
      <bottom style="dotted">
        <color indexed="21"/>
      </bottom>
      <diagonal/>
    </border>
    <border>
      <left style="thin">
        <color indexed="21"/>
      </left>
      <right style="dotted">
        <color indexed="23"/>
      </right>
      <top style="dotted">
        <color indexed="21"/>
      </top>
      <bottom style="dotted">
        <color indexed="21"/>
      </bottom>
      <diagonal/>
    </border>
    <border>
      <left style="dotted">
        <color indexed="23"/>
      </left>
      <right style="dotted">
        <color indexed="23"/>
      </right>
      <top style="dotted">
        <color indexed="21"/>
      </top>
      <bottom style="dotted">
        <color indexed="21"/>
      </bottom>
      <diagonal/>
    </border>
    <border>
      <left style="dotted">
        <color indexed="23"/>
      </left>
      <right style="dotted">
        <color indexed="23"/>
      </right>
      <top style="dotted">
        <color indexed="24"/>
      </top>
      <bottom style="dotted">
        <color indexed="21"/>
      </bottom>
      <diagonal/>
    </border>
    <border>
      <left style="dotted">
        <color indexed="23"/>
      </left>
      <right style="dotted">
        <color indexed="23"/>
      </right>
      <top style="dotted">
        <color indexed="23"/>
      </top>
      <bottom style="dotted">
        <color indexed="23"/>
      </bottom>
      <diagonal/>
    </border>
    <border>
      <left style="dotted">
        <color indexed="23"/>
      </left>
      <right style="thin">
        <color indexed="22"/>
      </right>
      <top style="dotted">
        <color indexed="21"/>
      </top>
      <bottom style="dotted">
        <color indexed="21"/>
      </bottom>
      <diagonal/>
    </border>
    <border>
      <left style="thin">
        <color indexed="21"/>
      </left>
      <right style="dotted">
        <color indexed="21"/>
      </right>
      <top style="dotted">
        <color indexed="21"/>
      </top>
      <bottom style="dotted">
        <color indexed="21"/>
      </bottom>
      <diagonal/>
    </border>
    <border>
      <left style="dotted">
        <color indexed="21"/>
      </left>
      <right style="dotted">
        <color indexed="21"/>
      </right>
      <top style="dotted">
        <color indexed="21"/>
      </top>
      <bottom style="dotted">
        <color indexed="21"/>
      </bottom>
      <diagonal/>
    </border>
    <border>
      <left style="dotted">
        <color indexed="21"/>
      </left>
      <right style="dotted">
        <color indexed="23"/>
      </right>
      <top style="dotted">
        <color indexed="21"/>
      </top>
      <bottom style="dotted">
        <color indexed="21"/>
      </bottom>
      <diagonal/>
    </border>
    <border>
      <left style="dotted">
        <color indexed="23"/>
      </left>
      <right style="dotted">
        <color indexed="23"/>
      </right>
      <top style="dotted">
        <color indexed="21"/>
      </top>
      <bottom style="dotted">
        <color indexed="23"/>
      </bottom>
      <diagonal/>
    </border>
    <border>
      <left style="dotted">
        <color indexed="23"/>
      </left>
      <right style="thin">
        <color indexed="22"/>
      </right>
      <top style="dotted">
        <color indexed="21"/>
      </top>
      <bottom style="dotted">
        <color indexed="23"/>
      </bottom>
      <diagonal/>
    </border>
    <border>
      <left style="dotted">
        <color indexed="23"/>
      </left>
      <right style="thin">
        <color indexed="22"/>
      </right>
      <top style="dotted">
        <color indexed="23"/>
      </top>
      <bottom style="dotted">
        <color indexed="23"/>
      </bottom>
      <diagonal/>
    </border>
    <border>
      <left style="thin">
        <color indexed="21"/>
      </left>
      <right style="dotted">
        <color indexed="21"/>
      </right>
      <top style="dotted">
        <color indexed="21"/>
      </top>
      <bottom style="dotted">
        <color indexed="23"/>
      </bottom>
      <diagonal/>
    </border>
    <border>
      <left style="dotted">
        <color indexed="21"/>
      </left>
      <right style="dotted">
        <color indexed="21"/>
      </right>
      <top style="dotted">
        <color indexed="21"/>
      </top>
      <bottom style="dotted">
        <color indexed="23"/>
      </bottom>
      <diagonal/>
    </border>
    <border>
      <left style="dotted">
        <color indexed="21"/>
      </left>
      <right style="dotted">
        <color indexed="23"/>
      </right>
      <top style="dotted">
        <color indexed="21"/>
      </top>
      <bottom style="dotted">
        <color indexed="23"/>
      </bottom>
      <diagonal/>
    </border>
    <border>
      <left style="thin">
        <color indexed="22"/>
      </left>
      <right style="thin">
        <color indexed="21"/>
      </right>
      <top style="dotted">
        <color indexed="21"/>
      </top>
      <bottom style="thin">
        <color indexed="22"/>
      </bottom>
      <diagonal/>
    </border>
    <border>
      <left style="thin">
        <color indexed="21"/>
      </left>
      <right style="dotted">
        <color indexed="21"/>
      </right>
      <top style="dotted">
        <color indexed="23"/>
      </top>
      <bottom style="dotted">
        <color indexed="23"/>
      </bottom>
      <diagonal/>
    </border>
    <border>
      <left style="dotted">
        <color indexed="21"/>
      </left>
      <right style="dotted">
        <color indexed="21"/>
      </right>
      <top style="dotted">
        <color indexed="23"/>
      </top>
      <bottom style="dotted">
        <color indexed="23"/>
      </bottom>
      <diagonal/>
    </border>
    <border>
      <left style="dotted">
        <color indexed="21"/>
      </left>
      <right style="dotted">
        <color indexed="23"/>
      </right>
      <top style="dotted">
        <color indexed="23"/>
      </top>
      <bottom style="dotted">
        <color indexed="23"/>
      </bottom>
      <diagonal/>
    </border>
    <border>
      <left style="thin">
        <color indexed="21"/>
      </left>
      <right style="dotted">
        <color indexed="21"/>
      </right>
      <top style="thin">
        <color indexed="21"/>
      </top>
      <bottom style="dotted">
        <color indexed="21"/>
      </bottom>
      <diagonal/>
    </border>
    <border>
      <left style="dotted">
        <color indexed="21"/>
      </left>
      <right style="dotted">
        <color indexed="21"/>
      </right>
      <top style="thin">
        <color indexed="21"/>
      </top>
      <bottom style="dotted">
        <color indexed="21"/>
      </bottom>
      <diagonal/>
    </border>
    <border>
      <left style="dotted">
        <color indexed="21"/>
      </left>
      <right style="thin">
        <color indexed="23"/>
      </right>
      <top style="thin">
        <color indexed="21"/>
      </top>
      <bottom style="dotted">
        <color indexed="24"/>
      </bottom>
      <diagonal/>
    </border>
    <border>
      <left style="thin">
        <color indexed="23"/>
      </left>
      <right style="dotted">
        <color indexed="21"/>
      </right>
      <top style="thin">
        <color indexed="21"/>
      </top>
      <bottom style="dotted">
        <color indexed="21"/>
      </bottom>
      <diagonal/>
    </border>
    <border>
      <left style="dotted">
        <color indexed="21"/>
      </left>
      <right style="dotted">
        <color indexed="23"/>
      </right>
      <top style="thin">
        <color indexed="21"/>
      </top>
      <bottom style="dotted">
        <color indexed="21"/>
      </bottom>
      <diagonal/>
    </border>
    <border>
      <left style="dotted">
        <color indexed="23"/>
      </left>
      <right style="thin">
        <color indexed="22"/>
      </right>
      <top style="thin">
        <color indexed="21"/>
      </top>
      <bottom style="dotted">
        <color indexed="23"/>
      </bottom>
      <diagonal/>
    </border>
    <border>
      <left style="dotted">
        <color indexed="21"/>
      </left>
      <right style="thin">
        <color indexed="23"/>
      </right>
      <top style="dotted">
        <color indexed="24"/>
      </top>
      <bottom style="dotted">
        <color indexed="23"/>
      </bottom>
      <diagonal/>
    </border>
    <border>
      <left style="thin">
        <color indexed="23"/>
      </left>
      <right style="dotted">
        <color indexed="21"/>
      </right>
      <top style="dotted">
        <color indexed="21"/>
      </top>
      <bottom style="dotted">
        <color indexed="21"/>
      </bottom>
      <diagonal/>
    </border>
    <border>
      <left style="dotted">
        <color indexed="21"/>
      </left>
      <right style="thin">
        <color indexed="23"/>
      </right>
      <top style="dotted">
        <color indexed="23"/>
      </top>
      <bottom style="dotted">
        <color indexed="21"/>
      </bottom>
      <diagonal/>
    </border>
    <border>
      <left style="thin">
        <color indexed="21"/>
      </left>
      <right style="dotted">
        <color indexed="21"/>
      </right>
      <top style="dotted">
        <color indexed="21"/>
      </top>
      <bottom style="thin">
        <color indexed="22"/>
      </bottom>
      <diagonal/>
    </border>
    <border>
      <left style="dotted">
        <color indexed="21"/>
      </left>
      <right style="dotted">
        <color indexed="21"/>
      </right>
      <top style="dotted">
        <color indexed="21"/>
      </top>
      <bottom style="thin">
        <color indexed="22"/>
      </bottom>
      <diagonal/>
    </border>
    <border>
      <left style="dotted">
        <color indexed="21"/>
      </left>
      <right style="thin">
        <color indexed="23"/>
      </right>
      <top style="dotted">
        <color indexed="21"/>
      </top>
      <bottom style="dotted">
        <color indexed="23"/>
      </bottom>
      <diagonal/>
    </border>
    <border>
      <left style="thin">
        <color indexed="23"/>
      </left>
      <right style="dotted">
        <color indexed="21"/>
      </right>
      <top style="dotted">
        <color indexed="21"/>
      </top>
      <bottom style="thin">
        <color indexed="22"/>
      </bottom>
      <diagonal/>
    </border>
    <border>
      <left style="dotted">
        <color indexed="21"/>
      </left>
      <right style="dotted">
        <color indexed="23"/>
      </right>
      <top style="dotted">
        <color indexed="21"/>
      </top>
      <bottom style="thin">
        <color indexed="22"/>
      </bottom>
      <diagonal/>
    </border>
    <border>
      <left style="dotted">
        <color indexed="23"/>
      </left>
      <right style="dotted">
        <color indexed="23"/>
      </right>
      <top style="dotted">
        <color indexed="21"/>
      </top>
      <bottom style="thin">
        <color indexed="22"/>
      </bottom>
      <diagonal/>
    </border>
    <border>
      <left/>
      <right/>
      <top/>
      <bottom style="thin">
        <color indexed="23"/>
      </bottom>
      <diagonal/>
    </border>
    <border>
      <left style="thin">
        <color indexed="23"/>
      </left>
      <right style="thin">
        <color indexed="21"/>
      </right>
      <top style="thin">
        <color indexed="23"/>
      </top>
      <bottom style="dotted">
        <color indexed="21"/>
      </bottom>
      <diagonal/>
    </border>
    <border>
      <left style="thin">
        <color indexed="21"/>
      </left>
      <right style="dotted">
        <color indexed="21"/>
      </right>
      <top style="thin">
        <color indexed="23"/>
      </top>
      <bottom style="dotted">
        <color indexed="21"/>
      </bottom>
      <diagonal/>
    </border>
    <border>
      <left style="dotted">
        <color indexed="21"/>
      </left>
      <right style="dotted">
        <color indexed="21"/>
      </right>
      <top style="thin">
        <color indexed="23"/>
      </top>
      <bottom style="thin">
        <color indexed="23"/>
      </bottom>
      <diagonal/>
    </border>
    <border>
      <left style="dotted">
        <color indexed="21"/>
      </left>
      <right style="thin">
        <color indexed="22"/>
      </right>
      <top style="thin">
        <color indexed="23"/>
      </top>
      <bottom style="dotted">
        <color indexed="21"/>
      </bottom>
      <diagonal/>
    </border>
    <border>
      <left style="thin">
        <color indexed="23"/>
      </left>
      <right style="thin">
        <color indexed="21"/>
      </right>
      <top style="dotted">
        <color indexed="21"/>
      </top>
      <bottom style="dotted">
        <color indexed="21"/>
      </bottom>
      <diagonal/>
    </border>
    <border>
      <left style="thin">
        <color indexed="21"/>
      </left>
      <right style="dotted">
        <color indexed="21"/>
      </right>
      <top style="dotted">
        <color indexed="21"/>
      </top>
      <bottom style="thin">
        <color indexed="23"/>
      </bottom>
      <diagonal/>
    </border>
    <border>
      <left style="dotted">
        <color indexed="21"/>
      </left>
      <right style="thin">
        <color indexed="22"/>
      </right>
      <top style="dotted">
        <color indexed="21"/>
      </top>
      <bottom style="dotted">
        <color indexed="21"/>
      </bottom>
      <diagonal/>
    </border>
    <border>
      <left style="thin">
        <color indexed="21"/>
      </left>
      <right style="dotted">
        <color indexed="21"/>
      </right>
      <top style="thin">
        <color indexed="23"/>
      </top>
      <bottom style="thin">
        <color indexed="23"/>
      </bottom>
      <diagonal/>
    </border>
    <border>
      <left style="thin">
        <color indexed="23"/>
      </left>
      <right style="thin">
        <color indexed="21"/>
      </right>
      <top style="dotted">
        <color indexed="21"/>
      </top>
      <bottom style="thin">
        <color indexed="22"/>
      </bottom>
      <diagonal/>
    </border>
    <border>
      <left style="thin">
        <color indexed="21"/>
      </left>
      <right style="dotted">
        <color indexed="21"/>
      </right>
      <top style="thin">
        <color indexed="23"/>
      </top>
      <bottom style="thin">
        <color indexed="16"/>
      </bottom>
      <diagonal/>
    </border>
    <border>
      <left style="dotted">
        <color indexed="21"/>
      </left>
      <right style="dotted">
        <color indexed="21"/>
      </right>
      <top style="thin">
        <color indexed="23"/>
      </top>
      <bottom style="thin">
        <color indexed="16"/>
      </bottom>
      <diagonal/>
    </border>
    <border>
      <left style="dotted">
        <color indexed="21"/>
      </left>
      <right style="dotted">
        <color indexed="21"/>
      </right>
      <top style="dotted">
        <color indexed="21"/>
      </top>
      <bottom style="thin">
        <color indexed="16"/>
      </bottom>
      <diagonal/>
    </border>
    <border>
      <left style="dotted">
        <color indexed="21"/>
      </left>
      <right style="thin">
        <color indexed="22"/>
      </right>
      <top style="dotted">
        <color indexed="21"/>
      </top>
      <bottom style="thin">
        <color indexed="22"/>
      </bottom>
      <diagonal/>
    </border>
    <border>
      <left style="thin">
        <color indexed="16"/>
      </left>
      <right style="thin">
        <color indexed="21"/>
      </right>
      <top style="thin">
        <color indexed="21"/>
      </top>
      <bottom style="dotted">
        <color indexed="21"/>
      </bottom>
      <diagonal/>
    </border>
    <border>
      <left style="thin">
        <color indexed="21"/>
      </left>
      <right style="thin">
        <color indexed="16"/>
      </right>
      <top style="thin">
        <color indexed="21"/>
      </top>
      <bottom style="dotted">
        <color indexed="21"/>
      </bottom>
      <diagonal/>
    </border>
    <border>
      <left style="thin">
        <color indexed="16"/>
      </left>
      <right style="thin">
        <color indexed="21"/>
      </right>
      <top style="dotted">
        <color indexed="21"/>
      </top>
      <bottom style="dotted">
        <color indexed="21"/>
      </bottom>
      <diagonal/>
    </border>
    <border>
      <left style="thin">
        <color indexed="21"/>
      </left>
      <right style="thin">
        <color indexed="16"/>
      </right>
      <top style="dotted">
        <color indexed="21"/>
      </top>
      <bottom style="dotted">
        <color indexed="21"/>
      </bottom>
      <diagonal/>
    </border>
    <border>
      <left style="thin">
        <color indexed="16"/>
      </left>
      <right style="thin">
        <color indexed="21"/>
      </right>
      <top style="dotted">
        <color indexed="21"/>
      </top>
      <bottom style="thin">
        <color indexed="16"/>
      </bottom>
      <diagonal/>
    </border>
    <border>
      <left style="thin">
        <color indexed="21"/>
      </left>
      <right style="thin">
        <color indexed="16"/>
      </right>
      <top style="dotted">
        <color indexed="21"/>
      </top>
      <bottom style="thin">
        <color indexed="16"/>
      </bottom>
      <diagonal/>
    </border>
    <border>
      <left style="dotted">
        <color indexed="21"/>
      </left>
      <right style="thin">
        <color indexed="16"/>
      </right>
      <top style="thin">
        <color indexed="21"/>
      </top>
      <bottom style="dotted">
        <color indexed="21"/>
      </bottom>
      <diagonal/>
    </border>
    <border>
      <left style="dotted">
        <color indexed="21"/>
      </left>
      <right style="thin">
        <color indexed="16"/>
      </right>
      <top style="dotted">
        <color indexed="21"/>
      </top>
      <bottom style="dotted">
        <color indexed="21"/>
      </bottom>
      <diagonal/>
    </border>
    <border>
      <left style="thin">
        <color indexed="21"/>
      </left>
      <right style="dotted">
        <color indexed="21"/>
      </right>
      <top style="dotted">
        <color indexed="21"/>
      </top>
      <bottom style="thin">
        <color indexed="16"/>
      </bottom>
      <diagonal/>
    </border>
    <border>
      <left style="dotted">
        <color indexed="21"/>
      </left>
      <right style="thin">
        <color indexed="16"/>
      </right>
      <top style="dotted">
        <color indexed="21"/>
      </top>
      <bottom style="thin">
        <color indexed="16"/>
      </bottom>
      <diagonal/>
    </border>
    <border>
      <left style="thin">
        <color indexed="16"/>
      </left>
      <right style="thin">
        <color indexed="21"/>
      </right>
      <top style="thin">
        <color indexed="21"/>
      </top>
      <bottom style="thin">
        <color indexed="16"/>
      </bottom>
      <diagonal/>
    </border>
    <border>
      <left style="thin">
        <color indexed="21"/>
      </left>
      <right style="dotted">
        <color indexed="21"/>
      </right>
      <top/>
      <bottom style="thin">
        <color indexed="16"/>
      </bottom>
      <diagonal/>
    </border>
    <border>
      <left style="dotted">
        <color indexed="21"/>
      </left>
      <right style="dotted">
        <color indexed="21"/>
      </right>
      <top/>
      <bottom style="thin">
        <color indexed="16"/>
      </bottom>
      <diagonal/>
    </border>
    <border>
      <left style="dotted">
        <color indexed="21"/>
      </left>
      <right style="thin">
        <color indexed="16"/>
      </right>
      <top style="thin">
        <color indexed="21"/>
      </top>
      <bottom style="thin">
        <color indexed="16"/>
      </bottom>
      <diagonal/>
    </border>
    <border>
      <left style="dotted">
        <color indexed="23"/>
      </left>
      <right style="dotted">
        <color indexed="21"/>
      </right>
      <top style="thin">
        <color indexed="21"/>
      </top>
      <bottom style="dotted">
        <color indexed="21"/>
      </bottom>
      <diagonal/>
    </border>
    <border>
      <left style="dotted">
        <color indexed="21"/>
      </left>
      <right style="dotted">
        <color indexed="21"/>
      </right>
      <top/>
      <bottom style="dotted">
        <color indexed="21"/>
      </bottom>
      <diagonal/>
    </border>
    <border>
      <left style="dotted">
        <color indexed="23"/>
      </left>
      <right style="dotted">
        <color indexed="21"/>
      </right>
      <top style="dotted">
        <color indexed="21"/>
      </top>
      <bottom style="dotted">
        <color indexed="21"/>
      </bottom>
      <diagonal/>
    </border>
    <border>
      <left style="dotted">
        <color indexed="21"/>
      </left>
      <right style="dotted">
        <color indexed="23"/>
      </right>
      <top style="dotted">
        <color indexed="21"/>
      </top>
      <bottom style="thin">
        <color indexed="16"/>
      </bottom>
      <diagonal/>
    </border>
    <border>
      <left style="dotted">
        <color indexed="23"/>
      </left>
      <right style="dotted">
        <color indexed="23"/>
      </right>
      <top style="dotted">
        <color indexed="21"/>
      </top>
      <bottom style="thin">
        <color indexed="16"/>
      </bottom>
      <diagonal/>
    </border>
    <border>
      <left style="dotted">
        <color indexed="23"/>
      </left>
      <right style="dotted">
        <color indexed="21"/>
      </right>
      <top style="dotted">
        <color indexed="21"/>
      </top>
      <bottom style="thin">
        <color indexed="16"/>
      </bottom>
      <diagonal/>
    </border>
    <border>
      <left/>
      <right/>
      <top/>
      <bottom style="thin">
        <color indexed="23"/>
      </bottom>
      <diagonal/>
    </border>
    <border>
      <left style="thin">
        <color indexed="16"/>
      </left>
      <right style="thin">
        <color indexed="23"/>
      </right>
      <top style="thin">
        <color indexed="23"/>
      </top>
      <bottom style="dotted">
        <color indexed="21"/>
      </bottom>
      <diagonal/>
    </border>
    <border>
      <left style="thin">
        <color indexed="16"/>
      </left>
      <right style="thin">
        <color indexed="23"/>
      </right>
      <top style="dotted">
        <color indexed="21"/>
      </top>
      <bottom style="dotted">
        <color indexed="21"/>
      </bottom>
      <diagonal/>
    </border>
    <border>
      <left style="thin">
        <color indexed="16"/>
      </left>
      <right style="thin">
        <color indexed="23"/>
      </right>
      <top style="dotted">
        <color indexed="21"/>
      </top>
      <bottom style="thin">
        <color indexed="16"/>
      </bottom>
      <diagonal/>
    </border>
    <border>
      <left style="thin">
        <color indexed="23"/>
      </left>
      <right style="dotted">
        <color indexed="21"/>
      </right>
      <top style="dotted">
        <color indexed="21"/>
      </top>
      <bottom style="thin">
        <color indexed="16"/>
      </bottom>
      <diagonal/>
    </border>
  </borders>
  <cellStyleXfs count="1">
    <xf numFmtId="0" fontId="0" fillId="0" borderId="0" applyNumberFormat="0" applyFill="0" applyBorder="0" applyProtection="0">
      <alignment vertical="top" wrapText="1"/>
    </xf>
  </cellStyleXfs>
  <cellXfs count="27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4" fillId="3" borderId="0" xfId="0" applyFont="1" applyFill="1" applyAlignment="1"/>
    <xf numFmtId="0" fontId="0" fillId="0" borderId="0" xfId="0" applyNumberFormat="1" applyFont="1" applyAlignment="1">
      <alignment vertical="top" wrapText="1"/>
    </xf>
    <xf numFmtId="49" fontId="0" fillId="0" borderId="1" xfId="0" applyNumberFormat="1" applyFont="1" applyBorder="1" applyAlignment="1">
      <alignment vertical="top" wrapText="1"/>
    </xf>
    <xf numFmtId="164" fontId="0" fillId="0" borderId="2" xfId="0" applyNumberFormat="1" applyFont="1" applyBorder="1" applyAlignment="1">
      <alignment horizontal="left" vertical="top" wrapText="1"/>
    </xf>
    <xf numFmtId="49" fontId="0" fillId="0" borderId="3" xfId="0" applyNumberFormat="1" applyFont="1" applyBorder="1" applyAlignment="1">
      <alignment vertical="top" wrapText="1"/>
    </xf>
    <xf numFmtId="49" fontId="0" fillId="0" borderId="4" xfId="0" applyNumberFormat="1" applyFont="1" applyBorder="1" applyAlignment="1">
      <alignment vertical="top" wrapText="1"/>
    </xf>
    <xf numFmtId="49" fontId="0" fillId="0" borderId="5" xfId="0" applyNumberFormat="1" applyFont="1" applyBorder="1" applyAlignment="1">
      <alignment vertical="top" wrapText="1"/>
    </xf>
    <xf numFmtId="49" fontId="0" fillId="0" borderId="6" xfId="0" applyNumberFormat="1" applyFont="1" applyBorder="1" applyAlignment="1">
      <alignment vertical="top" wrapText="1"/>
    </xf>
    <xf numFmtId="49" fontId="0" fillId="0" borderId="7" xfId="0" applyNumberFormat="1" applyFont="1" applyBorder="1" applyAlignment="1">
      <alignment vertical="top" wrapText="1"/>
    </xf>
    <xf numFmtId="49" fontId="0" fillId="0" borderId="8" xfId="0" applyNumberFormat="1" applyFont="1" applyBorder="1" applyAlignment="1">
      <alignment vertical="top" wrapText="1"/>
    </xf>
    <xf numFmtId="0" fontId="0" fillId="0" borderId="6" xfId="0" applyFont="1" applyBorder="1" applyAlignment="1">
      <alignment vertical="top" wrapText="1"/>
    </xf>
    <xf numFmtId="0" fontId="0" fillId="0" borderId="8" xfId="0" applyNumberFormat="1" applyFont="1" applyBorder="1" applyAlignment="1">
      <alignment horizontal="left" vertical="top" wrapText="1"/>
    </xf>
    <xf numFmtId="0" fontId="0" fillId="0" borderId="9" xfId="0" applyFont="1" applyBorder="1" applyAlignment="1">
      <alignment vertical="top" wrapText="1"/>
    </xf>
    <xf numFmtId="0" fontId="0" fillId="0" borderId="10" xfId="0" applyFont="1" applyBorder="1" applyAlignment="1">
      <alignment vertical="top" wrapText="1"/>
    </xf>
    <xf numFmtId="49" fontId="0" fillId="0" borderId="11" xfId="0" applyNumberFormat="1" applyFont="1" applyBorder="1" applyAlignment="1">
      <alignment vertical="top" wrapText="1"/>
    </xf>
    <xf numFmtId="49" fontId="0" fillId="0" borderId="12" xfId="0" applyNumberFormat="1" applyFont="1" applyBorder="1" applyAlignment="1">
      <alignment vertical="top" wrapText="1"/>
    </xf>
    <xf numFmtId="0" fontId="5" fillId="0" borderId="0" xfId="0" applyNumberFormat="1" applyFont="1" applyAlignment="1">
      <alignment horizontal="center" vertical="top" wrapText="1"/>
    </xf>
    <xf numFmtId="49" fontId="6" fillId="0" borderId="13" xfId="0" applyNumberFormat="1" applyFont="1" applyBorder="1" applyAlignment="1">
      <alignment horizontal="center" vertical="top" wrapText="1"/>
    </xf>
    <xf numFmtId="49" fontId="7" fillId="0" borderId="13" xfId="0" applyNumberFormat="1" applyFont="1" applyBorder="1" applyAlignment="1">
      <alignment horizontal="center" vertical="top" wrapText="1"/>
    </xf>
    <xf numFmtId="165" fontId="8" fillId="0" borderId="13" xfId="0" applyNumberFormat="1" applyFont="1" applyBorder="1" applyAlignment="1">
      <alignment horizontal="center" vertical="top" wrapText="1"/>
    </xf>
    <xf numFmtId="1" fontId="8" fillId="0" borderId="13" xfId="0" applyNumberFormat="1" applyFont="1" applyBorder="1" applyAlignment="1">
      <alignment horizontal="center" vertical="top" wrapText="1"/>
    </xf>
    <xf numFmtId="0" fontId="8" fillId="0" borderId="13" xfId="0" applyNumberFormat="1" applyFont="1" applyBorder="1" applyAlignment="1">
      <alignment horizontal="center" vertical="top" wrapText="1"/>
    </xf>
    <xf numFmtId="2" fontId="6" fillId="0" borderId="13" xfId="0" applyNumberFormat="1" applyFont="1" applyBorder="1" applyAlignment="1">
      <alignment horizontal="center" vertical="top" wrapText="1"/>
    </xf>
    <xf numFmtId="0" fontId="5" fillId="0" borderId="13" xfId="0" applyFont="1" applyBorder="1" applyAlignment="1">
      <alignment horizontal="center" vertical="top" wrapText="1"/>
    </xf>
    <xf numFmtId="166" fontId="6" fillId="0" borderId="13"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166"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1" fontId="8" fillId="0" borderId="14" xfId="0" applyNumberFormat="1" applyFont="1" applyBorder="1" applyAlignment="1">
      <alignment horizontal="center" vertical="top" wrapText="1"/>
    </xf>
    <xf numFmtId="166" fontId="9" fillId="0" borderId="14" xfId="0" applyNumberFormat="1" applyFont="1" applyBorder="1" applyAlignment="1">
      <alignment horizontal="center" vertical="top" wrapText="1"/>
    </xf>
    <xf numFmtId="0" fontId="3" fillId="0" borderId="0" xfId="0" applyNumberFormat="1" applyFont="1" applyAlignment="1">
      <alignment horizontal="center" vertical="center" wrapText="1"/>
    </xf>
    <xf numFmtId="49" fontId="10" fillId="0" borderId="15" xfId="0" applyNumberFormat="1" applyFont="1" applyBorder="1" applyAlignment="1">
      <alignment horizontal="center" vertical="center" wrapText="1"/>
    </xf>
    <xf numFmtId="0" fontId="11" fillId="4" borderId="15" xfId="0" applyFont="1" applyFill="1" applyBorder="1" applyAlignment="1">
      <alignment horizontal="left"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49" fontId="12" fillId="4" borderId="18" xfId="0" applyNumberFormat="1" applyFont="1" applyFill="1" applyBorder="1" applyAlignment="1">
      <alignment horizontal="center" vertical="center" wrapText="1"/>
    </xf>
    <xf numFmtId="49" fontId="11" fillId="0" borderId="15" xfId="0" applyNumberFormat="1" applyFont="1" applyBorder="1" applyAlignment="1">
      <alignment horizontal="left" vertical="center" wrapText="1"/>
    </xf>
    <xf numFmtId="49" fontId="12" fillId="5" borderId="15" xfId="0" applyNumberFormat="1" applyFont="1" applyFill="1" applyBorder="1" applyAlignment="1">
      <alignment horizontal="center" vertical="center" wrapText="1"/>
    </xf>
    <xf numFmtId="49" fontId="12" fillId="5" borderId="19" xfId="0" applyNumberFormat="1" applyFont="1" applyFill="1" applyBorder="1" applyAlignment="1">
      <alignment horizontal="center" vertical="center" wrapText="1"/>
    </xf>
    <xf numFmtId="0" fontId="10" fillId="5" borderId="20" xfId="0" applyFont="1" applyFill="1" applyBorder="1" applyAlignment="1">
      <alignment horizontal="center" vertical="center" wrapText="1"/>
    </xf>
    <xf numFmtId="49" fontId="10" fillId="5" borderId="21" xfId="0" applyNumberFormat="1" applyFont="1" applyFill="1" applyBorder="1" applyAlignment="1">
      <alignment horizontal="center" vertical="center" wrapText="1"/>
    </xf>
    <xf numFmtId="49" fontId="10" fillId="0" borderId="22" xfId="0" applyNumberFormat="1" applyFont="1" applyBorder="1" applyAlignment="1">
      <alignment horizontal="center" vertical="center" wrapText="1"/>
    </xf>
    <xf numFmtId="49" fontId="13" fillId="0" borderId="23" xfId="0" applyNumberFormat="1" applyFont="1" applyBorder="1" applyAlignment="1">
      <alignment horizontal="center" vertical="center" wrapText="1"/>
    </xf>
    <xf numFmtId="49" fontId="13" fillId="4" borderId="23" xfId="0" applyNumberFormat="1" applyFont="1" applyFill="1" applyBorder="1" applyAlignment="1">
      <alignment horizontal="center" vertical="center" wrapText="1"/>
    </xf>
    <xf numFmtId="49" fontId="13" fillId="4" borderId="24" xfId="0" applyNumberFormat="1" applyFont="1" applyFill="1" applyBorder="1" applyAlignment="1">
      <alignment horizontal="center" vertical="center" wrapText="1"/>
    </xf>
    <xf numFmtId="49" fontId="13" fillId="4" borderId="25" xfId="0" applyNumberFormat="1" applyFont="1" applyFill="1" applyBorder="1" applyAlignment="1">
      <alignment horizontal="center" vertical="center" wrapText="1"/>
    </xf>
    <xf numFmtId="49" fontId="13" fillId="4" borderId="26" xfId="0" applyNumberFormat="1" applyFont="1" applyFill="1" applyBorder="1" applyAlignment="1">
      <alignment horizontal="center" vertical="center" wrapText="1"/>
    </xf>
    <xf numFmtId="49" fontId="13" fillId="5" borderId="23" xfId="0" applyNumberFormat="1" applyFont="1" applyFill="1" applyBorder="1" applyAlignment="1">
      <alignment horizontal="center" vertical="center" wrapText="1"/>
    </xf>
    <xf numFmtId="0" fontId="14" fillId="0" borderId="27" xfId="0" applyNumberFormat="1" applyFont="1" applyBorder="1" applyAlignment="1">
      <alignment horizontal="center" vertical="center" wrapText="1"/>
    </xf>
    <xf numFmtId="167" fontId="3" fillId="0" borderId="28" xfId="0" applyNumberFormat="1" applyFont="1" applyBorder="1" applyAlignment="1">
      <alignment horizontal="center" vertical="center" wrapText="1"/>
    </xf>
    <xf numFmtId="0" fontId="3" fillId="0" borderId="29" xfId="0" applyNumberFormat="1" applyFont="1" applyBorder="1" applyAlignment="1">
      <alignment horizontal="center" vertical="center" wrapText="1"/>
    </xf>
    <xf numFmtId="0" fontId="3" fillId="0" borderId="30" xfId="0" applyNumberFormat="1" applyFont="1" applyBorder="1" applyAlignment="1">
      <alignment horizontal="center" vertical="center" wrapText="1"/>
    </xf>
    <xf numFmtId="0" fontId="13" fillId="0" borderId="29" xfId="0" applyNumberFormat="1" applyFont="1" applyBorder="1" applyAlignment="1">
      <alignment horizontal="center" vertical="center" wrapText="1"/>
    </xf>
    <xf numFmtId="167" fontId="3" fillId="0" borderId="29" xfId="0" applyNumberFormat="1" applyFont="1" applyBorder="1" applyAlignment="1">
      <alignment horizontal="center" vertical="center" wrapText="1"/>
    </xf>
    <xf numFmtId="168" fontId="3" fillId="0" borderId="29" xfId="0" applyNumberFormat="1" applyFont="1" applyBorder="1" applyAlignment="1">
      <alignment horizontal="center" vertical="center" wrapText="1"/>
    </xf>
    <xf numFmtId="168" fontId="15" fillId="0" borderId="31" xfId="0" applyNumberFormat="1" applyFont="1" applyBorder="1" applyAlignment="1">
      <alignment horizontal="center" vertical="center" wrapText="1"/>
    </xf>
    <xf numFmtId="2" fontId="15" fillId="0" borderId="29" xfId="0" applyNumberFormat="1" applyFont="1" applyBorder="1" applyAlignment="1">
      <alignment horizontal="center" vertical="center" wrapText="1"/>
    </xf>
    <xf numFmtId="2" fontId="15" fillId="0" borderId="31" xfId="0" applyNumberFormat="1" applyFont="1" applyBorder="1" applyAlignment="1">
      <alignment horizontal="center" vertical="center" wrapText="1"/>
    </xf>
    <xf numFmtId="49" fontId="3" fillId="0" borderId="32" xfId="0" applyNumberFormat="1" applyFont="1" applyBorder="1" applyAlignment="1">
      <alignment horizontal="center" vertical="center" wrapText="1"/>
    </xf>
    <xf numFmtId="0" fontId="14" fillId="0" borderId="33" xfId="0" applyNumberFormat="1" applyFont="1" applyBorder="1" applyAlignment="1">
      <alignment horizontal="center" vertical="center" wrapText="1"/>
    </xf>
    <xf numFmtId="167" fontId="3" fillId="6" borderId="34" xfId="0" applyNumberFormat="1" applyFont="1" applyFill="1" applyBorder="1" applyAlignment="1">
      <alignment horizontal="center" vertical="center" wrapText="1"/>
    </xf>
    <xf numFmtId="49" fontId="3" fillId="6" borderId="35" xfId="0" applyNumberFormat="1" applyFont="1" applyFill="1" applyBorder="1" applyAlignment="1">
      <alignment horizontal="center" vertical="center" wrapText="1"/>
    </xf>
    <xf numFmtId="0" fontId="3" fillId="6" borderId="35" xfId="0" applyNumberFormat="1" applyFont="1" applyFill="1" applyBorder="1" applyAlignment="1">
      <alignment horizontal="center" vertical="center" wrapText="1"/>
    </xf>
    <xf numFmtId="0" fontId="3" fillId="6" borderId="36" xfId="0" applyNumberFormat="1" applyFont="1" applyFill="1" applyBorder="1" applyAlignment="1">
      <alignment horizontal="center" vertical="center" wrapText="1"/>
    </xf>
    <xf numFmtId="0" fontId="13" fillId="6" borderId="35" xfId="0" applyNumberFormat="1" applyFont="1" applyFill="1" applyBorder="1" applyAlignment="1">
      <alignment horizontal="center" vertical="center" wrapText="1"/>
    </xf>
    <xf numFmtId="167" fontId="3" fillId="6" borderId="35" xfId="0" applyNumberFormat="1" applyFont="1" applyFill="1" applyBorder="1" applyAlignment="1">
      <alignment horizontal="center" vertical="center" wrapText="1"/>
    </xf>
    <xf numFmtId="168" fontId="3" fillId="6" borderId="35" xfId="0" applyNumberFormat="1" applyFont="1" applyFill="1" applyBorder="1" applyAlignment="1">
      <alignment horizontal="center" vertical="center" wrapText="1"/>
    </xf>
    <xf numFmtId="168" fontId="15" fillId="6" borderId="37" xfId="0" applyNumberFormat="1" applyFont="1" applyFill="1" applyBorder="1" applyAlignment="1">
      <alignment horizontal="center" vertical="center" wrapText="1"/>
    </xf>
    <xf numFmtId="2" fontId="15" fillId="6" borderId="35" xfId="0" applyNumberFormat="1" applyFont="1" applyFill="1" applyBorder="1" applyAlignment="1">
      <alignment horizontal="center" vertical="center" wrapText="1"/>
    </xf>
    <xf numFmtId="2" fontId="15" fillId="6" borderId="37" xfId="0" applyNumberFormat="1" applyFont="1" applyFill="1" applyBorder="1" applyAlignment="1">
      <alignment horizontal="center" vertical="center" wrapText="1"/>
    </xf>
    <xf numFmtId="49" fontId="3" fillId="6" borderId="38" xfId="0" applyNumberFormat="1" applyFont="1" applyFill="1" applyBorder="1" applyAlignment="1">
      <alignment horizontal="center" vertical="center" wrapText="1"/>
    </xf>
    <xf numFmtId="167" fontId="3" fillId="0" borderId="39" xfId="0" applyNumberFormat="1" applyFont="1" applyBorder="1" applyAlignment="1">
      <alignment horizontal="center" vertical="center" wrapText="1"/>
    </xf>
    <xf numFmtId="0" fontId="3" fillId="0" borderId="40" xfId="0" applyNumberFormat="1" applyFont="1" applyBorder="1" applyAlignment="1">
      <alignment horizontal="center" vertical="center" wrapText="1"/>
    </xf>
    <xf numFmtId="0" fontId="3" fillId="0" borderId="41"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0" fontId="13" fillId="0" borderId="35" xfId="0" applyNumberFormat="1" applyFont="1" applyBorder="1" applyAlignment="1">
      <alignment horizontal="center" vertical="center" wrapText="1"/>
    </xf>
    <xf numFmtId="167" fontId="3" fillId="0" borderId="35" xfId="0" applyNumberFormat="1" applyFont="1" applyBorder="1" applyAlignment="1">
      <alignment horizontal="center" vertical="center" wrapText="1"/>
    </xf>
    <xf numFmtId="168" fontId="3" fillId="0" borderId="35" xfId="0" applyNumberFormat="1" applyFont="1" applyBorder="1" applyAlignment="1">
      <alignment horizontal="center" vertical="center" wrapText="1"/>
    </xf>
    <xf numFmtId="168" fontId="15" fillId="0" borderId="37" xfId="0" applyNumberFormat="1" applyFont="1" applyBorder="1" applyAlignment="1">
      <alignment horizontal="center" vertical="center" wrapText="1"/>
    </xf>
    <xf numFmtId="2" fontId="15" fillId="0" borderId="35" xfId="0" applyNumberFormat="1" applyFont="1" applyBorder="1" applyAlignment="1">
      <alignment horizontal="center" vertical="center" wrapText="1"/>
    </xf>
    <xf numFmtId="2" fontId="15" fillId="0" borderId="37" xfId="0" applyNumberFormat="1" applyFont="1" applyBorder="1" applyAlignment="1">
      <alignment horizontal="center" vertical="center" wrapText="1"/>
    </xf>
    <xf numFmtId="49" fontId="3" fillId="0" borderId="38" xfId="0" applyNumberFormat="1" applyFont="1" applyBorder="1" applyAlignment="1">
      <alignment horizontal="center" vertical="center" wrapText="1"/>
    </xf>
    <xf numFmtId="167" fontId="3" fillId="6" borderId="39" xfId="0" applyNumberFormat="1" applyFont="1" applyFill="1" applyBorder="1" applyAlignment="1">
      <alignment horizontal="center" vertical="center" wrapText="1"/>
    </xf>
    <xf numFmtId="0" fontId="3" fillId="6" borderId="40" xfId="0" applyNumberFormat="1" applyFont="1" applyFill="1" applyBorder="1" applyAlignment="1">
      <alignment horizontal="center" vertical="center" wrapText="1"/>
    </xf>
    <xf numFmtId="0" fontId="3" fillId="6" borderId="41" xfId="0" applyNumberFormat="1" applyFont="1" applyFill="1" applyBorder="1" applyAlignment="1">
      <alignment horizontal="center" vertical="center" wrapText="1"/>
    </xf>
    <xf numFmtId="0" fontId="13" fillId="0" borderId="42" xfId="0" applyNumberFormat="1" applyFont="1" applyBorder="1" applyAlignment="1">
      <alignment horizontal="center" vertical="center" wrapText="1"/>
    </xf>
    <xf numFmtId="49" fontId="3" fillId="0" borderId="43" xfId="0" applyNumberFormat="1" applyFont="1" applyBorder="1" applyAlignment="1">
      <alignment horizontal="center" vertical="center" wrapText="1"/>
    </xf>
    <xf numFmtId="0" fontId="13" fillId="6" borderId="37" xfId="0" applyNumberFormat="1" applyFont="1" applyFill="1" applyBorder="1" applyAlignment="1">
      <alignment horizontal="center" vertical="center" wrapText="1"/>
    </xf>
    <xf numFmtId="49" fontId="3" fillId="6" borderId="44" xfId="0" applyNumberFormat="1" applyFont="1" applyFill="1" applyBorder="1" applyAlignment="1">
      <alignment horizontal="center" vertical="center" wrapText="1"/>
    </xf>
    <xf numFmtId="0" fontId="13" fillId="0" borderId="37" xfId="0" applyNumberFormat="1" applyFont="1" applyBorder="1" applyAlignment="1">
      <alignment horizontal="center" vertical="center" wrapText="1"/>
    </xf>
    <xf numFmtId="49" fontId="3" fillId="0" borderId="44" xfId="0" applyNumberFormat="1" applyFont="1" applyBorder="1" applyAlignment="1">
      <alignment horizontal="center" vertical="center" wrapText="1"/>
    </xf>
    <xf numFmtId="167" fontId="3" fillId="0" borderId="45" xfId="0" applyNumberFormat="1" applyFont="1" applyBorder="1" applyAlignment="1">
      <alignment horizontal="center" vertical="center" wrapText="1"/>
    </xf>
    <xf numFmtId="0" fontId="3" fillId="0" borderId="46" xfId="0" applyNumberFormat="1" applyFont="1" applyBorder="1" applyAlignment="1">
      <alignment horizontal="center" vertical="center" wrapText="1"/>
    </xf>
    <xf numFmtId="0" fontId="3" fillId="0" borderId="47" xfId="0" applyNumberFormat="1" applyFont="1" applyBorder="1" applyAlignment="1">
      <alignment horizontal="center" vertical="center" wrapText="1"/>
    </xf>
    <xf numFmtId="0" fontId="3" fillId="0" borderId="42" xfId="0" applyNumberFormat="1" applyFont="1" applyBorder="1" applyAlignment="1">
      <alignment horizontal="center" vertical="center" wrapText="1"/>
    </xf>
    <xf numFmtId="0" fontId="14" fillId="0" borderId="48" xfId="0" applyNumberFormat="1" applyFont="1" applyBorder="1" applyAlignment="1">
      <alignment horizontal="center" vertical="center" wrapText="1"/>
    </xf>
    <xf numFmtId="167" fontId="3" fillId="6" borderId="49" xfId="0" applyNumberFormat="1" applyFont="1" applyFill="1" applyBorder="1" applyAlignment="1">
      <alignment horizontal="center" vertical="center" wrapText="1"/>
    </xf>
    <xf numFmtId="0" fontId="3" fillId="6" borderId="50" xfId="0" applyNumberFormat="1" applyFont="1" applyFill="1" applyBorder="1" applyAlignment="1">
      <alignment horizontal="center" vertical="center" wrapText="1"/>
    </xf>
    <xf numFmtId="0" fontId="3" fillId="6" borderId="51" xfId="0" applyNumberFormat="1" applyFont="1" applyFill="1" applyBorder="1" applyAlignment="1">
      <alignment horizontal="center" vertical="center" wrapText="1"/>
    </xf>
    <xf numFmtId="0" fontId="3" fillId="6" borderId="37" xfId="0" applyNumberFormat="1" applyFont="1" applyFill="1" applyBorder="1" applyAlignment="1">
      <alignment horizontal="center" vertical="center" wrapText="1"/>
    </xf>
    <xf numFmtId="167" fontId="3" fillId="6" borderId="42" xfId="0" applyNumberFormat="1" applyFont="1" applyFill="1" applyBorder="1" applyAlignment="1">
      <alignment horizontal="center" vertical="center" wrapText="1"/>
    </xf>
    <xf numFmtId="0" fontId="3" fillId="6" borderId="42" xfId="0" applyNumberFormat="1" applyFont="1" applyFill="1" applyBorder="1" applyAlignment="1">
      <alignment horizontal="center" vertical="center" wrapText="1"/>
    </xf>
    <xf numFmtId="168" fontId="3" fillId="6" borderId="42" xfId="0" applyNumberFormat="1" applyFont="1" applyFill="1" applyBorder="1" applyAlignment="1">
      <alignment horizontal="center" vertical="center" wrapText="1"/>
    </xf>
    <xf numFmtId="2" fontId="15" fillId="6" borderId="42"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0" fontId="14" fillId="7" borderId="27" xfId="0" applyNumberFormat="1" applyFont="1" applyFill="1" applyBorder="1" applyAlignment="1">
      <alignment horizontal="center" vertical="center" wrapText="1"/>
    </xf>
    <xf numFmtId="167" fontId="3" fillId="7" borderId="52" xfId="0" applyNumberFormat="1" applyFont="1" applyFill="1" applyBorder="1" applyAlignment="1">
      <alignment horizontal="center" vertical="center" wrapText="1"/>
    </xf>
    <xf numFmtId="0" fontId="3" fillId="7" borderId="53" xfId="0" applyNumberFormat="1" applyFont="1" applyFill="1" applyBorder="1" applyAlignment="1">
      <alignment horizontal="center" vertical="center" wrapText="1"/>
    </xf>
    <xf numFmtId="0" fontId="3" fillId="7" borderId="54" xfId="0" applyNumberFormat="1" applyFont="1" applyFill="1" applyBorder="1" applyAlignment="1">
      <alignment horizontal="center" vertical="center" wrapText="1"/>
    </xf>
    <xf numFmtId="0" fontId="13" fillId="7" borderId="55" xfId="0" applyNumberFormat="1" applyFont="1" applyFill="1" applyBorder="1" applyAlignment="1">
      <alignment horizontal="center" vertical="center" wrapText="1"/>
    </xf>
    <xf numFmtId="167" fontId="3" fillId="7" borderId="53" xfId="0" applyNumberFormat="1" applyFont="1" applyFill="1" applyBorder="1" applyAlignment="1">
      <alignment horizontal="center" vertical="center" wrapText="1"/>
    </xf>
    <xf numFmtId="168" fontId="3" fillId="7" borderId="53" xfId="0" applyNumberFormat="1" applyFont="1" applyFill="1" applyBorder="1" applyAlignment="1">
      <alignment horizontal="center" vertical="center" wrapText="1"/>
    </xf>
    <xf numFmtId="168" fontId="3" fillId="7" borderId="56" xfId="0" applyNumberFormat="1" applyFont="1" applyFill="1" applyBorder="1" applyAlignment="1">
      <alignment horizontal="center" vertical="center" wrapText="1"/>
    </xf>
    <xf numFmtId="168" fontId="15" fillId="7" borderId="31" xfId="0" applyNumberFormat="1" applyFont="1" applyFill="1" applyBorder="1" applyAlignment="1">
      <alignment horizontal="center" vertical="center" wrapText="1"/>
    </xf>
    <xf numFmtId="2" fontId="15" fillId="7" borderId="29" xfId="0" applyNumberFormat="1" applyFont="1" applyFill="1" applyBorder="1" applyAlignment="1">
      <alignment horizontal="center" vertical="center" wrapText="1"/>
    </xf>
    <xf numFmtId="2" fontId="15" fillId="7" borderId="31" xfId="0" applyNumberFormat="1" applyFont="1" applyFill="1" applyBorder="1" applyAlignment="1">
      <alignment horizontal="center" vertical="center" wrapText="1"/>
    </xf>
    <xf numFmtId="49" fontId="3" fillId="7" borderId="57" xfId="0" applyNumberFormat="1" applyFont="1" applyFill="1" applyBorder="1" applyAlignment="1">
      <alignment horizontal="center" vertical="center" wrapText="1"/>
    </xf>
    <xf numFmtId="49" fontId="14" fillId="7" borderId="33" xfId="0" applyNumberFormat="1" applyFont="1" applyFill="1" applyBorder="1" applyAlignment="1">
      <alignment horizontal="center" vertical="center" wrapText="1"/>
    </xf>
    <xf numFmtId="167" fontId="3" fillId="7" borderId="39" xfId="0" applyNumberFormat="1" applyFont="1" applyFill="1" applyBorder="1" applyAlignment="1">
      <alignment horizontal="center" vertical="center" wrapText="1"/>
    </xf>
    <xf numFmtId="0" fontId="3" fillId="7" borderId="40" xfId="0" applyNumberFormat="1" applyFont="1" applyFill="1" applyBorder="1" applyAlignment="1">
      <alignment horizontal="center" vertical="center" wrapText="1"/>
    </xf>
    <xf numFmtId="0" fontId="3" fillId="7" borderId="58" xfId="0" applyNumberFormat="1" applyFont="1" applyFill="1" applyBorder="1" applyAlignment="1">
      <alignment horizontal="center" vertical="center" wrapText="1"/>
    </xf>
    <xf numFmtId="0" fontId="13" fillId="7" borderId="59" xfId="0" applyNumberFormat="1" applyFont="1" applyFill="1" applyBorder="1" applyAlignment="1">
      <alignment horizontal="center" vertical="center" wrapText="1"/>
    </xf>
    <xf numFmtId="167" fontId="3" fillId="7" borderId="40" xfId="0" applyNumberFormat="1" applyFont="1" applyFill="1" applyBorder="1" applyAlignment="1">
      <alignment horizontal="center" vertical="center" wrapText="1"/>
    </xf>
    <xf numFmtId="168" fontId="3" fillId="7" borderId="40" xfId="0" applyNumberFormat="1" applyFont="1" applyFill="1" applyBorder="1" applyAlignment="1">
      <alignment horizontal="center" vertical="center" wrapText="1"/>
    </xf>
    <xf numFmtId="168" fontId="3" fillId="7" borderId="41" xfId="0" applyNumberFormat="1" applyFont="1" applyFill="1" applyBorder="1" applyAlignment="1">
      <alignment horizontal="center" vertical="center" wrapText="1"/>
    </xf>
    <xf numFmtId="168" fontId="15" fillId="7" borderId="37" xfId="0" applyNumberFormat="1" applyFont="1" applyFill="1" applyBorder="1" applyAlignment="1">
      <alignment horizontal="center" vertical="center" wrapText="1"/>
    </xf>
    <xf numFmtId="2" fontId="15" fillId="7" borderId="35" xfId="0" applyNumberFormat="1" applyFont="1" applyFill="1" applyBorder="1" applyAlignment="1">
      <alignment horizontal="center" vertical="center" wrapText="1"/>
    </xf>
    <xf numFmtId="2" fontId="15" fillId="7" borderId="37" xfId="0" applyNumberFormat="1" applyFont="1" applyFill="1" applyBorder="1" applyAlignment="1">
      <alignment horizontal="center" vertical="center" wrapText="1"/>
    </xf>
    <xf numFmtId="49" fontId="3" fillId="7" borderId="44" xfId="0" applyNumberFormat="1" applyFont="1" applyFill="1" applyBorder="1" applyAlignment="1">
      <alignment horizontal="center" vertical="center" wrapText="1"/>
    </xf>
    <xf numFmtId="0" fontId="14" fillId="7" borderId="33" xfId="0" applyNumberFormat="1" applyFont="1" applyFill="1" applyBorder="1" applyAlignment="1">
      <alignment horizontal="center" vertical="center" wrapText="1"/>
    </xf>
    <xf numFmtId="0" fontId="3" fillId="7" borderId="60" xfId="0" applyNumberFormat="1" applyFont="1" applyFill="1" applyBorder="1" applyAlignment="1">
      <alignment horizontal="center" vertical="center" wrapText="1"/>
    </xf>
    <xf numFmtId="49" fontId="14" fillId="7" borderId="48" xfId="0" applyNumberFormat="1" applyFont="1" applyFill="1" applyBorder="1" applyAlignment="1">
      <alignment horizontal="center" vertical="center" wrapText="1"/>
    </xf>
    <xf numFmtId="167" fontId="3" fillId="7" borderId="61" xfId="0" applyNumberFormat="1" applyFont="1" applyFill="1" applyBorder="1" applyAlignment="1">
      <alignment horizontal="center" vertical="center" wrapText="1"/>
    </xf>
    <xf numFmtId="0" fontId="3" fillId="7" borderId="62" xfId="0" applyNumberFormat="1" applyFont="1" applyFill="1" applyBorder="1" applyAlignment="1">
      <alignment horizontal="center" vertical="center" wrapText="1"/>
    </xf>
    <xf numFmtId="0" fontId="3" fillId="7" borderId="63" xfId="0" applyNumberFormat="1" applyFont="1" applyFill="1" applyBorder="1" applyAlignment="1">
      <alignment horizontal="center" vertical="center" wrapText="1"/>
    </xf>
    <xf numFmtId="0" fontId="13" fillId="7" borderId="64" xfId="0" applyNumberFormat="1" applyFont="1" applyFill="1" applyBorder="1" applyAlignment="1">
      <alignment horizontal="center" vertical="center" wrapText="1"/>
    </xf>
    <xf numFmtId="167" fontId="3" fillId="7" borderId="62" xfId="0" applyNumberFormat="1" applyFont="1" applyFill="1" applyBorder="1" applyAlignment="1">
      <alignment horizontal="center" vertical="center" wrapText="1"/>
    </xf>
    <xf numFmtId="168" fontId="3" fillId="7" borderId="62" xfId="0" applyNumberFormat="1" applyFont="1" applyFill="1" applyBorder="1" applyAlignment="1">
      <alignment horizontal="center" vertical="center" wrapText="1"/>
    </xf>
    <xf numFmtId="168" fontId="3" fillId="7" borderId="65" xfId="0" applyNumberFormat="1" applyFont="1" applyFill="1" applyBorder="1" applyAlignment="1">
      <alignment horizontal="center" vertical="center" wrapText="1"/>
    </xf>
    <xf numFmtId="2" fontId="15" fillId="7" borderId="66"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49" fontId="13" fillId="0" borderId="67" xfId="0" applyNumberFormat="1" applyFont="1" applyBorder="1" applyAlignment="1">
      <alignment horizontal="center" vertical="center" wrapText="1"/>
    </xf>
    <xf numFmtId="0" fontId="13" fillId="0" borderId="68" xfId="0" applyNumberFormat="1" applyFont="1" applyBorder="1" applyAlignment="1">
      <alignment horizontal="center" vertical="center" wrapText="1"/>
    </xf>
    <xf numFmtId="167" fontId="3" fillId="0" borderId="69" xfId="0" applyNumberFormat="1" applyFont="1" applyBorder="1" applyAlignment="1">
      <alignment horizontal="center" vertical="center" wrapText="1"/>
    </xf>
    <xf numFmtId="167" fontId="3" fillId="0" borderId="70" xfId="0" applyNumberFormat="1" applyFont="1" applyBorder="1" applyAlignment="1">
      <alignment horizontal="center" vertical="center" wrapText="1"/>
    </xf>
    <xf numFmtId="0" fontId="3" fillId="0" borderId="53" xfId="0" applyNumberFormat="1" applyFont="1" applyBorder="1" applyAlignment="1">
      <alignment horizontal="center" vertical="center" wrapText="1"/>
    </xf>
    <xf numFmtId="169" fontId="3" fillId="0" borderId="71" xfId="0" applyNumberFormat="1" applyFont="1" applyBorder="1" applyAlignment="1">
      <alignment horizontal="center" vertical="center" wrapText="1"/>
    </xf>
    <xf numFmtId="0" fontId="13" fillId="7" borderId="72" xfId="0" applyNumberFormat="1" applyFont="1" applyFill="1" applyBorder="1" applyAlignment="1">
      <alignment horizontal="center" vertical="center" wrapText="1"/>
    </xf>
    <xf numFmtId="167" fontId="3" fillId="7" borderId="73" xfId="0" applyNumberFormat="1" applyFont="1" applyFill="1" applyBorder="1" applyAlignment="1">
      <alignment horizontal="center" vertical="center" wrapText="1"/>
    </xf>
    <xf numFmtId="167" fontId="3" fillId="7" borderId="70" xfId="0" applyNumberFormat="1" applyFont="1" applyFill="1" applyBorder="1" applyAlignment="1">
      <alignment horizontal="center" vertical="center" wrapText="1"/>
    </xf>
    <xf numFmtId="169" fontId="3" fillId="7" borderId="74" xfId="0" applyNumberFormat="1" applyFont="1" applyFill="1" applyBorder="1" applyAlignment="1">
      <alignment horizontal="center" vertical="center" wrapText="1"/>
    </xf>
    <xf numFmtId="0" fontId="13" fillId="0" borderId="72" xfId="0" applyNumberFormat="1" applyFont="1" applyBorder="1" applyAlignment="1">
      <alignment horizontal="center" vertical="center" wrapText="1"/>
    </xf>
    <xf numFmtId="167" fontId="3" fillId="0" borderId="75" xfId="0" applyNumberFormat="1" applyFont="1" applyBorder="1" applyAlignment="1">
      <alignment horizontal="center" vertical="center" wrapText="1"/>
    </xf>
    <xf numFmtId="169" fontId="3" fillId="0" borderId="74" xfId="0" applyNumberFormat="1" applyFont="1" applyBorder="1" applyAlignment="1">
      <alignment horizontal="center" vertical="center" wrapText="1"/>
    </xf>
    <xf numFmtId="167" fontId="3" fillId="6" borderId="69" xfId="0" applyNumberFormat="1" applyFont="1" applyFill="1" applyBorder="1" applyAlignment="1">
      <alignment horizontal="center" vertical="center" wrapText="1"/>
    </xf>
    <xf numFmtId="167" fontId="3" fillId="6" borderId="70" xfId="0" applyNumberFormat="1" applyFont="1" applyFill="1" applyBorder="1" applyAlignment="1">
      <alignment horizontal="center" vertical="center" wrapText="1"/>
    </xf>
    <xf numFmtId="169" fontId="3" fillId="6" borderId="74" xfId="0" applyNumberFormat="1" applyFont="1" applyFill="1" applyBorder="1" applyAlignment="1">
      <alignment horizontal="center" vertical="center" wrapText="1"/>
    </xf>
    <xf numFmtId="167" fontId="3" fillId="6" borderId="75" xfId="0" applyNumberFormat="1" applyFont="1" applyFill="1" applyBorder="1" applyAlignment="1">
      <alignment horizontal="center" vertical="center" wrapText="1"/>
    </xf>
    <xf numFmtId="0" fontId="13" fillId="0" borderId="76" xfId="0" applyNumberFormat="1" applyFont="1" applyBorder="1" applyAlignment="1">
      <alignment horizontal="center" vertical="center" wrapText="1"/>
    </xf>
    <xf numFmtId="167" fontId="3" fillId="0" borderId="77" xfId="0" applyNumberFormat="1" applyFont="1" applyBorder="1" applyAlignment="1">
      <alignment horizontal="center" vertical="center" wrapText="1"/>
    </xf>
    <xf numFmtId="167" fontId="3" fillId="0" borderId="78" xfId="0" applyNumberFormat="1" applyFont="1" applyBorder="1" applyAlignment="1">
      <alignment horizontal="center" vertical="center" wrapText="1"/>
    </xf>
    <xf numFmtId="0" fontId="3" fillId="0" borderId="79" xfId="0" applyNumberFormat="1" applyFont="1" applyBorder="1" applyAlignment="1">
      <alignment horizontal="center" vertical="center" wrapText="1"/>
    </xf>
    <xf numFmtId="169" fontId="3" fillId="0" borderId="80" xfId="0" applyNumberFormat="1" applyFont="1" applyBorder="1" applyAlignment="1">
      <alignment horizontal="center" vertical="center" wrapText="1"/>
    </xf>
    <xf numFmtId="0" fontId="0" fillId="0" borderId="0" xfId="0" applyNumberFormat="1" applyFont="1" applyAlignment="1">
      <alignment vertical="top" wrapText="1"/>
    </xf>
    <xf numFmtId="49" fontId="0" fillId="0" borderId="16" xfId="0" applyNumberFormat="1" applyFont="1" applyBorder="1" applyAlignment="1">
      <alignment vertical="top" wrapText="1"/>
    </xf>
    <xf numFmtId="164" fontId="0" fillId="0" borderId="17" xfId="0" applyNumberFormat="1" applyFont="1" applyBorder="1" applyAlignment="1">
      <alignment horizontal="left" vertical="top" wrapText="1"/>
    </xf>
    <xf numFmtId="0" fontId="3" fillId="0" borderId="0" xfId="0" applyNumberFormat="1" applyFont="1" applyAlignment="1">
      <alignment horizontal="center" vertical="center" wrapText="1"/>
    </xf>
    <xf numFmtId="49" fontId="13" fillId="0" borderId="15" xfId="0" applyNumberFormat="1" applyFont="1" applyBorder="1" applyAlignment="1">
      <alignment horizontal="center" vertical="center" wrapText="1"/>
    </xf>
    <xf numFmtId="0" fontId="11" fillId="0" borderId="15" xfId="0" applyFont="1" applyBorder="1" applyAlignment="1">
      <alignment horizontal="left" vertical="center" wrapText="1"/>
    </xf>
    <xf numFmtId="49" fontId="11" fillId="0" borderId="23" xfId="0" applyNumberFormat="1" applyFont="1" applyBorder="1" applyAlignment="1">
      <alignment horizontal="center" vertical="center" wrapText="1"/>
    </xf>
    <xf numFmtId="49" fontId="10" fillId="0" borderId="81" xfId="0" applyNumberFormat="1" applyFont="1" applyBorder="1" applyAlignment="1">
      <alignment horizontal="center" vertical="center" wrapText="1"/>
    </xf>
    <xf numFmtId="166" fontId="3" fillId="0" borderId="82" xfId="0" applyNumberFormat="1" applyFont="1" applyBorder="1" applyAlignment="1">
      <alignment horizontal="center" vertical="center" wrapText="1"/>
    </xf>
    <xf numFmtId="49" fontId="10" fillId="0" borderId="83" xfId="0" applyNumberFormat="1" applyFont="1" applyBorder="1" applyAlignment="1">
      <alignment horizontal="center" vertical="center" wrapText="1"/>
    </xf>
    <xf numFmtId="166" fontId="3" fillId="6" borderId="84" xfId="0" applyNumberFormat="1" applyFont="1" applyFill="1" applyBorder="1" applyAlignment="1">
      <alignment horizontal="center" vertical="center" wrapText="1"/>
    </xf>
    <xf numFmtId="166" fontId="3" fillId="0" borderId="84" xfId="0" applyNumberFormat="1" applyFont="1" applyBorder="1" applyAlignment="1">
      <alignment horizontal="center" vertical="center" wrapText="1"/>
    </xf>
    <xf numFmtId="49" fontId="10" fillId="0" borderId="85" xfId="0" applyNumberFormat="1" applyFont="1" applyBorder="1" applyAlignment="1">
      <alignment horizontal="center" vertical="center" wrapText="1"/>
    </xf>
    <xf numFmtId="166" fontId="3" fillId="6" borderId="86"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167" fontId="3" fillId="0" borderId="52" xfId="0" applyNumberFormat="1" applyFont="1" applyBorder="1" applyAlignment="1">
      <alignment horizontal="center" vertical="center" wrapText="1"/>
    </xf>
    <xf numFmtId="49" fontId="3" fillId="0" borderId="53" xfId="0" applyNumberFormat="1" applyFont="1" applyBorder="1" applyAlignment="1">
      <alignment horizontal="center" vertical="center" wrapText="1"/>
    </xf>
    <xf numFmtId="167" fontId="3" fillId="0" borderId="53" xfId="0" applyNumberFormat="1" applyFont="1" applyBorder="1" applyAlignment="1">
      <alignment horizontal="center" vertical="center" wrapText="1"/>
    </xf>
    <xf numFmtId="0" fontId="15" fillId="0" borderId="53" xfId="0" applyNumberFormat="1" applyFont="1" applyBorder="1" applyAlignment="1">
      <alignment horizontal="center" vertical="center" wrapText="1"/>
    </xf>
    <xf numFmtId="0" fontId="3" fillId="0" borderId="87" xfId="0" applyFont="1" applyBorder="1" applyAlignment="1">
      <alignment horizontal="center" vertical="center" wrapText="1"/>
    </xf>
    <xf numFmtId="0" fontId="3" fillId="0" borderId="40" xfId="0" applyFont="1" applyBorder="1" applyAlignment="1">
      <alignment horizontal="center" vertical="center" wrapText="1"/>
    </xf>
    <xf numFmtId="167" fontId="3" fillId="0" borderId="40" xfId="0" applyNumberFormat="1" applyFont="1" applyBorder="1" applyAlignment="1">
      <alignment horizontal="center" vertical="center" wrapText="1"/>
    </xf>
    <xf numFmtId="0" fontId="15" fillId="0" borderId="40" xfId="0" applyFont="1" applyBorder="1" applyAlignment="1">
      <alignment horizontal="center" vertical="center" wrapText="1"/>
    </xf>
    <xf numFmtId="49" fontId="3" fillId="0" borderId="88" xfId="0" applyNumberFormat="1" applyFont="1" applyBorder="1" applyAlignment="1">
      <alignment horizontal="center" vertical="center" wrapText="1"/>
    </xf>
    <xf numFmtId="49" fontId="3" fillId="8" borderId="89" xfId="0" applyNumberFormat="1" applyFont="1" applyFill="1" applyBorder="1" applyAlignment="1">
      <alignment horizontal="center" vertical="center" wrapText="1"/>
    </xf>
    <xf numFmtId="168" fontId="15" fillId="0" borderId="79" xfId="0" applyNumberFormat="1" applyFont="1" applyBorder="1" applyAlignment="1">
      <alignment horizontal="center" vertical="center" wrapText="1"/>
    </xf>
    <xf numFmtId="0" fontId="3" fillId="0" borderId="79" xfId="0" applyFont="1" applyBorder="1" applyAlignment="1">
      <alignment horizontal="center" vertical="center" wrapText="1"/>
    </xf>
    <xf numFmtId="167" fontId="3" fillId="0" borderId="79" xfId="0" applyNumberFormat="1" applyFont="1" applyBorder="1" applyAlignment="1">
      <alignment horizontal="center" vertical="center" wrapText="1"/>
    </xf>
    <xf numFmtId="0" fontId="15" fillId="0" borderId="79" xfId="0" applyFont="1" applyBorder="1" applyAlignment="1">
      <alignment horizontal="center" vertical="center" wrapText="1"/>
    </xf>
    <xf numFmtId="0" fontId="3" fillId="0" borderId="90" xfId="0" applyFont="1" applyBorder="1" applyAlignment="1">
      <alignment horizontal="center" vertical="center" wrapText="1"/>
    </xf>
    <xf numFmtId="0" fontId="3" fillId="0" borderId="0" xfId="0" applyNumberFormat="1" applyFont="1" applyAlignment="1">
      <alignment horizontal="center" vertical="center" wrapText="1"/>
    </xf>
    <xf numFmtId="49" fontId="13" fillId="0" borderId="1"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49" fontId="13" fillId="9" borderId="3" xfId="0" applyNumberFormat="1" applyFont="1" applyFill="1" applyBorder="1" applyAlignment="1">
      <alignment horizontal="center" vertical="center" wrapText="1"/>
    </xf>
    <xf numFmtId="0" fontId="13" fillId="0" borderId="91" xfId="0" applyFont="1" applyBorder="1" applyAlignment="1">
      <alignment horizontal="center" vertical="center" wrapText="1"/>
    </xf>
    <xf numFmtId="0" fontId="3" fillId="0" borderId="92" xfId="0" applyNumberFormat="1" applyFont="1" applyBorder="1" applyAlignment="1">
      <alignment horizontal="center" vertical="center" wrapText="1"/>
    </xf>
    <xf numFmtId="0" fontId="3" fillId="0" borderId="93" xfId="0" applyNumberFormat="1" applyFont="1" applyBorder="1" applyAlignment="1">
      <alignment horizontal="center" vertical="center" wrapText="1"/>
    </xf>
    <xf numFmtId="2" fontId="15" fillId="0" borderId="93" xfId="0" applyNumberFormat="1" applyFont="1" applyBorder="1" applyAlignment="1">
      <alignment horizontal="center" vertical="center" wrapText="1"/>
    </xf>
    <xf numFmtId="0" fontId="3" fillId="0" borderId="94" xfId="0"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15" xfId="0" applyNumberFormat="1" applyFont="1" applyBorder="1" applyAlignment="1">
      <alignment horizontal="center" vertical="center" wrapText="1"/>
    </xf>
    <xf numFmtId="0" fontId="11" fillId="5" borderId="15" xfId="0" applyFont="1" applyFill="1" applyBorder="1" applyAlignment="1">
      <alignment horizontal="left" vertical="center" wrapText="1"/>
    </xf>
    <xf numFmtId="49" fontId="13" fillId="9" borderId="4" xfId="0" applyNumberFormat="1" applyFont="1" applyFill="1" applyBorder="1" applyAlignment="1">
      <alignment horizontal="center" vertical="center" wrapText="1"/>
    </xf>
    <xf numFmtId="0" fontId="13" fillId="0" borderId="81" xfId="0" applyFont="1" applyBorder="1" applyAlignment="1">
      <alignment horizontal="center" vertical="center" wrapText="1"/>
    </xf>
    <xf numFmtId="167" fontId="3" fillId="0" borderId="52" xfId="0" applyNumberFormat="1" applyFont="1" applyBorder="1" applyAlignment="1">
      <alignment horizontal="center" vertical="top" wrapText="1"/>
    </xf>
    <xf numFmtId="0" fontId="3" fillId="0" borderId="53" xfId="0" applyNumberFormat="1" applyFont="1" applyBorder="1" applyAlignment="1">
      <alignment horizontal="center" vertical="top" wrapText="1"/>
    </xf>
    <xf numFmtId="0" fontId="3" fillId="0" borderId="53" xfId="0" applyFont="1" applyBorder="1" applyAlignment="1">
      <alignment horizontal="center" vertical="center" wrapText="1"/>
    </xf>
    <xf numFmtId="0" fontId="3" fillId="0" borderId="56" xfId="0" applyNumberFormat="1" applyFont="1" applyBorder="1" applyAlignment="1">
      <alignment horizontal="center" vertical="center" wrapText="1"/>
    </xf>
    <xf numFmtId="167" fontId="3" fillId="0" borderId="95" xfId="0" applyNumberFormat="1" applyFont="1" applyBorder="1" applyAlignment="1">
      <alignment horizontal="center" vertical="top" wrapText="1"/>
    </xf>
    <xf numFmtId="167" fontId="3" fillId="0" borderId="53" xfId="0" applyNumberFormat="1" applyFont="1" applyBorder="1" applyAlignment="1">
      <alignment horizontal="center" vertical="top" wrapText="1"/>
    </xf>
    <xf numFmtId="0" fontId="3" fillId="0" borderId="53" xfId="0" applyFont="1" applyBorder="1" applyAlignment="1">
      <alignment horizontal="center" vertical="top" wrapText="1"/>
    </xf>
    <xf numFmtId="2" fontId="15" fillId="0" borderId="53" xfId="0" applyNumberFormat="1" applyFont="1" applyBorder="1" applyAlignment="1">
      <alignment horizontal="center" vertical="center" wrapText="1"/>
    </xf>
    <xf numFmtId="2" fontId="16" fillId="0" borderId="53" xfId="0" applyNumberFormat="1" applyFont="1" applyBorder="1" applyAlignment="1">
      <alignment horizontal="center" vertical="center" wrapText="1"/>
    </xf>
    <xf numFmtId="168" fontId="15" fillId="0" borderId="96" xfId="0" applyNumberFormat="1" applyFont="1" applyBorder="1" applyAlignment="1">
      <alignment horizontal="center" vertical="center" wrapText="1"/>
    </xf>
    <xf numFmtId="168" fontId="15" fillId="0" borderId="53" xfId="0" applyNumberFormat="1" applyFont="1" applyBorder="1" applyAlignment="1">
      <alignment horizontal="center" vertical="center" wrapText="1"/>
    </xf>
    <xf numFmtId="49" fontId="3" fillId="0" borderId="87" xfId="0" applyNumberFormat="1" applyFont="1" applyBorder="1" applyAlignment="1">
      <alignment horizontal="center" vertical="center" wrapText="1"/>
    </xf>
    <xf numFmtId="0" fontId="13" fillId="0" borderId="83" xfId="0" applyFont="1" applyBorder="1" applyAlignment="1">
      <alignment horizontal="center" vertical="center" wrapText="1"/>
    </xf>
    <xf numFmtId="167" fontId="3" fillId="6" borderId="39" xfId="0" applyNumberFormat="1" applyFont="1" applyFill="1" applyBorder="1" applyAlignment="1">
      <alignment horizontal="center" vertical="top" wrapText="1"/>
    </xf>
    <xf numFmtId="0" fontId="3" fillId="6" borderId="40" xfId="0" applyFont="1" applyFill="1" applyBorder="1" applyAlignment="1">
      <alignment horizontal="center" vertical="top" wrapText="1"/>
    </xf>
    <xf numFmtId="0" fontId="3" fillId="6" borderId="40" xfId="0" applyFont="1" applyFill="1" applyBorder="1" applyAlignment="1">
      <alignment horizontal="center" vertical="center" wrapText="1"/>
    </xf>
    <xf numFmtId="167" fontId="3" fillId="6" borderId="97" xfId="0" applyNumberFormat="1" applyFont="1" applyFill="1" applyBorder="1" applyAlignment="1">
      <alignment horizontal="center" vertical="top" wrapText="1"/>
    </xf>
    <xf numFmtId="167" fontId="3" fillId="6" borderId="40" xfId="0" applyNumberFormat="1" applyFont="1" applyFill="1" applyBorder="1" applyAlignment="1">
      <alignment horizontal="center" vertical="top" wrapText="1"/>
    </xf>
    <xf numFmtId="0" fontId="15" fillId="6" borderId="40" xfId="0" applyNumberFormat="1" applyFont="1" applyFill="1" applyBorder="1" applyAlignment="1">
      <alignment horizontal="center" vertical="center" wrapText="1"/>
    </xf>
    <xf numFmtId="0" fontId="15" fillId="6" borderId="40"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3" fillId="6" borderId="88" xfId="0" applyNumberFormat="1" applyFont="1" applyFill="1" applyBorder="1" applyAlignment="1">
      <alignment horizontal="center" vertical="center" wrapText="1"/>
    </xf>
    <xf numFmtId="0" fontId="13" fillId="0" borderId="85" xfId="0" applyFont="1" applyBorder="1" applyAlignment="1">
      <alignment horizontal="center" vertical="center" wrapText="1"/>
    </xf>
    <xf numFmtId="167" fontId="3" fillId="0" borderId="89" xfId="0" applyNumberFormat="1" applyFont="1" applyBorder="1" applyAlignment="1">
      <alignment horizontal="center" vertical="top" wrapText="1"/>
    </xf>
    <xf numFmtId="0" fontId="3" fillId="0" borderId="79" xfId="0" applyFont="1" applyBorder="1" applyAlignment="1">
      <alignment horizontal="center" vertical="top" wrapText="1"/>
    </xf>
    <xf numFmtId="0" fontId="3" fillId="0" borderId="98" xfId="0" applyNumberFormat="1" applyFont="1" applyBorder="1" applyAlignment="1">
      <alignment horizontal="center" vertical="center" wrapText="1"/>
    </xf>
    <xf numFmtId="0" fontId="13" fillId="0" borderId="99" xfId="0" applyNumberFormat="1" applyFont="1" applyBorder="1" applyAlignment="1">
      <alignment horizontal="center" vertical="center" wrapText="1"/>
    </xf>
    <xf numFmtId="167" fontId="3" fillId="0" borderId="100" xfId="0" applyNumberFormat="1" applyFont="1" applyBorder="1" applyAlignment="1">
      <alignment horizontal="center" vertical="top" wrapText="1"/>
    </xf>
    <xf numFmtId="167" fontId="3" fillId="0" borderId="79" xfId="0" applyNumberFormat="1" applyFont="1" applyBorder="1" applyAlignment="1">
      <alignment horizontal="center" vertical="top" wrapText="1"/>
    </xf>
    <xf numFmtId="0" fontId="15" fillId="0" borderId="79" xfId="0" applyNumberFormat="1" applyFont="1" applyBorder="1" applyAlignment="1">
      <alignment horizontal="center" vertical="center" wrapText="1"/>
    </xf>
    <xf numFmtId="0" fontId="16" fillId="0" borderId="79" xfId="0" applyFont="1" applyBorder="1" applyAlignment="1">
      <alignment horizontal="center" vertical="center" wrapText="1"/>
    </xf>
    <xf numFmtId="0" fontId="3" fillId="0" borderId="90" xfId="0" applyNumberFormat="1"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24" xfId="0" applyNumberFormat="1" applyFont="1" applyBorder="1" applyAlignment="1">
      <alignment horizontal="center" vertical="center" wrapText="1"/>
    </xf>
    <xf numFmtId="49" fontId="13" fillId="0" borderId="25" xfId="0" applyNumberFormat="1" applyFont="1" applyBorder="1" applyAlignment="1">
      <alignment horizontal="center" vertical="center" wrapText="1"/>
    </xf>
    <xf numFmtId="49" fontId="13" fillId="9" borderId="26" xfId="0" applyNumberFormat="1" applyFont="1" applyFill="1" applyBorder="1" applyAlignment="1">
      <alignment horizontal="center" vertical="center" wrapText="1"/>
    </xf>
    <xf numFmtId="167" fontId="15" fillId="0" borderId="52" xfId="0" applyNumberFormat="1" applyFont="1" applyBorder="1" applyAlignment="1">
      <alignment horizontal="center" vertical="center" wrapText="1"/>
    </xf>
    <xf numFmtId="167" fontId="15" fillId="6" borderId="39" xfId="0" applyNumberFormat="1" applyFont="1" applyFill="1" applyBorder="1" applyAlignment="1">
      <alignment horizontal="center" vertical="center" wrapText="1"/>
    </xf>
    <xf numFmtId="2" fontId="15" fillId="6" borderId="40" xfId="0" applyNumberFormat="1" applyFont="1" applyFill="1" applyBorder="1" applyAlignment="1">
      <alignment horizontal="center" vertical="center" wrapText="1"/>
    </xf>
    <xf numFmtId="0" fontId="3" fillId="6" borderId="88" xfId="0" applyFont="1" applyFill="1" applyBorder="1" applyAlignment="1">
      <alignment horizontal="center" vertical="center" wrapText="1"/>
    </xf>
    <xf numFmtId="167" fontId="15" fillId="0" borderId="89" xfId="0" applyNumberFormat="1" applyFont="1" applyBorder="1" applyAlignment="1">
      <alignment horizontal="center" vertical="center" wrapText="1"/>
    </xf>
    <xf numFmtId="2" fontId="15" fillId="0" borderId="79" xfId="0" applyNumberFormat="1"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101" xfId="0" applyNumberFormat="1" applyFont="1" applyBorder="1" applyAlignment="1">
      <alignment horizontal="center" vertical="center" wrapText="1"/>
    </xf>
    <xf numFmtId="49" fontId="13" fillId="0" borderId="26" xfId="0" applyNumberFormat="1" applyFont="1" applyBorder="1" applyAlignment="1">
      <alignment horizontal="center" vertical="center" wrapText="1"/>
    </xf>
    <xf numFmtId="49" fontId="13" fillId="9" borderId="23" xfId="0" applyNumberFormat="1" applyFont="1" applyFill="1" applyBorder="1" applyAlignment="1">
      <alignment horizontal="center" vertical="center" wrapText="1"/>
    </xf>
    <xf numFmtId="49" fontId="10" fillId="0" borderId="102" xfId="0" applyNumberFormat="1" applyFont="1" applyBorder="1" applyAlignment="1">
      <alignment horizontal="center" vertical="center" wrapText="1"/>
    </xf>
    <xf numFmtId="167" fontId="3" fillId="0" borderId="55" xfId="0" applyNumberFormat="1" applyFont="1" applyBorder="1" applyAlignment="1">
      <alignment horizontal="center" vertical="center" wrapText="1"/>
    </xf>
    <xf numFmtId="49" fontId="10" fillId="0" borderId="103" xfId="0" applyNumberFormat="1" applyFont="1" applyBorder="1" applyAlignment="1">
      <alignment horizontal="center" vertical="center" wrapText="1"/>
    </xf>
    <xf numFmtId="0" fontId="3" fillId="8" borderId="59" xfId="0" applyFont="1" applyFill="1" applyBorder="1" applyAlignment="1">
      <alignment horizontal="center" vertical="center" wrapText="1"/>
    </xf>
    <xf numFmtId="2" fontId="15" fillId="0" borderId="40" xfId="0" applyNumberFormat="1" applyFont="1" applyBorder="1" applyAlignment="1">
      <alignment horizontal="center" vertical="center" wrapText="1"/>
    </xf>
    <xf numFmtId="168" fontId="15" fillId="0" borderId="40" xfId="0" applyNumberFormat="1" applyFont="1" applyBorder="1" applyAlignment="1">
      <alignment horizontal="center" vertical="center" wrapText="1"/>
    </xf>
    <xf numFmtId="2" fontId="3" fillId="0" borderId="88" xfId="0" applyNumberFormat="1" applyFont="1" applyBorder="1" applyAlignment="1">
      <alignment horizontal="center" vertical="center" wrapText="1"/>
    </xf>
    <xf numFmtId="49" fontId="10" fillId="0" borderId="104" xfId="0" applyNumberFormat="1" applyFont="1" applyBorder="1" applyAlignment="1">
      <alignment horizontal="center" vertical="center" wrapText="1"/>
    </xf>
    <xf numFmtId="0" fontId="3" fillId="8" borderId="105" xfId="0" applyFont="1" applyFill="1" applyBorder="1" applyAlignment="1">
      <alignment horizontal="center" vertical="center" wrapText="1"/>
    </xf>
    <xf numFmtId="2" fontId="3" fillId="0" borderId="90" xfId="0" applyNumberFormat="1" applyFont="1" applyBorder="1" applyAlignment="1">
      <alignment horizontal="center" vertical="center" wrapText="1"/>
    </xf>
    <xf numFmtId="0" fontId="18" fillId="0" borderId="0" xfId="0" applyNumberFormat="1" applyFont="1" applyAlignment="1">
      <alignment horizontal="center" vertical="center" wrapText="1"/>
    </xf>
    <xf numFmtId="49" fontId="13" fillId="9" borderId="25" xfId="0" applyNumberFormat="1" applyFont="1" applyFill="1" applyBorder="1" applyAlignment="1">
      <alignment horizontal="center" vertical="center" wrapText="1"/>
    </xf>
    <xf numFmtId="2" fontId="15" fillId="0" borderId="52" xfId="0" applyNumberFormat="1" applyFont="1" applyBorder="1" applyAlignment="1">
      <alignment horizontal="center" vertical="center" wrapText="1"/>
    </xf>
    <xf numFmtId="0" fontId="10" fillId="0" borderId="85" xfId="0" applyFont="1" applyBorder="1" applyAlignment="1">
      <alignment horizontal="center" vertical="center" wrapText="1"/>
    </xf>
    <xf numFmtId="2" fontId="15" fillId="6" borderId="89" xfId="0" applyNumberFormat="1" applyFont="1" applyFill="1" applyBorder="1" applyAlignment="1">
      <alignment horizontal="center" vertical="center" wrapText="1"/>
    </xf>
    <xf numFmtId="0" fontId="15" fillId="6" borderId="79" xfId="0" applyFont="1" applyFill="1" applyBorder="1" applyAlignment="1">
      <alignment horizontal="center" vertical="center" wrapText="1"/>
    </xf>
    <xf numFmtId="0" fontId="3" fillId="6" borderId="79" xfId="0" applyFont="1" applyFill="1" applyBorder="1" applyAlignment="1">
      <alignment horizontal="center" vertical="center" wrapText="1"/>
    </xf>
    <xf numFmtId="0" fontId="3" fillId="6" borderId="90" xfId="0" applyFont="1" applyFill="1" applyBorder="1" applyAlignment="1">
      <alignment horizontal="center" vertical="center" wrapText="1"/>
    </xf>
    <xf numFmtId="0" fontId="0" fillId="0" borderId="0" xfId="0" applyFont="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5F5F5F"/>
      <rgbColor rgb="015E88B1"/>
      <rgbColor rgb="FF000000"/>
      <rgbColor rgb="01EEF3F4"/>
      <rgbColor rgb="FF0000FF"/>
      <rgbColor rgb="FF414040"/>
      <rgbColor rgb="FF222222"/>
      <rgbColor rgb="FF7A7A7A"/>
      <rgbColor rgb="FFDDDDDD"/>
      <rgbColor rgb="FF515151"/>
      <rgbColor rgb="FF9CFBAF"/>
      <rgbColor rgb="FFCBEFFF"/>
      <rgbColor rgb="FFE5F7FF"/>
      <rgbColor rgb="FFBCBCBC"/>
      <rgbColor rgb="FFD7D7D7"/>
      <rgbColor rgb="FFAFAFAF"/>
      <rgbColor rgb="FFFFD7DF"/>
      <rgbColor rgb="FFF0F0F0"/>
      <rgbColor rgb="FFFFB1C4"/>
      <rgbColor rgb="FFFEFFFE"/>
      <rgbColor rgb="FF444344"/>
      <rgbColor rgb="FFA6A6A6"/>
      <rgbColor rgb="FF88847E"/>
      <rgbColor rgb="FFFFBA65"/>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609666"/>
          <c:y val="0.153994"/>
          <c:w val="0.915947"/>
          <c:h val="0.669413"/>
        </c:manualLayout>
      </c:layout>
      <c:scatterChart>
        <c:scatterStyle val="lineMarker"/>
        <c:varyColors val="0"/>
        <c:ser>
          <c:idx val="0"/>
          <c:order val="0"/>
          <c:tx>
            <c:strRef>
              <c:f>'Radiation Counts Log - Runs'!$P$1:$P$2</c:f>
              <c:strCache>
                <c:ptCount val="2"/>
                <c:pt idx="1">
                  <c:v>TRUE DECAY &amp; APERTURE CORR Ge-68 / kdpm / g</c:v>
                </c:pt>
              </c:strCache>
            </c:strRef>
          </c:tx>
          <c:spPr>
            <a:ln w="12700" cap="flat">
              <a:noFill/>
              <a:prstDash val="solid"/>
              <a:miter lim="400000"/>
            </a:ln>
            <a:effectLst/>
          </c:spPr>
          <c:marker>
            <c:symbol val="plus"/>
            <c:size val="2"/>
            <c:spPr>
              <a:solidFill>
                <a:srgbClr val="FFFFFF"/>
              </a:solidFill>
              <a:ln w="25400" cap="flat">
                <a:solidFill>
                  <a:srgbClr val="89847F"/>
                </a:solidFill>
                <a:prstDash val="solid"/>
                <a:miter lim="400000"/>
              </a:ln>
              <a:effectLst/>
            </c:spPr>
          </c:marker>
          <c:xVal>
            <c:numRef>
              <c:f>'Radiation Counts Log - Runs'!$G$3:$G$40</c:f>
              <c:numCache>
                <c:formatCode>hh:mm:ss</c:formatCode>
                <c:ptCount val="38"/>
                <c:pt idx="0">
                  <c:v>41160.50230324074</c:v>
                </c:pt>
                <c:pt idx="1">
                  <c:v>41160.50234953704</c:v>
                </c:pt>
                <c:pt idx="2">
                  <c:v>41160.50241898148</c:v>
                </c:pt>
                <c:pt idx="3">
                  <c:v>41160.5025</c:v>
                </c:pt>
                <c:pt idx="4">
                  <c:v>41160.5025462963</c:v>
                </c:pt>
                <c:pt idx="5">
                  <c:v>41160.5025925926</c:v>
                </c:pt>
                <c:pt idx="6">
                  <c:v>41160.50263888888</c:v>
                </c:pt>
                <c:pt idx="7">
                  <c:v>41160.50268518519</c:v>
                </c:pt>
                <c:pt idx="8">
                  <c:v>41160.50273148148</c:v>
                </c:pt>
                <c:pt idx="9">
                  <c:v>41160.50277777778</c:v>
                </c:pt>
                <c:pt idx="10">
                  <c:v>41160.50282407407</c:v>
                </c:pt>
                <c:pt idx="11">
                  <c:v>41160.50287037037</c:v>
                </c:pt>
                <c:pt idx="12">
                  <c:v>41160.50291666666</c:v>
                </c:pt>
                <c:pt idx="13">
                  <c:v>41160.50297453703</c:v>
                </c:pt>
                <c:pt idx="14">
                  <c:v>41160.50302083333</c:v>
                </c:pt>
                <c:pt idx="15">
                  <c:v>41160.5030787037</c:v>
                </c:pt>
                <c:pt idx="16">
                  <c:v>41160.50313657407</c:v>
                </c:pt>
                <c:pt idx="17">
                  <c:v>41160.50320601852</c:v>
                </c:pt>
                <c:pt idx="18">
                  <c:v>41160.50326388889</c:v>
                </c:pt>
                <c:pt idx="19">
                  <c:v>41160.50332175926</c:v>
                </c:pt>
                <c:pt idx="20">
                  <c:v>41160.50336805556</c:v>
                </c:pt>
                <c:pt idx="21">
                  <c:v>41160.50341435185</c:v>
                </c:pt>
                <c:pt idx="22">
                  <c:v>41160.50346064815</c:v>
                </c:pt>
                <c:pt idx="23">
                  <c:v>41160.50350694444</c:v>
                </c:pt>
                <c:pt idx="24">
                  <c:v>41160.50355324074</c:v>
                </c:pt>
                <c:pt idx="25">
                  <c:v>41160.50359953703</c:v>
                </c:pt>
                <c:pt idx="26">
                  <c:v>41160.5036574074</c:v>
                </c:pt>
                <c:pt idx="27">
                  <c:v>41160.50369212963</c:v>
                </c:pt>
                <c:pt idx="28">
                  <c:v>41160.50375</c:v>
                </c:pt>
                <c:pt idx="29">
                  <c:v>41160.5037962963</c:v>
                </c:pt>
                <c:pt idx="30">
                  <c:v>41160.5038425926</c:v>
                </c:pt>
                <c:pt idx="31">
                  <c:v>41160.50694444444</c:v>
                </c:pt>
                <c:pt idx="32">
                  <c:v>41160.50902777778</c:v>
                </c:pt>
                <c:pt idx="33">
                  <c:v>41160.5125</c:v>
                </c:pt>
                <c:pt idx="34">
                  <c:v>41160.51597222222</c:v>
                </c:pt>
                <c:pt idx="35">
                  <c:v>41160.52291666667</c:v>
                </c:pt>
                <c:pt idx="36">
                  <c:v>41160.53680555556</c:v>
                </c:pt>
                <c:pt idx="37">
                  <c:v>41160.54375</c:v>
                </c:pt>
              </c:numCache>
            </c:numRef>
          </c:xVal>
          <c:yVal>
            <c:numRef>
              <c:f>'Radiation Counts Log - Runs'!$P$3:$P$40</c:f>
              <c:numCache>
                <c:formatCode>0.00</c:formatCode>
                <c:ptCount val="38"/>
                <c:pt idx="0">
                  <c:v>0.0</c:v>
                </c:pt>
                <c:pt idx="1">
                  <c:v>0.0</c:v>
                </c:pt>
                <c:pt idx="2">
                  <c:v>0.150803087771012</c:v>
                </c:pt>
                <c:pt idx="3">
                  <c:v>5194.139403872686</c:v>
                </c:pt>
                <c:pt idx="4">
                  <c:v>6789.239021556828</c:v>
                </c:pt>
                <c:pt idx="5">
                  <c:v>3830.798044940774</c:v>
                </c:pt>
                <c:pt idx="6">
                  <c:v>2628.653401605703</c:v>
                </c:pt>
                <c:pt idx="7">
                  <c:v>2582.69259345166</c:v>
                </c:pt>
                <c:pt idx="8">
                  <c:v>2253.410028798007</c:v>
                </c:pt>
                <c:pt idx="9">
                  <c:v>1739.785674635322</c:v>
                </c:pt>
                <c:pt idx="10">
                  <c:v>1491.228969274939</c:v>
                </c:pt>
                <c:pt idx="11">
                  <c:v>1403.66496054374</c:v>
                </c:pt>
                <c:pt idx="12">
                  <c:v>1337.090689839406</c:v>
                </c:pt>
                <c:pt idx="13">
                  <c:v>1240.951541700288</c:v>
                </c:pt>
                <c:pt idx="14">
                  <c:v>1150.607640156723</c:v>
                </c:pt>
                <c:pt idx="15">
                  <c:v>1074.059205944446</c:v>
                </c:pt>
                <c:pt idx="16">
                  <c:v>1024.977638960765</c:v>
                </c:pt>
                <c:pt idx="17">
                  <c:v>997.4819614061954</c:v>
                </c:pt>
                <c:pt idx="18">
                  <c:v>973.2119337314277</c:v>
                </c:pt>
                <c:pt idx="19">
                  <c:v>947.289669796402</c:v>
                </c:pt>
                <c:pt idx="20">
                  <c:v>932.4741533011213</c:v>
                </c:pt>
                <c:pt idx="21">
                  <c:v>929.2005953419776</c:v>
                </c:pt>
                <c:pt idx="22">
                  <c:v>927.6560771915359</c:v>
                </c:pt>
                <c:pt idx="23">
                  <c:v>935.2053923603957</c:v>
                </c:pt>
                <c:pt idx="24">
                  <c:v>918.3067101034979</c:v>
                </c:pt>
                <c:pt idx="25">
                  <c:v>919.8655866986102</c:v>
                </c:pt>
                <c:pt idx="26">
                  <c:v>930.068566346649</c:v>
                </c:pt>
                <c:pt idx="27">
                  <c:v>912.6386947566772</c:v>
                </c:pt>
                <c:pt idx="28">
                  <c:v>917.877463244492</c:v>
                </c:pt>
                <c:pt idx="29">
                  <c:v>913.5499252744131</c:v>
                </c:pt>
                <c:pt idx="30">
                  <c:v>905.847626544514</c:v>
                </c:pt>
                <c:pt idx="31">
                  <c:v>631.2042721181987</c:v>
                </c:pt>
                <c:pt idx="32">
                  <c:v>524.2907419409838</c:v>
                </c:pt>
                <c:pt idx="33">
                  <c:v>443.1335984135518</c:v>
                </c:pt>
                <c:pt idx="34">
                  <c:v>365.7496439327824</c:v>
                </c:pt>
                <c:pt idx="35">
                  <c:v>302.0571668219564</c:v>
                </c:pt>
                <c:pt idx="36">
                  <c:v>223.8207306099704</c:v>
                </c:pt>
                <c:pt idx="37">
                  <c:v>202.581111760352</c:v>
                </c:pt>
              </c:numCache>
            </c:numRef>
          </c:yVal>
          <c:smooth val="0"/>
        </c:ser>
        <c:dLbls>
          <c:showLegendKey val="0"/>
          <c:showVal val="0"/>
          <c:showCatName val="0"/>
          <c:showSerName val="0"/>
          <c:showPercent val="0"/>
          <c:showBubbleSize val="0"/>
        </c:dLbls>
        <c:axId val="-1025578000"/>
        <c:axId val="-997255104"/>
      </c:scatterChart>
      <c:valAx>
        <c:axId val="-1025578000"/>
        <c:scaling>
          <c:orientation val="minMax"/>
          <c:max val="4.95119E8"/>
        </c:scaling>
        <c:delete val="0"/>
        <c:axPos val="b"/>
        <c:majorTickMark val="none"/>
        <c:minorTickMark val="none"/>
        <c:tickLblPos val="nextTo"/>
        <c:spPr>
          <a:ln w="6350" cap="flat">
            <a:solidFill>
              <a:srgbClr val="A7A7A7"/>
            </a:solidFill>
            <a:prstDash val="solid"/>
            <a:miter lim="400000"/>
          </a:ln>
        </c:spPr>
        <c:txPr>
          <a:bodyPr rot="-18900000"/>
          <a:lstStyle/>
          <a:p>
            <a:pPr>
              <a:defRPr sz="1000" b="0" i="0" u="none" strike="noStrike">
                <a:solidFill>
                  <a:srgbClr val="444444"/>
                </a:solidFill>
                <a:latin typeface="Helvetica Neue"/>
              </a:defRPr>
            </a:pPr>
            <a:endParaRPr lang="en-US"/>
          </a:p>
        </c:txPr>
        <c:crossAx val="-997255104"/>
        <c:crosses val="autoZero"/>
        <c:crossBetween val="between"/>
      </c:valAx>
      <c:valAx>
        <c:axId val="-997255104"/>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solidFill>
              <a:srgbClr val="A7A7A7"/>
            </a:solidFill>
            <a:prstDash val="solid"/>
            <a:miter lim="400000"/>
          </a:ln>
        </c:spPr>
        <c:txPr>
          <a:bodyPr rot="0"/>
          <a:lstStyle/>
          <a:p>
            <a:pPr>
              <a:defRPr sz="1000" b="0" i="0" u="none" strike="noStrike">
                <a:solidFill>
                  <a:srgbClr val="444444"/>
                </a:solidFill>
                <a:latin typeface="Helvetica Neue"/>
              </a:defRPr>
            </a:pPr>
            <a:endParaRPr lang="en-US"/>
          </a:p>
        </c:txPr>
        <c:crossAx val="-1025578000"/>
        <c:crosses val="autoZero"/>
        <c:crossBetween val="between"/>
        <c:majorUnit val="1750.0"/>
        <c:minorUnit val="875.0"/>
      </c:valAx>
      <c:spPr>
        <a:noFill/>
        <a:ln w="12700" cap="flat">
          <a:noFill/>
          <a:miter lim="400000"/>
        </a:ln>
        <a:effectLst/>
      </c:spPr>
    </c:plotArea>
    <c:legend>
      <c:legendPos val="t"/>
      <c:layout>
        <c:manualLayout>
          <c:xMode val="edge"/>
          <c:yMode val="edge"/>
          <c:x val="0.0397534"/>
          <c:y val="0.0"/>
          <c:w val="0.949305"/>
          <c:h val="0.0723803"/>
        </c:manualLayout>
      </c:layout>
      <c:overlay val="1"/>
      <c:spPr>
        <a:noFill/>
        <a:ln w="12700" cap="flat">
          <a:noFill/>
          <a:miter lim="400000"/>
        </a:ln>
        <a:effectLst/>
      </c:spPr>
      <c:txPr>
        <a:bodyPr rot="0"/>
        <a:lstStyle/>
        <a:p>
          <a:pPr>
            <a:defRPr sz="1000" b="0" i="0" u="none" strike="noStrike">
              <a:solidFill>
                <a:srgbClr val="444444"/>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13819</xdr:colOff>
      <xdr:row>4</xdr:row>
      <xdr:rowOff>55245</xdr:rowOff>
    </xdr:to>
    <xdr:sp macro="" textlink="">
      <xdr:nvSpPr>
        <xdr:cNvPr id="2" name="Shape 2"/>
        <xdr:cNvSpPr/>
      </xdr:nvSpPr>
      <xdr:spPr>
        <a:xfrm>
          <a:off x="-6350" y="-46673"/>
          <a:ext cx="16904820" cy="715646"/>
        </a:xfrm>
        <a:prstGeom prst="rect">
          <a:avLst/>
        </a:prstGeom>
        <a:solidFill>
          <a:srgbClr val="606060"/>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80000"/>
            </a:lnSpc>
            <a:spcBef>
              <a:spcPts val="0"/>
            </a:spcBef>
            <a:spcAft>
              <a:spcPts val="0"/>
            </a:spcAft>
            <a:buClrTx/>
            <a:buSzTx/>
            <a:buFontTx/>
            <a:buNone/>
            <a:tabLst/>
            <a:defRPr sz="2300" b="1" i="0" u="none" strike="noStrike" cap="none" spc="0" baseline="0">
              <a:ln>
                <a:noFill/>
              </a:ln>
              <a:solidFill>
                <a:srgbClr val="FFFFFF"/>
              </a:solidFill>
              <a:uFillTx/>
              <a:latin typeface="+mn-lt"/>
              <a:ea typeface="+mn-ea"/>
              <a:cs typeface="+mn-cs"/>
              <a:sym typeface="Helvetica Neue"/>
            </a:defRPr>
          </a:pPr>
          <a:r>
            <a:rPr sz="2300" b="1" i="0" u="none" strike="noStrike" cap="none" spc="0" baseline="0">
              <a:ln>
                <a:noFill/>
              </a:ln>
              <a:solidFill>
                <a:srgbClr val="FFFFFF"/>
              </a:solidFill>
              <a:uFillTx/>
              <a:latin typeface="+mn-lt"/>
              <a:ea typeface="+mn-ea"/>
              <a:cs typeface="+mn-cs"/>
              <a:sym typeface="Helvetica Neue"/>
            </a:rPr>
            <a:t>RADIATION COUNTS LOG</a:t>
          </a:r>
        </a:p>
      </xdr:txBody>
    </xdr:sp>
    <xdr:clientData/>
  </xdr:twoCellAnchor>
  <xdr:twoCellAnchor>
    <xdr:from>
      <xdr:col>7</xdr:col>
      <xdr:colOff>601618</xdr:colOff>
      <xdr:row>4</xdr:row>
      <xdr:rowOff>140576</xdr:rowOff>
    </xdr:from>
    <xdr:to>
      <xdr:col>18</xdr:col>
      <xdr:colOff>866308</xdr:colOff>
      <xdr:row>23</xdr:row>
      <xdr:rowOff>145148</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127091</xdr:rowOff>
    </xdr:from>
    <xdr:to>
      <xdr:col>18</xdr:col>
      <xdr:colOff>864720</xdr:colOff>
      <xdr:row>39</xdr:row>
      <xdr:rowOff>135667</xdr:rowOff>
    </xdr:to>
    <xdr:grpSp>
      <xdr:nvGrpSpPr>
        <xdr:cNvPr id="6" name="Group 6"/>
        <xdr:cNvGrpSpPr/>
      </xdr:nvGrpSpPr>
      <xdr:grpSpPr>
        <a:xfrm>
          <a:off x="0" y="4089491"/>
          <a:ext cx="14479120" cy="2485076"/>
          <a:chOff x="0" y="104"/>
          <a:chExt cx="16866720" cy="2485075"/>
        </a:xfrm>
      </xdr:grpSpPr>
      <xdr:sp macro="" textlink="">
        <xdr:nvSpPr>
          <xdr:cNvPr id="4" name="Shape 4"/>
          <xdr:cNvSpPr/>
        </xdr:nvSpPr>
        <xdr:spPr>
          <a:xfrm>
            <a:off x="0" y="2485159"/>
            <a:ext cx="16866721" cy="22"/>
          </a:xfrm>
          <a:prstGeom prst="line">
            <a:avLst/>
          </a:prstGeom>
          <a:noFill/>
          <a:ln w="12700" cap="flat">
            <a:solidFill>
              <a:srgbClr val="606060"/>
            </a:solidFill>
            <a:prstDash val="solid"/>
            <a:miter lim="400000"/>
          </a:ln>
          <a:effectLst/>
        </xdr:spPr>
        <xdr:txBody>
          <a:bodyPr/>
          <a:lstStyle/>
          <a:p>
            <a:endParaRPr/>
          </a:p>
        </xdr:txBody>
      </xdr:sp>
      <xdr:sp macro="" textlink="">
        <xdr:nvSpPr>
          <xdr:cNvPr id="5" name="Shape 5"/>
          <xdr:cNvSpPr/>
        </xdr:nvSpPr>
        <xdr:spPr>
          <a:xfrm>
            <a:off x="0" y="104"/>
            <a:ext cx="16866721" cy="22"/>
          </a:xfrm>
          <a:prstGeom prst="line">
            <a:avLst/>
          </a:prstGeom>
          <a:noFill/>
          <a:ln w="12700" cap="flat">
            <a:solidFill>
              <a:srgbClr val="606060"/>
            </a:solidFill>
            <a:prstDash val="solid"/>
            <a:miter lim="400000"/>
          </a:ln>
          <a:effectLst/>
        </xdr:spPr>
        <xdr:txBody>
          <a:bodyPr/>
          <a:lstStyle/>
          <a:p>
            <a:endParaRPr/>
          </a:p>
        </xdr:txBody>
      </xdr:sp>
    </xdr:grpSp>
    <xdr:clientData/>
  </xdr:twoCellAnchor>
  <xdr:twoCellAnchor>
    <xdr:from>
      <xdr:col>1</xdr:col>
      <xdr:colOff>492864</xdr:colOff>
      <xdr:row>47</xdr:row>
      <xdr:rowOff>41151</xdr:rowOff>
    </xdr:from>
    <xdr:to>
      <xdr:col>3</xdr:col>
      <xdr:colOff>125021</xdr:colOff>
      <xdr:row>49</xdr:row>
      <xdr:rowOff>55746</xdr:rowOff>
    </xdr:to>
    <xdr:sp macro="" textlink="">
      <xdr:nvSpPr>
        <xdr:cNvPr id="7" name="Shape 7"/>
        <xdr:cNvSpPr txBox="1"/>
      </xdr:nvSpPr>
      <xdr:spPr>
        <a:xfrm>
          <a:off x="1381864" y="7800851"/>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8</xdr:col>
      <xdr:colOff>236681</xdr:colOff>
      <xdr:row>47</xdr:row>
      <xdr:rowOff>41151</xdr:rowOff>
    </xdr:from>
    <xdr:to>
      <xdr:col>9</xdr:col>
      <xdr:colOff>208081</xdr:colOff>
      <xdr:row>49</xdr:row>
      <xdr:rowOff>55746</xdr:rowOff>
    </xdr:to>
    <xdr:sp macro="" textlink="">
      <xdr:nvSpPr>
        <xdr:cNvPr id="8" name="Shape 8"/>
        <xdr:cNvSpPr txBox="1"/>
      </xdr:nvSpPr>
      <xdr:spPr>
        <a:xfrm>
          <a:off x="7348681" y="7800851"/>
          <a:ext cx="860401"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twoCellAnchor>
    <xdr:from>
      <xdr:col>0</xdr:col>
      <xdr:colOff>0</xdr:colOff>
      <xdr:row>42</xdr:row>
      <xdr:rowOff>112009</xdr:rowOff>
    </xdr:from>
    <xdr:to>
      <xdr:col>8</xdr:col>
      <xdr:colOff>219823</xdr:colOff>
      <xdr:row>44</xdr:row>
      <xdr:rowOff>98212</xdr:rowOff>
    </xdr:to>
    <xdr:sp macro="" textlink="">
      <xdr:nvSpPr>
        <xdr:cNvPr id="9" name="Shape 9"/>
        <xdr:cNvSpPr txBox="1"/>
      </xdr:nvSpPr>
      <xdr:spPr>
        <a:xfrm>
          <a:off x="-107696" y="7046209"/>
          <a:ext cx="7331825" cy="31640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tab pos="5943600" algn="r"/>
            </a:tabLst>
            <a:defRPr sz="1200" b="0" i="0" u="none" strike="noStrike" cap="none" spc="0" baseline="0">
              <a:ln>
                <a:noFill/>
              </a:ln>
              <a:solidFill>
                <a:srgbClr val="000000"/>
              </a:solidFill>
              <a:uFillTx/>
              <a:latin typeface="+mn-lt"/>
              <a:ea typeface="+mn-ea"/>
              <a:cs typeface="+mn-cs"/>
              <a:sym typeface="Helvetica Neue"/>
            </a:defRPr>
          </a:pPr>
          <a:r>
            <a:rPr sz="1200" b="0" i="0" u="none" strike="noStrike" cap="none" spc="0" baseline="0">
              <a:ln>
                <a:noFill/>
              </a:ln>
              <a:solidFill>
                <a:srgbClr val="000000"/>
              </a:solidFill>
              <a:uFillTx/>
              <a:latin typeface="+mn-lt"/>
              <a:ea typeface="+mn-ea"/>
              <a:cs typeface="+mn-cs"/>
              <a:sym typeface="Helvetica Neue"/>
            </a:rPr>
            <a:t>All times are local to facility and instrument.  Decay corrections are to time of administration of tracer.</a:t>
          </a:r>
        </a:p>
      </xdr:txBody>
    </xdr:sp>
    <xdr:clientData/>
  </xdr:twoCellAnchor>
  <xdr:twoCellAnchor>
    <xdr:from>
      <xdr:col>1</xdr:col>
      <xdr:colOff>492864</xdr:colOff>
      <xdr:row>113</xdr:row>
      <xdr:rowOff>144183</xdr:rowOff>
    </xdr:from>
    <xdr:to>
      <xdr:col>3</xdr:col>
      <xdr:colOff>125021</xdr:colOff>
      <xdr:row>115</xdr:row>
      <xdr:rowOff>158778</xdr:rowOff>
    </xdr:to>
    <xdr:sp macro="" textlink="">
      <xdr:nvSpPr>
        <xdr:cNvPr id="10" name="Shape 10"/>
        <xdr:cNvSpPr txBox="1"/>
      </xdr:nvSpPr>
      <xdr:spPr>
        <a:xfrm>
          <a:off x="1381864" y="18800483"/>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8</xdr:col>
      <xdr:colOff>234343</xdr:colOff>
      <xdr:row>113</xdr:row>
      <xdr:rowOff>144183</xdr:rowOff>
    </xdr:from>
    <xdr:to>
      <xdr:col>9</xdr:col>
      <xdr:colOff>205742</xdr:colOff>
      <xdr:row>115</xdr:row>
      <xdr:rowOff>158778</xdr:rowOff>
    </xdr:to>
    <xdr:sp macro="" textlink="">
      <xdr:nvSpPr>
        <xdr:cNvPr id="11" name="Shape 11"/>
        <xdr:cNvSpPr txBox="1"/>
      </xdr:nvSpPr>
      <xdr:spPr>
        <a:xfrm>
          <a:off x="7346343" y="18800483"/>
          <a:ext cx="860400"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13819</xdr:colOff>
      <xdr:row>4</xdr:row>
      <xdr:rowOff>55245</xdr:rowOff>
    </xdr:to>
    <xdr:sp macro="" textlink="">
      <xdr:nvSpPr>
        <xdr:cNvPr id="13" name="Shape 13"/>
        <xdr:cNvSpPr/>
      </xdr:nvSpPr>
      <xdr:spPr>
        <a:xfrm>
          <a:off x="-19050" y="-46673"/>
          <a:ext cx="16904820" cy="715646"/>
        </a:xfrm>
        <a:prstGeom prst="rect">
          <a:avLst/>
        </a:prstGeom>
        <a:solidFill>
          <a:srgbClr val="606060"/>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80000"/>
            </a:lnSpc>
            <a:spcBef>
              <a:spcPts val="0"/>
            </a:spcBef>
            <a:spcAft>
              <a:spcPts val="0"/>
            </a:spcAft>
            <a:buClrTx/>
            <a:buSzTx/>
            <a:buFontTx/>
            <a:buNone/>
            <a:tabLst/>
            <a:defRPr sz="2300" b="1" i="0" u="none" strike="noStrike" cap="none" spc="0" baseline="0">
              <a:ln>
                <a:noFill/>
              </a:ln>
              <a:solidFill>
                <a:srgbClr val="FFFFFF"/>
              </a:solidFill>
              <a:uFillTx/>
              <a:latin typeface="+mn-lt"/>
              <a:ea typeface="+mn-ea"/>
              <a:cs typeface="+mn-cs"/>
              <a:sym typeface="Helvetica Neue"/>
            </a:defRPr>
          </a:pPr>
          <a:r>
            <a:rPr sz="2300" b="1" i="0" u="none" strike="noStrike" cap="none" spc="0" baseline="0">
              <a:ln>
                <a:noFill/>
              </a:ln>
              <a:solidFill>
                <a:srgbClr val="FFFFFF"/>
              </a:solidFill>
              <a:uFillTx/>
              <a:latin typeface="+mn-lt"/>
              <a:ea typeface="+mn-ea"/>
              <a:cs typeface="+mn-cs"/>
              <a:sym typeface="Helvetica Neue"/>
            </a:rPr>
            <a:t>TWILITE CALIBRATION</a:t>
          </a:r>
        </a:p>
      </xdr:txBody>
    </xdr:sp>
    <xdr:clientData/>
  </xdr:twoCellAnchor>
  <xdr:twoCellAnchor>
    <xdr:from>
      <xdr:col>2</xdr:col>
      <xdr:colOff>300850</xdr:colOff>
      <xdr:row>36</xdr:row>
      <xdr:rowOff>121704</xdr:rowOff>
    </xdr:from>
    <xdr:to>
      <xdr:col>3</xdr:col>
      <xdr:colOff>822007</xdr:colOff>
      <xdr:row>38</xdr:row>
      <xdr:rowOff>136299</xdr:rowOff>
    </xdr:to>
    <xdr:sp macro="" textlink="">
      <xdr:nvSpPr>
        <xdr:cNvPr id="14" name="Shape 14"/>
        <xdr:cNvSpPr txBox="1"/>
      </xdr:nvSpPr>
      <xdr:spPr>
        <a:xfrm>
          <a:off x="2078850" y="6065304"/>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6</xdr:col>
      <xdr:colOff>338392</xdr:colOff>
      <xdr:row>36</xdr:row>
      <xdr:rowOff>154437</xdr:rowOff>
    </xdr:from>
    <xdr:to>
      <xdr:col>7</xdr:col>
      <xdr:colOff>309792</xdr:colOff>
      <xdr:row>39</xdr:row>
      <xdr:rowOff>3932</xdr:rowOff>
    </xdr:to>
    <xdr:sp macro="" textlink="">
      <xdr:nvSpPr>
        <xdr:cNvPr id="15" name="Shape 15"/>
        <xdr:cNvSpPr txBox="1"/>
      </xdr:nvSpPr>
      <xdr:spPr>
        <a:xfrm>
          <a:off x="5672392" y="6098037"/>
          <a:ext cx="860401"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twoCellAnchor>
    <xdr:from>
      <xdr:col>0</xdr:col>
      <xdr:colOff>0</xdr:colOff>
      <xdr:row>16</xdr:row>
      <xdr:rowOff>58142</xdr:rowOff>
    </xdr:from>
    <xdr:to>
      <xdr:col>18</xdr:col>
      <xdr:colOff>864720</xdr:colOff>
      <xdr:row>16</xdr:row>
      <xdr:rowOff>58142</xdr:rowOff>
    </xdr:to>
    <xdr:sp macro="" textlink="">
      <xdr:nvSpPr>
        <xdr:cNvPr id="16" name="Shape 16"/>
        <xdr:cNvSpPr/>
      </xdr:nvSpPr>
      <xdr:spPr>
        <a:xfrm>
          <a:off x="-1" y="2699742"/>
          <a:ext cx="16866721" cy="1"/>
        </a:xfrm>
        <a:prstGeom prst="line">
          <a:avLst/>
        </a:prstGeom>
        <a:noFill/>
        <a:ln w="6350" cap="flat">
          <a:solidFill>
            <a:srgbClr val="232323"/>
          </a:solidFill>
          <a:prstDash val="solid"/>
          <a:miter lim="400000"/>
        </a:ln>
        <a:effectLst/>
      </xdr:spPr>
      <xdr:txBody>
        <a:bodyPr/>
        <a:lstStyle/>
        <a:p>
          <a:endParaRPr/>
        </a:p>
      </xdr:txBody>
    </xdr:sp>
    <xdr:clientData/>
  </xdr:twoCellAnchor>
  <xdr:twoCellAnchor>
    <xdr:from>
      <xdr:col>9</xdr:col>
      <xdr:colOff>812800</xdr:colOff>
      <xdr:row>5</xdr:row>
      <xdr:rowOff>38100</xdr:rowOff>
    </xdr:from>
    <xdr:to>
      <xdr:col>15</xdr:col>
      <xdr:colOff>203200</xdr:colOff>
      <xdr:row>14</xdr:row>
      <xdr:rowOff>152400</xdr:rowOff>
    </xdr:to>
    <xdr:pic>
      <xdr:nvPicPr>
        <xdr:cNvPr id="17" name="pasted-image.pdf"/>
        <xdr:cNvPicPr>
          <a:picLocks noChangeAspect="1"/>
        </xdr:cNvPicPr>
      </xdr:nvPicPr>
      <xdr:blipFill>
        <a:blip xmlns:r="http://schemas.openxmlformats.org/officeDocument/2006/relationships" r:embed="rId1">
          <a:extLst/>
        </a:blip>
        <a:stretch>
          <a:fillRect/>
        </a:stretch>
      </xdr:blipFill>
      <xdr:spPr>
        <a:xfrm>
          <a:off x="8813800" y="863600"/>
          <a:ext cx="4724400" cy="1600200"/>
        </a:xfrm>
        <a:prstGeom prst="rect">
          <a:avLst/>
        </a:prstGeom>
        <a:ln w="12700" cap="flat">
          <a:noFill/>
          <a:miter lim="400000"/>
        </a:ln>
        <a:effectLst/>
      </xdr:spPr>
    </xdr:pic>
    <xdr:clientData/>
  </xdr:twoCellAnchor>
</xdr:wsDr>
</file>

<file path=xl/theme/theme1.xml><?xml version="1.0" encoding="utf-8"?>
<a:theme xmlns:a="http://schemas.openxmlformats.org/drawingml/2006/main" name="01_Running_Log">
  <a:themeElements>
    <a:clrScheme name="01_Running_Log">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Running_Log">
      <a:majorFont>
        <a:latin typeface="Helvetica Neue"/>
        <a:ea typeface="Helvetica Neue"/>
        <a:cs typeface="Helvetica Neue"/>
      </a:majorFont>
      <a:minorFont>
        <a:latin typeface="Helvetica Neue"/>
        <a:ea typeface="Helvetica Neue"/>
        <a:cs typeface="Helvetica Neue"/>
      </a:minorFont>
    </a:fontScheme>
    <a:fmtScheme name="01_Running_Log">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ctr"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7A7A7A"/>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5"/>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275" t="s">
        <v>0</v>
      </c>
      <c r="C3" s="275"/>
      <c r="D3" s="27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18</v>
      </c>
      <c r="D11" s="4" t="s">
        <v>19</v>
      </c>
    </row>
    <row r="12" spans="2:4" ht="16" x14ac:dyDescent="0.2">
      <c r="B12" s="3"/>
      <c r="C12" s="3" t="s">
        <v>32</v>
      </c>
      <c r="D12" s="4" t="s">
        <v>33</v>
      </c>
    </row>
    <row r="13" spans="2:4" ht="16" x14ac:dyDescent="0.2">
      <c r="B13" s="3"/>
      <c r="C13" s="3" t="s">
        <v>54</v>
      </c>
      <c r="D13" s="4" t="s">
        <v>55</v>
      </c>
    </row>
    <row r="14" spans="2:4" ht="16" x14ac:dyDescent="0.2">
      <c r="B14" s="3"/>
      <c r="C14" s="3" t="s">
        <v>62</v>
      </c>
      <c r="D14" s="4" t="s">
        <v>63</v>
      </c>
    </row>
    <row r="15" spans="2:4" ht="16" x14ac:dyDescent="0.2">
      <c r="B15" s="3"/>
      <c r="C15" s="3" t="s">
        <v>69</v>
      </c>
      <c r="D15" s="4" t="s">
        <v>70</v>
      </c>
    </row>
    <row r="16" spans="2:4" ht="16" x14ac:dyDescent="0.2">
      <c r="B16" s="2" t="s">
        <v>71</v>
      </c>
      <c r="C16" s="2"/>
      <c r="D16" s="2"/>
    </row>
    <row r="17" spans="2:4" ht="16" x14ac:dyDescent="0.2">
      <c r="B17" s="3"/>
      <c r="C17" s="3" t="s">
        <v>5</v>
      </c>
      <c r="D17" s="4" t="s">
        <v>72</v>
      </c>
    </row>
    <row r="18" spans="2:4" ht="16" x14ac:dyDescent="0.2">
      <c r="B18" s="3"/>
      <c r="C18" s="3" t="s">
        <v>32</v>
      </c>
      <c r="D18" s="4" t="s">
        <v>74</v>
      </c>
    </row>
    <row r="19" spans="2:4" ht="16" x14ac:dyDescent="0.2">
      <c r="B19" s="3"/>
      <c r="C19" s="3" t="s">
        <v>62</v>
      </c>
      <c r="D19" s="4" t="s">
        <v>83</v>
      </c>
    </row>
    <row r="20" spans="2:4" ht="16" x14ac:dyDescent="0.2">
      <c r="B20" s="3"/>
      <c r="C20" s="3" t="s">
        <v>98</v>
      </c>
      <c r="D20" s="4" t="s">
        <v>99</v>
      </c>
    </row>
    <row r="21" spans="2:4" ht="16" x14ac:dyDescent="0.2">
      <c r="B21" s="3"/>
      <c r="C21" s="3" t="s">
        <v>104</v>
      </c>
      <c r="D21" s="4" t="s">
        <v>105</v>
      </c>
    </row>
    <row r="22" spans="2:4" ht="16" x14ac:dyDescent="0.2">
      <c r="B22" s="3"/>
      <c r="C22" s="3" t="s">
        <v>109</v>
      </c>
      <c r="D22" s="4" t="s">
        <v>110</v>
      </c>
    </row>
    <row r="23" spans="2:4" ht="16" x14ac:dyDescent="0.2">
      <c r="B23" s="3"/>
      <c r="C23" s="3" t="s">
        <v>122</v>
      </c>
      <c r="D23" s="4" t="s">
        <v>123</v>
      </c>
    </row>
    <row r="24" spans="2:4" ht="16" x14ac:dyDescent="0.2">
      <c r="B24" s="3"/>
      <c r="C24" s="3" t="s">
        <v>136</v>
      </c>
      <c r="D24" s="4" t="s">
        <v>137</v>
      </c>
    </row>
    <row r="25" spans="2:4" ht="16" x14ac:dyDescent="0.2">
      <c r="B25" s="3"/>
      <c r="C25" s="3" t="s">
        <v>69</v>
      </c>
      <c r="D25" s="4" t="s">
        <v>145</v>
      </c>
    </row>
  </sheetData>
  <mergeCells count="1">
    <mergeCell ref="B3:D3"/>
  </mergeCells>
  <hyperlinks>
    <hyperlink ref="D10" location="'Radiation Counts Log - Table 1'!R1C1" display="Radiation Counts Log - Table 1"/>
    <hyperlink ref="D11" location="'Radiation Counts Log - Statisti'!R1C1" display="Radiation Counts Log - Statisti"/>
    <hyperlink ref="D12" location="'Radiation Counts Log - Runs'!R1C1" display="Radiation Counts Log - Runs"/>
    <hyperlink ref="D13" location="'Radiation Counts Log - Runs-1'!R1C1" display="Radiation Counts Log - Runs-1"/>
    <hyperlink ref="D14" location="'Radiation Counts Log - Runs-2'!R1C1" display="Radiation Counts Log - Runs-2"/>
    <hyperlink ref="D15" location="'Radiation Counts Log - Drawings'!R1C1" display="Radiation Counts Log - Drawings"/>
    <hyperlink ref="D17" location="'Twilite Calibration - Table 1'!R1C1" display="Twilite Calibration - Table 1"/>
    <hyperlink ref="D18" location="'Twilite Calibration - Runs'!R1C1" display="Twilite Calibration - Runs"/>
    <hyperlink ref="D19" location="'Twilite Calibration - Runs-2'!R1C1" display="Twilite Calibration - Runs-2"/>
    <hyperlink ref="D20" location="'Twilite Calibration - Runs-2-1'!R1C1" display="Twilite Calibration - Runs-2-1"/>
    <hyperlink ref="D21" location="'Twilite Calibration - Runs-2-2'!R1C1" display="Twilite Calibration - Runs-2-2"/>
    <hyperlink ref="D22" location="'Twilite Calibration - Runs-2-1-'!R1C1" display="Twilite Calibration - Runs-2-1-"/>
    <hyperlink ref="D23" location="'Twilite Calibration - Runs-2-11'!R1C1" display="Twilite Calibration - Runs-2-11"/>
    <hyperlink ref="D24" location="'Twilite Calibration - Runs-2-12'!R1C1" display="Twilite Calibration - Runs-2-12"/>
    <hyperlink ref="D25" location="'Twilite Calibration - Drawings'!R1C1" display="Twilite Calibration - Drawing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20.5" style="181" customWidth="1"/>
    <col min="2" max="2" width="12.33203125" style="181" customWidth="1"/>
    <col min="3" max="3" width="12.5" style="181" customWidth="1"/>
    <col min="4" max="4" width="20.33203125" style="181" customWidth="1"/>
    <col min="5" max="8" width="13" style="181" customWidth="1"/>
    <col min="9" max="9" width="32.6640625" style="181" customWidth="1"/>
    <col min="10" max="256" width="7.1640625" customWidth="1"/>
  </cols>
  <sheetData>
    <row r="1" spans="1:9" ht="44" customHeight="1" x14ac:dyDescent="0.2">
      <c r="A1" s="173" t="s">
        <v>84</v>
      </c>
      <c r="B1" s="46" t="s">
        <v>85</v>
      </c>
      <c r="C1" s="46" t="s">
        <v>86</v>
      </c>
      <c r="D1" s="46" t="s">
        <v>87</v>
      </c>
      <c r="E1" s="46" t="s">
        <v>88</v>
      </c>
      <c r="F1" s="46" t="s">
        <v>89</v>
      </c>
      <c r="G1" s="46" t="s">
        <v>90</v>
      </c>
      <c r="H1" s="46" t="s">
        <v>91</v>
      </c>
      <c r="I1" s="46" t="s">
        <v>50</v>
      </c>
    </row>
    <row r="2" spans="1:9" ht="20.25" customHeight="1" x14ac:dyDescent="0.2">
      <c r="A2" s="174" t="s">
        <v>92</v>
      </c>
      <c r="B2" s="182">
        <v>41160.523263888892</v>
      </c>
      <c r="C2" s="149">
        <v>3.02</v>
      </c>
      <c r="D2" s="183" t="s">
        <v>93</v>
      </c>
      <c r="E2" s="184">
        <v>41160.258333333331</v>
      </c>
      <c r="F2" s="149">
        <v>69.2</v>
      </c>
      <c r="G2" s="149">
        <v>0.4</v>
      </c>
      <c r="H2" s="185">
        <v>2.5197444400739428</v>
      </c>
      <c r="I2" s="186"/>
    </row>
    <row r="3" spans="1:9" ht="20.25" customHeight="1" x14ac:dyDescent="0.2">
      <c r="A3" s="176" t="s">
        <v>94</v>
      </c>
      <c r="B3" s="75">
        <v>41160.523263888892</v>
      </c>
      <c r="C3" s="76">
        <v>0.5</v>
      </c>
      <c r="D3" s="187"/>
      <c r="E3" s="188"/>
      <c r="F3" s="76"/>
      <c r="G3" s="76"/>
      <c r="H3" s="189"/>
      <c r="I3" s="190" t="s">
        <v>95</v>
      </c>
    </row>
    <row r="4" spans="1:9" ht="20" customHeight="1" x14ac:dyDescent="0.2">
      <c r="A4" s="179" t="s">
        <v>96</v>
      </c>
      <c r="B4" s="191" t="s">
        <v>97</v>
      </c>
      <c r="C4" s="192">
        <v>2.488898989288356</v>
      </c>
      <c r="D4" s="193"/>
      <c r="E4" s="194"/>
      <c r="F4" s="165"/>
      <c r="G4" s="165"/>
      <c r="H4" s="195"/>
      <c r="I4" s="196"/>
    </row>
  </sheetData>
  <pageMargins left="0.5" right="0.5" top="0.25" bottom="0.25" header="0.25" footer="0.25"/>
  <pageSetup scale="51" orientation="landscape"/>
  <headerFooter>
    <oddFooter>&amp;C&amp;"Helvetica Neue,Regular"&amp;10&amp;K000000&amp;P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20.5" style="197" customWidth="1"/>
    <col min="2" max="3" width="12.5" style="197" customWidth="1"/>
    <col min="4" max="4" width="20.33203125" style="197" customWidth="1"/>
    <col min="5" max="5" width="84.5" style="197" customWidth="1"/>
    <col min="6" max="256" width="7.1640625" customWidth="1"/>
  </cols>
  <sheetData>
    <row r="1" spans="1:5" ht="44" customHeight="1" x14ac:dyDescent="0.2">
      <c r="A1" s="173" t="s">
        <v>100</v>
      </c>
      <c r="B1" s="198" t="s">
        <v>101</v>
      </c>
      <c r="C1" s="199" t="s">
        <v>102</v>
      </c>
      <c r="D1" s="200" t="s">
        <v>103</v>
      </c>
      <c r="E1" s="46" t="s">
        <v>50</v>
      </c>
    </row>
    <row r="2" spans="1:5" ht="20" customHeight="1" x14ac:dyDescent="0.2">
      <c r="A2" s="201"/>
      <c r="B2" s="202">
        <v>500</v>
      </c>
      <c r="C2" s="203">
        <v>500</v>
      </c>
      <c r="D2" s="204">
        <v>136.81082577992819</v>
      </c>
      <c r="E2" s="205"/>
    </row>
  </sheetData>
  <pageMargins left="0.5" right="0.5" top="0.25" bottom="0.25" header="0.25" footer="0.25"/>
  <pageSetup scale="51" orientation="landscape"/>
  <headerFooter>
    <oddFooter>&amp;C&amp;"Helvetica Neue,Regular"&amp;10&amp;K000000&amp;P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33203125" style="206" customWidth="1"/>
    <col min="2" max="2" width="8" style="206" customWidth="1"/>
    <col min="3" max="3" width="8.83203125" style="206" customWidth="1"/>
    <col min="4" max="4" width="8.33203125" style="206" customWidth="1"/>
    <col min="5" max="5" width="8.1640625" style="206" customWidth="1"/>
    <col min="6" max="6" width="8.33203125" style="206" customWidth="1"/>
    <col min="7" max="7" width="9.33203125" style="206" customWidth="1"/>
    <col min="8" max="8" width="9" style="206" customWidth="1"/>
    <col min="9" max="9" width="8.5" style="206" customWidth="1"/>
    <col min="10" max="10" width="8" style="206" customWidth="1"/>
    <col min="11" max="11" width="6.83203125" style="206" customWidth="1"/>
    <col min="12" max="12" width="7.33203125" style="206" customWidth="1"/>
    <col min="13" max="13" width="7.1640625" style="206" customWidth="1"/>
    <col min="14" max="14" width="8.6640625" style="206" customWidth="1"/>
    <col min="15" max="16" width="9.5" style="206" customWidth="1"/>
    <col min="17" max="17" width="16.1640625" style="206" customWidth="1"/>
    <col min="18" max="18" width="7.6640625" style="206" customWidth="1"/>
    <col min="19" max="19" width="26.1640625" style="206" customWidth="1"/>
    <col min="20" max="256" width="7.1640625" customWidth="1"/>
  </cols>
  <sheetData>
    <row r="1" spans="1:19" ht="39.5" customHeight="1" x14ac:dyDescent="0.2">
      <c r="A1" s="207" t="s">
        <v>106</v>
      </c>
      <c r="B1" s="36"/>
      <c r="C1" s="36"/>
      <c r="D1" s="36"/>
      <c r="E1" s="36"/>
      <c r="F1" s="172"/>
      <c r="G1" s="208"/>
      <c r="H1" s="208"/>
      <c r="I1" s="208"/>
      <c r="J1" s="208"/>
      <c r="K1" s="208"/>
      <c r="L1" s="208"/>
      <c r="M1" s="208"/>
      <c r="N1" s="172"/>
      <c r="O1" s="172"/>
      <c r="P1" s="172"/>
      <c r="Q1" s="172"/>
      <c r="R1" s="172"/>
      <c r="S1" s="172"/>
    </row>
    <row r="2" spans="1:19" ht="68" customHeight="1" x14ac:dyDescent="0.2">
      <c r="A2" s="173"/>
      <c r="B2" s="47" t="s">
        <v>35</v>
      </c>
      <c r="C2" s="48" t="s">
        <v>36</v>
      </c>
      <c r="D2" s="49" t="s">
        <v>37</v>
      </c>
      <c r="E2" s="50" t="s">
        <v>38</v>
      </c>
      <c r="F2" s="46" t="s">
        <v>39</v>
      </c>
      <c r="G2" s="51" t="s">
        <v>40</v>
      </c>
      <c r="H2" s="51" t="s">
        <v>41</v>
      </c>
      <c r="I2" s="51" t="s">
        <v>42</v>
      </c>
      <c r="J2" s="51" t="s">
        <v>43</v>
      </c>
      <c r="K2" s="51" t="s">
        <v>44</v>
      </c>
      <c r="L2" s="51" t="s">
        <v>45</v>
      </c>
      <c r="M2" s="51" t="s">
        <v>46</v>
      </c>
      <c r="N2" s="46" t="s">
        <v>56</v>
      </c>
      <c r="O2" s="46" t="s">
        <v>48</v>
      </c>
      <c r="P2" s="46" t="s">
        <v>57</v>
      </c>
      <c r="Q2" s="209" t="s">
        <v>103</v>
      </c>
      <c r="R2" s="46" t="s">
        <v>107</v>
      </c>
      <c r="S2" s="46" t="s">
        <v>50</v>
      </c>
    </row>
    <row r="3" spans="1:19" ht="20.25" customHeight="1" x14ac:dyDescent="0.2">
      <c r="A3" s="210"/>
      <c r="B3" s="211">
        <v>41160.531770833331</v>
      </c>
      <c r="C3" s="212">
        <v>266</v>
      </c>
      <c r="D3" s="213"/>
      <c r="E3" s="214" t="b">
        <v>1</v>
      </c>
      <c r="F3" s="56" t="s">
        <v>51</v>
      </c>
      <c r="G3" s="215">
        <v>41160.523263888892</v>
      </c>
      <c r="H3" s="216">
        <v>41160.529965277776</v>
      </c>
      <c r="I3" s="217"/>
      <c r="J3" s="217"/>
      <c r="K3" s="212">
        <v>2977</v>
      </c>
      <c r="L3" s="212">
        <v>3.8113000000000001</v>
      </c>
      <c r="M3" s="212">
        <v>5.8967000000000001</v>
      </c>
      <c r="N3" s="185">
        <f>M1:M5-L1:L5</f>
        <v>2.0853999999999999</v>
      </c>
      <c r="O3" s="218">
        <f>K1:K5*1592.7/(53.495*N1:N5^4-298.43*N1:N5^3+191.17*N1:N5^2+1592.7*N1:N5)</f>
        <v>1928.9765005935408</v>
      </c>
      <c r="P3" s="219">
        <v>1504.106976004005</v>
      </c>
      <c r="Q3" s="220">
        <f>P1:P5/60</f>
        <v>25.068449600066749</v>
      </c>
      <c r="R3" s="221">
        <f>Q3/'Twilite Calibration - Runs-2-1'!$D$2</f>
        <v>0.18323440018110462</v>
      </c>
      <c r="S3" s="222" t="s">
        <v>108</v>
      </c>
    </row>
    <row r="4" spans="1:19" ht="20.25" customHeight="1" x14ac:dyDescent="0.2">
      <c r="A4" s="223"/>
      <c r="B4" s="224"/>
      <c r="C4" s="225"/>
      <c r="D4" s="226"/>
      <c r="E4" s="88" t="b">
        <v>0</v>
      </c>
      <c r="F4" s="68" t="s">
        <v>51</v>
      </c>
      <c r="G4" s="227"/>
      <c r="H4" s="228"/>
      <c r="I4" s="225"/>
      <c r="J4" s="225"/>
      <c r="K4" s="225"/>
      <c r="L4" s="225"/>
      <c r="M4" s="225"/>
      <c r="N4" s="229">
        <f>M1:M5-L1:L5</f>
        <v>0</v>
      </c>
      <c r="O4" s="230" t="e">
        <f>K1:K5*1592.7/(53.495*N1:N5^4-298.43*N1:N5^3+191.17*N1:N5^2+1592.7*N1:N5)</f>
        <v>#DIV/0!</v>
      </c>
      <c r="P4" s="231"/>
      <c r="Q4" s="230">
        <f>P1:P5/60</f>
        <v>0</v>
      </c>
      <c r="R4" s="230">
        <f>Q4/'Twilite Calibration - Runs-2-1'!$D$2</f>
        <v>0</v>
      </c>
      <c r="S4" s="232"/>
    </row>
    <row r="5" spans="1:19" ht="20" customHeight="1" x14ac:dyDescent="0.2">
      <c r="A5" s="233"/>
      <c r="B5" s="234"/>
      <c r="C5" s="235"/>
      <c r="D5" s="193"/>
      <c r="E5" s="236" t="b">
        <v>0</v>
      </c>
      <c r="F5" s="237" t="s">
        <v>51</v>
      </c>
      <c r="G5" s="238"/>
      <c r="H5" s="239"/>
      <c r="I5" s="235"/>
      <c r="J5" s="235"/>
      <c r="K5" s="235"/>
      <c r="L5" s="235"/>
      <c r="M5" s="235"/>
      <c r="N5" s="240">
        <f>M1:M5-L1:L5</f>
        <v>0</v>
      </c>
      <c r="O5" s="195" t="e">
        <f>K1:K5*1592.7/(53.495*N1:N5^4-298.43*N1:N5^3+191.17*N1:N5^2+1592.7*N1:N5)</f>
        <v>#DIV/0!</v>
      </c>
      <c r="P5" s="241"/>
      <c r="Q5" s="195">
        <f>P1:P5/60</f>
        <v>0</v>
      </c>
      <c r="R5" s="195">
        <f>Q5/'Twilite Calibration - Runs-2-1'!$D$2</f>
        <v>0</v>
      </c>
      <c r="S5" s="242"/>
    </row>
  </sheetData>
  <pageMargins left="0.5" right="0.5" top="0.25" bottom="0.25" header="0.25" footer="0.25"/>
  <pageSetup scale="51" orientation="landscape"/>
  <headerFooter>
    <oddFooter>&amp;C&amp;"Helvetica Neue,Regular"&amp;10&amp;K000000&amp;P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5" style="243" customWidth="1"/>
    <col min="2" max="2" width="7.83203125" style="243" customWidth="1"/>
    <col min="3" max="4" width="12.83203125" style="243" customWidth="1"/>
    <col min="5" max="5" width="13.83203125" style="243" customWidth="1"/>
    <col min="6" max="6" width="12.83203125" style="243" customWidth="1"/>
    <col min="7" max="7" width="14.33203125" style="243" customWidth="1"/>
    <col min="8" max="8" width="16.33203125" style="243" customWidth="1"/>
    <col min="9" max="9" width="22.5" style="243" customWidth="1"/>
    <col min="10" max="10" width="13.1640625" style="243" customWidth="1"/>
    <col min="11" max="11" width="49.1640625" style="243" customWidth="1"/>
    <col min="12" max="256" width="7.1640625" customWidth="1"/>
  </cols>
  <sheetData>
    <row r="1" spans="1:11" ht="23.5" customHeight="1" x14ac:dyDescent="0.2">
      <c r="A1" s="171"/>
      <c r="B1" s="172"/>
      <c r="C1" s="172"/>
      <c r="D1" s="172"/>
      <c r="E1" s="172"/>
      <c r="F1" s="172"/>
      <c r="G1" s="172"/>
      <c r="H1" s="172"/>
      <c r="I1" s="172"/>
      <c r="J1" s="172"/>
      <c r="K1" s="172"/>
    </row>
    <row r="2" spans="1:11" ht="68" customHeight="1" x14ac:dyDescent="0.2">
      <c r="A2" s="244" t="s">
        <v>111</v>
      </c>
      <c r="B2" s="245" t="s">
        <v>112</v>
      </c>
      <c r="C2" s="245" t="s">
        <v>113</v>
      </c>
      <c r="D2" s="245" t="s">
        <v>114</v>
      </c>
      <c r="E2" s="245" t="s">
        <v>115</v>
      </c>
      <c r="F2" s="245" t="s">
        <v>116</v>
      </c>
      <c r="G2" s="245" t="s">
        <v>117</v>
      </c>
      <c r="H2" s="245" t="s">
        <v>118</v>
      </c>
      <c r="I2" s="246" t="s">
        <v>119</v>
      </c>
      <c r="J2" s="46" t="s">
        <v>107</v>
      </c>
      <c r="K2" s="46" t="s">
        <v>50</v>
      </c>
    </row>
    <row r="3" spans="1:11" ht="68.25" customHeight="1" x14ac:dyDescent="0.2">
      <c r="A3" s="174" t="s">
        <v>120</v>
      </c>
      <c r="B3" s="247">
        <f t="shared" ref="B3:B5" si="0">'Twilite Calibration - Runs-2-11'!$B$2-'Twilite Calibration - Runs'!$B$3</f>
        <v>41160.557326388895</v>
      </c>
      <c r="C3" s="149">
        <v>20</v>
      </c>
      <c r="D3" s="218">
        <f>1.1*C3/152.4</f>
        <v>0.14435695538057741</v>
      </c>
      <c r="E3" s="149">
        <v>91.3</v>
      </c>
      <c r="F3" s="149">
        <v>148.30000000000001</v>
      </c>
      <c r="G3" s="218">
        <f>(0.001)*(F1:F5-E1:E5)/D1:D5</f>
        <v>0.39485454545454562</v>
      </c>
      <c r="H3" s="218">
        <f>G1:G5*'Twilite Calibration - Runs-2-12'!$D$3*'Twilite Calibration - Runs-2-12'!$E$3</f>
        <v>116.60378508000004</v>
      </c>
      <c r="I3" s="218">
        <v>116.60378507999999</v>
      </c>
      <c r="J3" s="221">
        <f>I3/'Twilite Calibration - Runs-2-1'!$D$2</f>
        <v>0.85229940258943437</v>
      </c>
      <c r="K3" s="186"/>
    </row>
    <row r="4" spans="1:11" ht="20.25" customHeight="1" x14ac:dyDescent="0.2">
      <c r="A4" s="176" t="s">
        <v>121</v>
      </c>
      <c r="B4" s="248">
        <f t="shared" si="0"/>
        <v>41160.557326388895</v>
      </c>
      <c r="C4" s="87">
        <v>20</v>
      </c>
      <c r="D4" s="249">
        <f>1.1*C4/152.4</f>
        <v>0.14435695538057741</v>
      </c>
      <c r="E4" s="226"/>
      <c r="F4" s="226"/>
      <c r="G4" s="249">
        <f>(0.001)*(F1:F5-E1:E5)/D1:D5</f>
        <v>0</v>
      </c>
      <c r="H4" s="249">
        <f>G1:G5*'Twilite Calibration - Runs-2-12'!$D$3*'Twilite Calibration - Runs-2-12'!$E$3</f>
        <v>0</v>
      </c>
      <c r="I4" s="230"/>
      <c r="J4" s="230">
        <f>I4/'Twilite Calibration - Runs-2-1'!$D$2</f>
        <v>0</v>
      </c>
      <c r="K4" s="250"/>
    </row>
    <row r="5" spans="1:11" ht="20" customHeight="1" x14ac:dyDescent="0.2">
      <c r="A5" s="179" t="s">
        <v>121</v>
      </c>
      <c r="B5" s="251">
        <f t="shared" si="0"/>
        <v>41160.557326388895</v>
      </c>
      <c r="C5" s="165">
        <v>20</v>
      </c>
      <c r="D5" s="252">
        <f>1.1*C5/152.4</f>
        <v>0.14435695538057741</v>
      </c>
      <c r="E5" s="193"/>
      <c r="F5" s="193"/>
      <c r="G5" s="252">
        <f>(0.001)*(F1:F5-E1:E5)/D1:D5</f>
        <v>0</v>
      </c>
      <c r="H5" s="252">
        <f>G1:G5*'Twilite Calibration - Runs-2-12'!$D$3*'Twilite Calibration - Runs-2-12'!$E$3</f>
        <v>0</v>
      </c>
      <c r="I5" s="195"/>
      <c r="J5" s="195">
        <f>I5/'Twilite Calibration - Runs-2-1'!$D$2</f>
        <v>0</v>
      </c>
      <c r="K5" s="196"/>
    </row>
  </sheetData>
  <pageMargins left="0.5" right="0.5" top="0.25" bottom="0.25" header="0.25" footer="0.25"/>
  <pageSetup scale="51" orientation="landscape"/>
  <headerFooter>
    <oddFooter>&amp;C&amp;"Helvetica Neue,Regular"&amp;10&amp;K000000&amp;P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14.33203125" style="253" customWidth="1"/>
    <col min="2" max="2" width="8" style="253" customWidth="1"/>
    <col min="3" max="4" width="12.83203125" style="253" customWidth="1"/>
    <col min="5" max="5" width="13.83203125" style="253" customWidth="1"/>
    <col min="6" max="6" width="12.83203125" style="253" customWidth="1"/>
    <col min="7" max="7" width="14.5" style="253" customWidth="1"/>
    <col min="8" max="8" width="16.1640625" style="253" customWidth="1"/>
    <col min="9" max="9" width="22.5" style="253" customWidth="1"/>
    <col min="10" max="10" width="13" style="253" customWidth="1"/>
    <col min="11" max="11" width="49.33203125" style="253" customWidth="1"/>
    <col min="12" max="256" width="7.1640625" customWidth="1"/>
  </cols>
  <sheetData>
    <row r="1" spans="1:11" ht="56" customHeight="1" x14ac:dyDescent="0.2">
      <c r="A1" s="254" t="s">
        <v>124</v>
      </c>
      <c r="B1" s="245" t="s">
        <v>125</v>
      </c>
      <c r="C1" s="245" t="s">
        <v>126</v>
      </c>
      <c r="D1" s="245" t="s">
        <v>127</v>
      </c>
      <c r="E1" s="245" t="s">
        <v>128</v>
      </c>
      <c r="F1" s="245" t="s">
        <v>129</v>
      </c>
      <c r="G1" s="245" t="s">
        <v>130</v>
      </c>
      <c r="H1" s="255" t="s">
        <v>131</v>
      </c>
      <c r="I1" s="256" t="s">
        <v>132</v>
      </c>
      <c r="J1" s="46" t="s">
        <v>107</v>
      </c>
      <c r="K1" s="46"/>
    </row>
    <row r="2" spans="1:11" ht="20.25" customHeight="1" x14ac:dyDescent="0.2">
      <c r="A2" s="257" t="s">
        <v>133</v>
      </c>
      <c r="B2" s="258">
        <v>41160.55740740741</v>
      </c>
      <c r="C2" s="149">
        <v>103.61</v>
      </c>
      <c r="D2" s="149">
        <v>22.81</v>
      </c>
      <c r="E2" s="149">
        <v>518</v>
      </c>
      <c r="F2" s="149">
        <v>129746</v>
      </c>
      <c r="G2" s="149">
        <v>41.14</v>
      </c>
      <c r="H2" s="149">
        <v>134.80000000000001</v>
      </c>
      <c r="I2" s="218">
        <v>103.533699821761</v>
      </c>
      <c r="J2" s="221">
        <f>I2/'Twilite Calibration - Runs-2-1'!$D$2</f>
        <v>0.75676540384533408</v>
      </c>
      <c r="K2" s="186"/>
    </row>
    <row r="3" spans="1:11" ht="20.25" customHeight="1" x14ac:dyDescent="0.2">
      <c r="A3" s="259" t="s">
        <v>134</v>
      </c>
      <c r="B3" s="260"/>
      <c r="C3" s="76"/>
      <c r="D3" s="76"/>
      <c r="E3" s="76"/>
      <c r="F3" s="76"/>
      <c r="G3" s="76"/>
      <c r="H3" s="76"/>
      <c r="I3" s="261">
        <v>0</v>
      </c>
      <c r="J3" s="262">
        <f>I3/'Twilite Calibration - Runs-2-1'!$D$2</f>
        <v>0</v>
      </c>
      <c r="K3" s="263"/>
    </row>
    <row r="4" spans="1:11" ht="20" customHeight="1" x14ac:dyDescent="0.2">
      <c r="A4" s="264" t="s">
        <v>135</v>
      </c>
      <c r="B4" s="265"/>
      <c r="C4" s="165"/>
      <c r="D4" s="165"/>
      <c r="E4" s="165"/>
      <c r="F4" s="165"/>
      <c r="G4" s="165"/>
      <c r="H4" s="165"/>
      <c r="I4" s="252">
        <v>0</v>
      </c>
      <c r="J4" s="192">
        <f>I4/'Twilite Calibration - Runs-2-1'!$D$2</f>
        <v>0</v>
      </c>
      <c r="K4" s="266"/>
    </row>
  </sheetData>
  <pageMargins left="0.5" right="0.5" top="0.25" bottom="0.25" header="0.25" footer="0.25"/>
  <pageSetup scale="51" orientation="landscape"/>
  <headerFooter>
    <oddFooter>&amp;C&amp;"Helvetica Neue,Regular"&amp;10&amp;K000000&amp;P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tabSelected="1"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6640625" style="267" customWidth="1"/>
    <col min="2" max="2" width="20.5" style="267" customWidth="1"/>
    <col min="3" max="3" width="26.6640625" style="267" customWidth="1"/>
    <col min="4" max="5" width="27" style="267" customWidth="1"/>
    <col min="6" max="6" width="74" style="267" customWidth="1"/>
    <col min="7" max="256" width="7.1640625" customWidth="1"/>
  </cols>
  <sheetData>
    <row r="1" spans="1:6" ht="23.5" customHeight="1" x14ac:dyDescent="0.2">
      <c r="A1" s="171"/>
      <c r="B1" s="172"/>
      <c r="C1" s="172"/>
      <c r="D1" s="172"/>
      <c r="E1" s="172"/>
      <c r="F1" s="172"/>
    </row>
    <row r="2" spans="1:6" ht="44" customHeight="1" x14ac:dyDescent="0.2">
      <c r="A2" s="244" t="s">
        <v>138</v>
      </c>
      <c r="B2" s="268" t="s">
        <v>139</v>
      </c>
      <c r="C2" s="268" t="s">
        <v>140</v>
      </c>
      <c r="D2" s="245" t="s">
        <v>141</v>
      </c>
      <c r="E2" s="255" t="s">
        <v>142</v>
      </c>
      <c r="F2" s="46" t="s">
        <v>50</v>
      </c>
    </row>
    <row r="3" spans="1:6" ht="20.25" customHeight="1" x14ac:dyDescent="0.2">
      <c r="A3" s="174" t="s">
        <v>143</v>
      </c>
      <c r="B3" s="269">
        <f>'Twilite Calibration - Runs-2-1-'!I3</f>
        <v>116.60378507999999</v>
      </c>
      <c r="C3" s="185">
        <f>AVERAGE('Twilite Calibration - Runs-2-11'!C2,'Twilite Calibration - Runs-2-11'!C3,'Twilite Calibration - Runs-2-11'!C4)</f>
        <v>103.61</v>
      </c>
      <c r="D3" s="149">
        <v>1.996</v>
      </c>
      <c r="E3" s="149">
        <v>147.94999999999999</v>
      </c>
      <c r="F3" s="222" t="s">
        <v>144</v>
      </c>
    </row>
    <row r="4" spans="1:6" ht="20" customHeight="1" x14ac:dyDescent="0.2">
      <c r="A4" s="270"/>
      <c r="B4" s="271"/>
      <c r="C4" s="272"/>
      <c r="D4" s="273"/>
      <c r="E4" s="273"/>
      <c r="F4" s="274"/>
    </row>
  </sheetData>
  <pageMargins left="0.5" right="0.5" top="0.25" bottom="0.25" header="0.25" footer="0.25"/>
  <pageSetup scale="51" orientation="landscape"/>
  <headerFooter>
    <oddFooter>&amp;C&amp;"Helvetica Neue,Regular"&amp;10&amp;K000000&amp;P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ColWidth="10" defaultRowHeight="13" customHeight="1" x14ac:dyDescent="0.2"/>
  <cols>
    <col min="1" max="256" width="10" customWidth="1"/>
  </cols>
  <sheetData/>
  <pageMargins left="0.5" right="0.5" top="0.25" bottom="0.25" header="0.25" footer="0.25"/>
  <pageSetup scale="51" orientation="landscape"/>
  <headerFooter>
    <oddFooter>&amp;C&amp;"Helvetica Neue,Regular"&amp;10&amp;K000000&amp;P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4"/>
  <sheetViews>
    <sheetView showGridLines="0" workbookViewId="0"/>
  </sheetViews>
  <sheetFormatPr baseColWidth="10" defaultColWidth="14" defaultRowHeight="22.75" customHeight="1" x14ac:dyDescent="0.2"/>
  <cols>
    <col min="1" max="1" width="12.83203125" style="5" customWidth="1"/>
    <col min="2" max="2" width="19.5" style="5" customWidth="1"/>
    <col min="3" max="3" width="18.5" style="5" customWidth="1"/>
    <col min="4" max="4" width="24.83203125" style="5" customWidth="1"/>
    <col min="5" max="256" width="14" customWidth="1"/>
  </cols>
  <sheetData>
    <row r="1" spans="1:4" ht="28.25" customHeight="1" x14ac:dyDescent="0.2">
      <c r="A1" s="6" t="s">
        <v>7</v>
      </c>
      <c r="B1" s="7">
        <v>41160</v>
      </c>
      <c r="C1" s="8" t="s">
        <v>8</v>
      </c>
      <c r="D1" s="9" t="s">
        <v>9</v>
      </c>
    </row>
    <row r="2" spans="1:4" ht="47" customHeight="1" x14ac:dyDescent="0.2">
      <c r="A2" s="10" t="s">
        <v>10</v>
      </c>
      <c r="B2" s="11" t="s">
        <v>11</v>
      </c>
      <c r="C2" s="12" t="s">
        <v>12</v>
      </c>
      <c r="D2" s="13" t="s">
        <v>13</v>
      </c>
    </row>
    <row r="3" spans="1:4" ht="47" customHeight="1" x14ac:dyDescent="0.2">
      <c r="A3" s="10" t="s">
        <v>14</v>
      </c>
      <c r="B3" s="14"/>
      <c r="C3" s="12" t="s">
        <v>15</v>
      </c>
      <c r="D3" s="15">
        <f>SUM('Radiation Counts Log - Runs-2'!D2:D8)</f>
        <v>115.9</v>
      </c>
    </row>
    <row r="4" spans="1:4" ht="28.25" customHeight="1" x14ac:dyDescent="0.2">
      <c r="A4" s="16"/>
      <c r="B4" s="17"/>
      <c r="C4" s="18" t="s">
        <v>16</v>
      </c>
      <c r="D4" s="19" t="s">
        <v>17</v>
      </c>
    </row>
  </sheetData>
  <pageMargins left="1" right="1" top="1" bottom="1" header="0.25" footer="0.25"/>
  <pageSetup orientation="portrait"/>
  <headerFooter>
    <oddFooter>&amp;C&amp;"Helvetica Neue,Regular"&amp;10&amp;K000000&amp;P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6"/>
  <sheetViews>
    <sheetView showGridLines="0" workbookViewId="0"/>
  </sheetViews>
  <sheetFormatPr baseColWidth="10" defaultColWidth="24" defaultRowHeight="44" customHeight="1" x14ac:dyDescent="0.2"/>
  <cols>
    <col min="1" max="1" width="50.83203125" style="20" customWidth="1"/>
    <col min="2" max="2" width="24.6640625" style="20" customWidth="1"/>
    <col min="3" max="3" width="23" style="20" customWidth="1"/>
    <col min="4" max="4" width="21.1640625" style="20" customWidth="1"/>
    <col min="5" max="5" width="23" style="20" customWidth="1"/>
    <col min="6" max="6" width="24" style="20" customWidth="1"/>
    <col min="7" max="256" width="24" customWidth="1"/>
  </cols>
  <sheetData>
    <row r="1" spans="1:6" ht="11.75" customHeight="1" x14ac:dyDescent="0.2">
      <c r="A1" s="21" t="s">
        <v>20</v>
      </c>
      <c r="B1" s="22" t="s">
        <v>21</v>
      </c>
      <c r="C1" s="22" t="s">
        <v>22</v>
      </c>
      <c r="D1" s="22" t="s">
        <v>23</v>
      </c>
      <c r="E1" s="22" t="s">
        <v>24</v>
      </c>
      <c r="F1" s="22" t="s">
        <v>25</v>
      </c>
    </row>
    <row r="2" spans="1:6" ht="35.25" customHeight="1" x14ac:dyDescent="0.2">
      <c r="A2" s="23">
        <f>MAX('Radiation Counts Log - Runs'!H3:H40)-MIN('Radiation Counts Log - Runs'!H3:H40)</f>
        <v>9.7141203703358769E-2</v>
      </c>
      <c r="B2" s="24">
        <f>MAX('Radiation Counts Log - Runs'!I3:I40)</f>
        <v>408.3</v>
      </c>
      <c r="C2" s="24">
        <f>MAX('Radiation Counts Log - Runs'!J3:J40)</f>
        <v>599.1</v>
      </c>
      <c r="D2" s="24">
        <f>MAX('Radiation Counts Log - Runs'!K3:K40)</f>
        <v>4139</v>
      </c>
      <c r="E2" s="24">
        <f>SUM('Radiation Counts Log - Runs'!$K3:$K40)*(60/37000)</f>
        <v>42.559898918918918</v>
      </c>
      <c r="F2" s="25">
        <f>SUMIF('Radiation Counts Log - Runs'!$N3:$N40,"&gt;0")</f>
        <v>29.630399999999998</v>
      </c>
    </row>
    <row r="3" spans="1:6" ht="11.5" customHeight="1" x14ac:dyDescent="0.2">
      <c r="A3" s="26"/>
      <c r="B3" s="22" t="s">
        <v>26</v>
      </c>
      <c r="C3" s="22" t="s">
        <v>27</v>
      </c>
      <c r="D3" s="22" t="s">
        <v>28</v>
      </c>
      <c r="E3" s="27"/>
      <c r="F3" s="28"/>
    </row>
    <row r="4" spans="1:6" ht="35" customHeight="1" x14ac:dyDescent="0.2">
      <c r="A4" s="29"/>
      <c r="B4" s="24">
        <f>MEDIAN('Radiation Counts Log - Runs'!I3:I40)</f>
        <v>147.80000000000001</v>
      </c>
      <c r="C4" s="24">
        <f>MEDIAN('Radiation Counts Log - Runs'!J3:J40)</f>
        <v>413.5</v>
      </c>
      <c r="D4" s="24">
        <f>MEDIAN('Radiation Counts Log - Runs'!K3:K40)</f>
        <v>372.3</v>
      </c>
      <c r="E4" s="27"/>
      <c r="F4" s="30"/>
    </row>
    <row r="5" spans="1:6" ht="11.75" customHeight="1" x14ac:dyDescent="0.2">
      <c r="A5" s="26"/>
      <c r="B5" s="22" t="s">
        <v>29</v>
      </c>
      <c r="C5" s="22" t="s">
        <v>30</v>
      </c>
      <c r="D5" s="22" t="s">
        <v>31</v>
      </c>
      <c r="E5" s="28"/>
      <c r="F5" s="28"/>
    </row>
    <row r="6" spans="1:6" ht="35" customHeight="1" x14ac:dyDescent="0.2">
      <c r="A6" s="31"/>
      <c r="B6" s="32">
        <f>MIN('Radiation Counts Log - Runs'!I3:I40)</f>
        <v>29.16</v>
      </c>
      <c r="C6" s="32">
        <f>MIN('Radiation Counts Log - Runs'!J3:J40)</f>
        <v>86.22</v>
      </c>
      <c r="D6" s="32">
        <f>MIN('Radiation Counts Log - Runs'!K3:K40)</f>
        <v>0</v>
      </c>
      <c r="E6" s="33"/>
      <c r="F6" s="33"/>
    </row>
  </sheetData>
  <pageMargins left="1" right="1" top="1" bottom="1" header="0.25" footer="0.25"/>
  <pageSetup orientation="portrait"/>
  <headerFooter>
    <oddFooter>&amp;C&amp;"Helvetica Neue,Regular"&amp;10&amp;K000000&amp;P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0"/>
  <sheetViews>
    <sheetView showGridLines="0" workbookViewId="0">
      <pane ySplit="2" topLeftCell="A3" activePane="bottomLeft" state="frozen"/>
      <selection pane="bottomLeft"/>
    </sheetView>
  </sheetViews>
  <sheetFormatPr baseColWidth="10" defaultColWidth="7.1640625" defaultRowHeight="20" customHeight="1" x14ac:dyDescent="0.2"/>
  <cols>
    <col min="1" max="1" width="5.1640625" style="34" customWidth="1"/>
    <col min="2" max="2" width="8" style="34" customWidth="1"/>
    <col min="3" max="3" width="8.83203125" style="34" customWidth="1"/>
    <col min="4" max="4" width="11.83203125" style="34" customWidth="1"/>
    <col min="5" max="5" width="8.1640625" style="34" customWidth="1"/>
    <col min="6" max="6" width="9.33203125" style="34" customWidth="1"/>
    <col min="7" max="7" width="9.5" style="34" customWidth="1"/>
    <col min="8" max="8" width="10.33203125" style="34" customWidth="1"/>
    <col min="9" max="9" width="10.83203125" style="34" customWidth="1"/>
    <col min="10" max="10" width="8.83203125" style="34" customWidth="1"/>
    <col min="11" max="11" width="11.1640625" style="34" customWidth="1"/>
    <col min="12" max="12" width="8.6640625" style="34" customWidth="1"/>
    <col min="13" max="13" width="9.83203125" style="34" customWidth="1"/>
    <col min="14" max="14" width="11" style="34" customWidth="1"/>
    <col min="15" max="15" width="12" style="34" customWidth="1"/>
    <col min="16" max="16" width="14.5" style="34" customWidth="1"/>
    <col min="17" max="17" width="32.33203125" style="34" customWidth="1"/>
    <col min="18" max="256" width="7.1640625" customWidth="1"/>
  </cols>
  <sheetData>
    <row r="1" spans="1:17" ht="23.75" customHeight="1" x14ac:dyDescent="0.2">
      <c r="A1" s="35"/>
      <c r="B1" s="36"/>
      <c r="C1" s="37"/>
      <c r="D1" s="38"/>
      <c r="E1" s="39"/>
      <c r="F1" s="40"/>
      <c r="G1" s="41"/>
      <c r="H1" s="41"/>
      <c r="I1" s="41"/>
      <c r="J1" s="41"/>
      <c r="K1" s="42"/>
      <c r="L1" s="43"/>
      <c r="M1" s="44"/>
      <c r="N1" s="45"/>
      <c r="O1" s="35"/>
      <c r="P1" s="35"/>
      <c r="Q1" s="35"/>
    </row>
    <row r="2" spans="1:17" ht="44" customHeight="1" x14ac:dyDescent="0.2">
      <c r="A2" s="46" t="s">
        <v>34</v>
      </c>
      <c r="B2" s="47" t="s">
        <v>35</v>
      </c>
      <c r="C2" s="48" t="s">
        <v>36</v>
      </c>
      <c r="D2" s="49" t="s">
        <v>37</v>
      </c>
      <c r="E2" s="50" t="s">
        <v>38</v>
      </c>
      <c r="F2" s="46" t="s">
        <v>39</v>
      </c>
      <c r="G2" s="51" t="s">
        <v>40</v>
      </c>
      <c r="H2" s="51" t="s">
        <v>41</v>
      </c>
      <c r="I2" s="51" t="s">
        <v>42</v>
      </c>
      <c r="J2" s="51" t="s">
        <v>43</v>
      </c>
      <c r="K2" s="51" t="s">
        <v>44</v>
      </c>
      <c r="L2" s="51" t="s">
        <v>45</v>
      </c>
      <c r="M2" s="51" t="s">
        <v>46</v>
      </c>
      <c r="N2" s="46" t="s">
        <v>47</v>
      </c>
      <c r="O2" s="46" t="s">
        <v>48</v>
      </c>
      <c r="P2" s="46" t="s">
        <v>49</v>
      </c>
      <c r="Q2" s="46" t="s">
        <v>50</v>
      </c>
    </row>
    <row r="3" spans="1:17" ht="20.25" customHeight="1" x14ac:dyDescent="0.2">
      <c r="A3" s="52">
        <f t="shared" ref="A3:A40" si="0">ROW()+23</f>
        <v>26</v>
      </c>
      <c r="B3" s="53">
        <v>41160.484027777777</v>
      </c>
      <c r="C3" s="54">
        <v>813</v>
      </c>
      <c r="D3" s="54"/>
      <c r="E3" s="55" t="b">
        <v>0</v>
      </c>
      <c r="F3" s="56" t="s">
        <v>51</v>
      </c>
      <c r="G3" s="57">
        <v>41160.502303240741</v>
      </c>
      <c r="H3" s="57">
        <v>41160.506458333337</v>
      </c>
      <c r="I3" s="54"/>
      <c r="J3" s="54"/>
      <c r="K3" s="54">
        <v>0</v>
      </c>
      <c r="L3" s="58">
        <v>3.7736000000000001</v>
      </c>
      <c r="M3" s="58">
        <v>4.3327999999999998</v>
      </c>
      <c r="N3" s="59">
        <f>M1:M40-L1:L40</f>
        <v>0.5591999999999997</v>
      </c>
      <c r="O3" s="60">
        <f>K1:K40*1592.7/(53.495*N1:N40^4-298.43*N1:N40^3+191.17*N1:N40^2+1592.7*N1:N40)</f>
        <v>0</v>
      </c>
      <c r="P3" s="61">
        <v>0</v>
      </c>
      <c r="Q3" s="62"/>
    </row>
    <row r="4" spans="1:17" ht="20.25" customHeight="1" x14ac:dyDescent="0.2">
      <c r="A4" s="63">
        <f t="shared" si="0"/>
        <v>27</v>
      </c>
      <c r="B4" s="64">
        <v>41160.48541666667</v>
      </c>
      <c r="C4" s="65" t="s">
        <v>52</v>
      </c>
      <c r="D4" s="66"/>
      <c r="E4" s="67" t="b">
        <v>0</v>
      </c>
      <c r="F4" s="68" t="s">
        <v>51</v>
      </c>
      <c r="G4" s="69">
        <v>41160.502349537041</v>
      </c>
      <c r="H4" s="69">
        <v>41160.5078125</v>
      </c>
      <c r="I4" s="66"/>
      <c r="J4" s="66"/>
      <c r="K4" s="66">
        <v>0</v>
      </c>
      <c r="L4" s="70">
        <v>3.7715999999999998</v>
      </c>
      <c r="M4" s="70">
        <v>4.4607999999999999</v>
      </c>
      <c r="N4" s="71">
        <f>M1:M40-L1:L40</f>
        <v>0.68920000000000003</v>
      </c>
      <c r="O4" s="72">
        <f>K1:K40*1592.7/(53.495*N1:N40^4-298.43*N1:N40^3+191.17*N1:N40^2+1592.7*N1:N40)</f>
        <v>0</v>
      </c>
      <c r="P4" s="73">
        <v>0</v>
      </c>
      <c r="Q4" s="74"/>
    </row>
    <row r="5" spans="1:17" ht="20.25" customHeight="1" x14ac:dyDescent="0.2">
      <c r="A5" s="63">
        <f t="shared" si="0"/>
        <v>28</v>
      </c>
      <c r="B5" s="75">
        <v>41160.497916666667</v>
      </c>
      <c r="C5" s="76">
        <v>304</v>
      </c>
      <c r="D5" s="77"/>
      <c r="E5" s="78" t="b">
        <v>1</v>
      </c>
      <c r="F5" s="79" t="s">
        <v>51</v>
      </c>
      <c r="G5" s="80">
        <v>41160.502418981479</v>
      </c>
      <c r="H5" s="80">
        <v>41160.509664351855</v>
      </c>
      <c r="I5" s="78"/>
      <c r="J5" s="78"/>
      <c r="K5" s="78">
        <v>0.111</v>
      </c>
      <c r="L5" s="81">
        <v>3.8658999999999999</v>
      </c>
      <c r="M5" s="81">
        <v>4.6718999999999999</v>
      </c>
      <c r="N5" s="82">
        <f>M1:M40-L1:L40</f>
        <v>0.80600000000000005</v>
      </c>
      <c r="O5" s="83">
        <f>K1:K40*1592.7/(53.495*N1:N40^4-298.43*N1:N40^3+191.17*N1:N40^2+1592.7*N1:N40)</f>
        <v>0.13874308304916094</v>
      </c>
      <c r="P5" s="84">
        <v>0.15080308777101251</v>
      </c>
      <c r="Q5" s="85"/>
    </row>
    <row r="6" spans="1:17" ht="20.25" customHeight="1" x14ac:dyDescent="0.2">
      <c r="A6" s="63">
        <f t="shared" si="0"/>
        <v>29</v>
      </c>
      <c r="B6" s="86">
        <v>41160.504861111112</v>
      </c>
      <c r="C6" s="87">
        <v>235</v>
      </c>
      <c r="D6" s="88"/>
      <c r="E6" s="66" t="b">
        <v>1</v>
      </c>
      <c r="F6" s="68" t="s">
        <v>51</v>
      </c>
      <c r="G6" s="69">
        <v>41160.502500000002</v>
      </c>
      <c r="H6" s="69">
        <v>41160.515104166669</v>
      </c>
      <c r="I6" s="66"/>
      <c r="J6" s="66"/>
      <c r="K6" s="66">
        <v>3242</v>
      </c>
      <c r="L6" s="70">
        <v>3.8123999999999998</v>
      </c>
      <c r="M6" s="70">
        <v>4.5232999999999999</v>
      </c>
      <c r="N6" s="71">
        <f>M1:M40-L1:L40</f>
        <v>0.71090000000000009</v>
      </c>
      <c r="O6" s="72">
        <f>K1:K40*1592.7/(53.495*N1:N40^4-298.43*N1:N40^3+191.17*N1:N40^2+1592.7*N1:N40)</f>
        <v>4548.1318017927342</v>
      </c>
      <c r="P6" s="73">
        <v>5194.1394038726867</v>
      </c>
      <c r="Q6" s="74"/>
    </row>
    <row r="7" spans="1:17" ht="20.25" customHeight="1" x14ac:dyDescent="0.2">
      <c r="A7" s="63">
        <f t="shared" si="0"/>
        <v>30</v>
      </c>
      <c r="B7" s="75">
        <v>41160.540289351855</v>
      </c>
      <c r="C7" s="76">
        <v>245</v>
      </c>
      <c r="D7" s="77"/>
      <c r="E7" s="78" t="b">
        <v>1</v>
      </c>
      <c r="F7" s="79" t="s">
        <v>51</v>
      </c>
      <c r="G7" s="80">
        <v>41160.502546296295</v>
      </c>
      <c r="H7" s="80">
        <v>41160.516018518516</v>
      </c>
      <c r="I7" s="78"/>
      <c r="J7" s="78"/>
      <c r="K7" s="78">
        <v>4139</v>
      </c>
      <c r="L7" s="81">
        <v>3.8258999999999999</v>
      </c>
      <c r="M7" s="81">
        <v>4.5252999999999997</v>
      </c>
      <c r="N7" s="82">
        <f>M1:M40-L1:L40</f>
        <v>0.6993999999999998</v>
      </c>
      <c r="O7" s="83">
        <f>K1:K40*1592.7/(53.495*N1:N40^4-298.43*N1:N40^3+191.17*N1:N40^2+1592.7*N1:N40)</f>
        <v>5895.6241738250574</v>
      </c>
      <c r="P7" s="84">
        <v>6789.2390215568284</v>
      </c>
      <c r="Q7" s="85"/>
    </row>
    <row r="8" spans="1:17" ht="20.25" customHeight="1" x14ac:dyDescent="0.2">
      <c r="A8" s="63">
        <f t="shared" si="0"/>
        <v>31</v>
      </c>
      <c r="B8" s="86">
        <v>41160.572256944448</v>
      </c>
      <c r="C8" s="87">
        <v>223</v>
      </c>
      <c r="D8" s="88"/>
      <c r="E8" s="66" t="b">
        <v>1</v>
      </c>
      <c r="F8" s="68" t="s">
        <v>51</v>
      </c>
      <c r="G8" s="69">
        <v>41160.502592592595</v>
      </c>
      <c r="H8" s="69">
        <v>41160.516886574071</v>
      </c>
      <c r="I8" s="66"/>
      <c r="J8" s="66"/>
      <c r="K8" s="66">
        <v>2617</v>
      </c>
      <c r="L8" s="70">
        <v>3.7517</v>
      </c>
      <c r="M8" s="70">
        <v>4.5498000000000003</v>
      </c>
      <c r="N8" s="71">
        <f>M1:M40-L1:L40</f>
        <v>0.79810000000000025</v>
      </c>
      <c r="O8" s="72">
        <f>K1:K40*1592.7/(53.495*N1:N40^4-298.43*N1:N40^3+191.17*N1:N40^2+1592.7*N1:N40)</f>
        <v>3300.4261832909228</v>
      </c>
      <c r="P8" s="73">
        <v>3830.7980449407742</v>
      </c>
      <c r="Q8" s="74"/>
    </row>
    <row r="9" spans="1:17" ht="20.25" customHeight="1" x14ac:dyDescent="0.2">
      <c r="A9" s="63">
        <f t="shared" si="0"/>
        <v>32</v>
      </c>
      <c r="B9" s="75">
        <v>41160.604166666664</v>
      </c>
      <c r="C9" s="76">
        <v>196</v>
      </c>
      <c r="D9" s="77"/>
      <c r="E9" s="78" t="b">
        <v>1</v>
      </c>
      <c r="F9" s="79" t="s">
        <v>51</v>
      </c>
      <c r="G9" s="80">
        <v>41160.502638888887</v>
      </c>
      <c r="H9" s="80">
        <v>41160.517789351848</v>
      </c>
      <c r="I9" s="78"/>
      <c r="J9" s="78"/>
      <c r="K9" s="78">
        <v>1682</v>
      </c>
      <c r="L9" s="81">
        <v>3.7925</v>
      </c>
      <c r="M9" s="81">
        <v>4.5422000000000002</v>
      </c>
      <c r="N9" s="82">
        <f>M1:M40-L1:L40</f>
        <v>0.74970000000000026</v>
      </c>
      <c r="O9" s="83">
        <f>K1:K40*1592.7/(53.495*N1:N40^4-298.43*N1:N40^3+191.17*N1:N40^2+1592.7*N1:N40)</f>
        <v>2246.2032467809572</v>
      </c>
      <c r="P9" s="84">
        <v>2628.653401605703</v>
      </c>
      <c r="Q9" s="85"/>
    </row>
    <row r="10" spans="1:17" ht="20.25" customHeight="1" x14ac:dyDescent="0.2">
      <c r="A10" s="63">
        <f t="shared" si="0"/>
        <v>33</v>
      </c>
      <c r="B10" s="86">
        <v>41160.531770833331</v>
      </c>
      <c r="C10" s="87">
        <v>266</v>
      </c>
      <c r="D10" s="88"/>
      <c r="E10" s="66" t="b">
        <v>1</v>
      </c>
      <c r="F10" s="68" t="s">
        <v>51</v>
      </c>
      <c r="G10" s="69">
        <v>41160.502685185187</v>
      </c>
      <c r="H10" s="69">
        <v>41160.518645833334</v>
      </c>
      <c r="I10" s="66"/>
      <c r="J10" s="66"/>
      <c r="K10" s="66">
        <v>1555</v>
      </c>
      <c r="L10" s="70">
        <v>3.8069000000000002</v>
      </c>
      <c r="M10" s="70">
        <v>4.5148999999999999</v>
      </c>
      <c r="N10" s="71">
        <f>M1:M40-L1:L40</f>
        <v>0.70799999999999974</v>
      </c>
      <c r="O10" s="72">
        <f>K1:K40*1592.7/(53.495*N1:N40^4-298.43*N1:N40^3+191.17*N1:N40^2+1592.7*N1:N40)</f>
        <v>2189.8089250656958</v>
      </c>
      <c r="P10" s="73">
        <v>2582.6925934516598</v>
      </c>
      <c r="Q10" s="74"/>
    </row>
    <row r="11" spans="1:17" ht="20.25" customHeight="1" x14ac:dyDescent="0.2">
      <c r="A11" s="63">
        <f t="shared" si="0"/>
        <v>34</v>
      </c>
      <c r="B11" s="75"/>
      <c r="C11" s="76"/>
      <c r="D11" s="77"/>
      <c r="E11" s="78" t="b">
        <v>0</v>
      </c>
      <c r="F11" s="79" t="s">
        <v>51</v>
      </c>
      <c r="G11" s="80">
        <v>41160.50273148148</v>
      </c>
      <c r="H11" s="80">
        <v>41160.519537037035</v>
      </c>
      <c r="I11" s="78"/>
      <c r="J11" s="78"/>
      <c r="K11" s="78">
        <v>1476</v>
      </c>
      <c r="L11" s="81">
        <v>3.8239999999999998</v>
      </c>
      <c r="M11" s="81">
        <v>4.6064999999999996</v>
      </c>
      <c r="N11" s="82">
        <f>M1:M40-L1:L40</f>
        <v>0.78249999999999975</v>
      </c>
      <c r="O11" s="83">
        <f>K1:K40*1592.7/(53.495*N1:N40^4-298.43*N1:N40^3+191.17*N1:N40^2+1592.7*N1:N40)</f>
        <v>1895.197131537996</v>
      </c>
      <c r="P11" s="84">
        <v>2253.4100287980068</v>
      </c>
      <c r="Q11" s="85"/>
    </row>
    <row r="12" spans="1:17" ht="20.25" customHeight="1" x14ac:dyDescent="0.2">
      <c r="A12" s="63">
        <f t="shared" si="0"/>
        <v>35</v>
      </c>
      <c r="B12" s="86"/>
      <c r="C12" s="87"/>
      <c r="D12" s="88"/>
      <c r="E12" s="66" t="b">
        <v>0</v>
      </c>
      <c r="F12" s="68" t="s">
        <v>51</v>
      </c>
      <c r="G12" s="69">
        <v>41160.50277777778</v>
      </c>
      <c r="H12" s="69">
        <v>41160.522337962961</v>
      </c>
      <c r="I12" s="66"/>
      <c r="J12" s="66"/>
      <c r="K12" s="66">
        <v>1178</v>
      </c>
      <c r="L12" s="70">
        <v>3.8201999999999998</v>
      </c>
      <c r="M12" s="70">
        <v>4.6551</v>
      </c>
      <c r="N12" s="71">
        <f>M1:M40-L1:L40</f>
        <v>0.8349000000000002</v>
      </c>
      <c r="O12" s="72">
        <f>K1:K40*1592.7/(53.495*N1:N40^4-298.43*N1:N40^3+191.17*N1:N40^2+1592.7*N1:N40)</f>
        <v>1426.4256680258295</v>
      </c>
      <c r="P12" s="73">
        <v>1739.785674635322</v>
      </c>
      <c r="Q12" s="74"/>
    </row>
    <row r="13" spans="1:17" ht="20.25" customHeight="1" x14ac:dyDescent="0.2">
      <c r="A13" s="63">
        <f t="shared" si="0"/>
        <v>36</v>
      </c>
      <c r="B13" s="75"/>
      <c r="C13" s="76"/>
      <c r="D13" s="77"/>
      <c r="E13" s="78" t="b">
        <v>0</v>
      </c>
      <c r="F13" s="79" t="s">
        <v>51</v>
      </c>
      <c r="G13" s="80">
        <v>41160.502824074072</v>
      </c>
      <c r="H13" s="80">
        <v>41160.523206018515</v>
      </c>
      <c r="I13" s="78"/>
      <c r="J13" s="78"/>
      <c r="K13" s="78">
        <v>960.2</v>
      </c>
      <c r="L13" s="81">
        <v>3.7968000000000002</v>
      </c>
      <c r="M13" s="81">
        <v>4.5933999999999999</v>
      </c>
      <c r="N13" s="82">
        <f>M1:M40-L1:L40</f>
        <v>0.79659999999999975</v>
      </c>
      <c r="O13" s="83">
        <f>K1:K40*1592.7/(53.495*N1:N40^4-298.43*N1:N40^3+191.17*N1:N40^2+1592.7*N1:N40)</f>
        <v>1213.0251381303228</v>
      </c>
      <c r="P13" s="84">
        <v>1491.2289692749389</v>
      </c>
      <c r="Q13" s="85"/>
    </row>
    <row r="14" spans="1:17" ht="20.25" customHeight="1" x14ac:dyDescent="0.2">
      <c r="A14" s="63">
        <f t="shared" si="0"/>
        <v>37</v>
      </c>
      <c r="B14" s="86"/>
      <c r="C14" s="87"/>
      <c r="D14" s="88"/>
      <c r="E14" s="66" t="b">
        <v>0</v>
      </c>
      <c r="F14" s="68" t="s">
        <v>51</v>
      </c>
      <c r="G14" s="69">
        <v>41160.502870370372</v>
      </c>
      <c r="H14" s="69">
        <v>41160.538159722222</v>
      </c>
      <c r="I14" s="66">
        <v>408.3</v>
      </c>
      <c r="J14" s="66"/>
      <c r="K14" s="66">
        <v>929.9</v>
      </c>
      <c r="L14" s="70">
        <v>3.7637</v>
      </c>
      <c r="M14" s="70">
        <v>4.7233000000000001</v>
      </c>
      <c r="N14" s="71">
        <f>M1:M40-L1:L40</f>
        <v>0.95960000000000001</v>
      </c>
      <c r="O14" s="72">
        <f>K1:K40*1592.7/(53.495*N1:N40^4-298.43*N1:N40^3+191.17*N1:N40^2+1592.7*N1:N40)</f>
        <v>996.63744053655478</v>
      </c>
      <c r="P14" s="73">
        <v>1403.6649605437401</v>
      </c>
      <c r="Q14" s="74" t="s">
        <v>53</v>
      </c>
    </row>
    <row r="15" spans="1:17" ht="20.25" customHeight="1" x14ac:dyDescent="0.2">
      <c r="A15" s="63">
        <f t="shared" si="0"/>
        <v>38</v>
      </c>
      <c r="B15" s="75"/>
      <c r="C15" s="76"/>
      <c r="D15" s="77"/>
      <c r="E15" s="78" t="b">
        <v>0</v>
      </c>
      <c r="F15" s="79" t="s">
        <v>51</v>
      </c>
      <c r="G15" s="80">
        <v>41160.502916666665</v>
      </c>
      <c r="H15" s="80">
        <v>41160.5391087963</v>
      </c>
      <c r="I15" s="78">
        <v>330.1</v>
      </c>
      <c r="J15" s="78"/>
      <c r="K15" s="78">
        <v>747.5</v>
      </c>
      <c r="L15" s="81">
        <v>3.8538999999999999</v>
      </c>
      <c r="M15" s="81">
        <v>4.6534000000000004</v>
      </c>
      <c r="N15" s="82">
        <f>M1:M40-L1:L40</f>
        <v>0.79950000000000054</v>
      </c>
      <c r="O15" s="83">
        <f>K1:K40*1592.7/(53.495*N1:N40^4-298.43*N1:N40^3+191.17*N1:N40^2+1592.7*N1:N40)</f>
        <v>941.21044703895325</v>
      </c>
      <c r="P15" s="84">
        <v>1337.090689839406</v>
      </c>
      <c r="Q15" s="85" t="s">
        <v>53</v>
      </c>
    </row>
    <row r="16" spans="1:17" ht="20.25" customHeight="1" x14ac:dyDescent="0.2">
      <c r="A16" s="63">
        <f t="shared" si="0"/>
        <v>39</v>
      </c>
      <c r="B16" s="86">
        <v>41160.540289351855</v>
      </c>
      <c r="C16" s="87">
        <v>245</v>
      </c>
      <c r="D16" s="88"/>
      <c r="E16" s="66" t="b">
        <v>1</v>
      </c>
      <c r="F16" s="68" t="s">
        <v>51</v>
      </c>
      <c r="G16" s="69">
        <v>41160.502974537034</v>
      </c>
      <c r="H16" s="69">
        <v>41160.541527777779</v>
      </c>
      <c r="I16" s="66">
        <v>293.89999999999998</v>
      </c>
      <c r="J16" s="66"/>
      <c r="K16" s="66">
        <v>663.5</v>
      </c>
      <c r="L16" s="70">
        <v>3.9043999999999999</v>
      </c>
      <c r="M16" s="70">
        <v>4.6843000000000004</v>
      </c>
      <c r="N16" s="71">
        <f>M1:M40-L1:L40</f>
        <v>0.77990000000000048</v>
      </c>
      <c r="O16" s="72">
        <f>K1:K40*1592.7/(53.495*N1:N40^4-298.43*N1:N40^3+191.17*N1:N40^2+1592.7*N1:N40)</f>
        <v>854.53176558246219</v>
      </c>
      <c r="P16" s="73">
        <v>1240.9515417002881</v>
      </c>
      <c r="Q16" s="74" t="s">
        <v>53</v>
      </c>
    </row>
    <row r="17" spans="1:17" ht="20.25" customHeight="1" x14ac:dyDescent="0.2">
      <c r="A17" s="63">
        <f t="shared" si="0"/>
        <v>40</v>
      </c>
      <c r="B17" s="75"/>
      <c r="C17" s="76"/>
      <c r="D17" s="77"/>
      <c r="E17" s="78" t="b">
        <v>0</v>
      </c>
      <c r="F17" s="79" t="s">
        <v>51</v>
      </c>
      <c r="G17" s="80">
        <v>41160.503020833334</v>
      </c>
      <c r="H17" s="80">
        <v>41160.542442129627</v>
      </c>
      <c r="I17" s="78">
        <v>262.8</v>
      </c>
      <c r="J17" s="78"/>
      <c r="K17" s="78">
        <v>591.5</v>
      </c>
      <c r="L17" s="81">
        <v>3.7845</v>
      </c>
      <c r="M17" s="81">
        <v>4.5385</v>
      </c>
      <c r="N17" s="82">
        <f>M1:M40-L1:L40</f>
        <v>0.754</v>
      </c>
      <c r="O17" s="83">
        <f>K1:K40*1592.7/(53.495*N1:N40^4-298.43*N1:N40^3+191.17*N1:N40^2+1592.7*N1:N40)</f>
        <v>785.7599583540233</v>
      </c>
      <c r="P17" s="84">
        <v>1150.6076401567229</v>
      </c>
      <c r="Q17" s="85" t="s">
        <v>53</v>
      </c>
    </row>
    <row r="18" spans="1:17" ht="20.25" customHeight="1" x14ac:dyDescent="0.2">
      <c r="A18" s="63">
        <f t="shared" si="0"/>
        <v>41</v>
      </c>
      <c r="B18" s="86"/>
      <c r="C18" s="87"/>
      <c r="D18" s="88"/>
      <c r="E18" s="66" t="b">
        <v>0</v>
      </c>
      <c r="F18" s="68" t="s">
        <v>51</v>
      </c>
      <c r="G18" s="69">
        <v>41160.503078703703</v>
      </c>
      <c r="H18" s="69">
        <v>41160.570856481485</v>
      </c>
      <c r="I18" s="66">
        <v>179.2</v>
      </c>
      <c r="J18" s="66">
        <v>529.79999999999995</v>
      </c>
      <c r="K18" s="66">
        <v>401.2</v>
      </c>
      <c r="L18" s="70">
        <v>3.7656999999999998</v>
      </c>
      <c r="M18" s="70">
        <v>4.4717000000000002</v>
      </c>
      <c r="N18" s="71">
        <f>M1:M40-L1:L40</f>
        <v>0.70600000000000041</v>
      </c>
      <c r="O18" s="72">
        <f>K1:K40*1592.7/(53.495*N1:N40^4-298.43*N1:N40^3+191.17*N1:N40^2+1592.7*N1:N40)</f>
        <v>566.47850400492996</v>
      </c>
      <c r="P18" s="73">
        <v>1074.0592059444459</v>
      </c>
      <c r="Q18" s="74"/>
    </row>
    <row r="19" spans="1:17" ht="20.25" customHeight="1" x14ac:dyDescent="0.2">
      <c r="A19" s="63">
        <f t="shared" si="0"/>
        <v>42</v>
      </c>
      <c r="B19" s="75">
        <v>41160.572256944448</v>
      </c>
      <c r="C19" s="76">
        <v>223</v>
      </c>
      <c r="D19" s="77"/>
      <c r="E19" s="78" t="b">
        <v>1</v>
      </c>
      <c r="F19" s="79" t="s">
        <v>51</v>
      </c>
      <c r="G19" s="80">
        <v>41160.503136574072</v>
      </c>
      <c r="H19" s="80">
        <v>41160.573333333334</v>
      </c>
      <c r="I19" s="78">
        <v>181.5</v>
      </c>
      <c r="J19" s="78">
        <v>536.70000000000005</v>
      </c>
      <c r="K19" s="78">
        <v>405</v>
      </c>
      <c r="L19" s="81">
        <v>3.7869000000000002</v>
      </c>
      <c r="M19" s="81">
        <v>4.5556000000000001</v>
      </c>
      <c r="N19" s="82">
        <f>M1:M40-L1:L40</f>
        <v>0.76869999999999994</v>
      </c>
      <c r="O19" s="83">
        <f>K1:K40*1592.7/(53.495*N1:N40^4-298.43*N1:N40^3+191.17*N1:N40^2+1592.7*N1:N40)</f>
        <v>528.55305748118826</v>
      </c>
      <c r="P19" s="84">
        <v>1024.977638960765</v>
      </c>
      <c r="Q19" s="85"/>
    </row>
    <row r="20" spans="1:17" ht="20.25" customHeight="1" x14ac:dyDescent="0.2">
      <c r="A20" s="63">
        <f t="shared" si="0"/>
        <v>43</v>
      </c>
      <c r="B20" s="86"/>
      <c r="C20" s="87"/>
      <c r="D20" s="88"/>
      <c r="E20" s="66" t="b">
        <v>0</v>
      </c>
      <c r="F20" s="68" t="s">
        <v>51</v>
      </c>
      <c r="G20" s="69">
        <v>41160.503206018519</v>
      </c>
      <c r="H20" s="69">
        <v>41160.574386574073</v>
      </c>
      <c r="I20" s="66">
        <v>187.5</v>
      </c>
      <c r="J20" s="66">
        <v>554.29999999999995</v>
      </c>
      <c r="K20" s="66">
        <v>420.2</v>
      </c>
      <c r="L20" s="70">
        <v>3.8361999999999998</v>
      </c>
      <c r="M20" s="70">
        <v>4.6699000000000002</v>
      </c>
      <c r="N20" s="71">
        <f>M1:M40-L1:L40</f>
        <v>0.83370000000000033</v>
      </c>
      <c r="O20" s="72">
        <f>K1:K40*1592.7/(53.495*N1:N40^4-298.43*N1:N40^3+191.17*N1:N40^2+1592.7*N1:N40)</f>
        <v>509.47166236844095</v>
      </c>
      <c r="P20" s="73">
        <v>997.48196140619541</v>
      </c>
      <c r="Q20" s="74"/>
    </row>
    <row r="21" spans="1:17" ht="20.25" customHeight="1" x14ac:dyDescent="0.2">
      <c r="A21" s="63">
        <f t="shared" si="0"/>
        <v>44</v>
      </c>
      <c r="B21" s="75"/>
      <c r="C21" s="76"/>
      <c r="D21" s="77"/>
      <c r="E21" s="78" t="b">
        <v>0</v>
      </c>
      <c r="F21" s="79" t="s">
        <v>51</v>
      </c>
      <c r="G21" s="80">
        <v>41160.503263888888</v>
      </c>
      <c r="H21" s="80">
        <v>41160.57540509259</v>
      </c>
      <c r="I21" s="78">
        <v>172.5</v>
      </c>
      <c r="J21" s="78">
        <v>509.9</v>
      </c>
      <c r="K21" s="78">
        <v>388.6</v>
      </c>
      <c r="L21" s="81">
        <v>3.7873999999999999</v>
      </c>
      <c r="M21" s="81">
        <v>4.5811999999999999</v>
      </c>
      <c r="N21" s="82">
        <f>M1:M40-L1:L40</f>
        <v>0.79380000000000006</v>
      </c>
      <c r="O21" s="83">
        <f>K1:K40*1592.7/(53.495*N1:N40^4-298.43*N1:N40^3+191.17*N1:N40^2+1592.7*N1:N40)</f>
        <v>492.49327970367193</v>
      </c>
      <c r="P21" s="84">
        <v>973.21193373142773</v>
      </c>
      <c r="Q21" s="85"/>
    </row>
    <row r="22" spans="1:17" ht="20.25" customHeight="1" x14ac:dyDescent="0.2">
      <c r="A22" s="63">
        <f t="shared" si="0"/>
        <v>45</v>
      </c>
      <c r="B22" s="86"/>
      <c r="C22" s="87"/>
      <c r="D22" s="88"/>
      <c r="E22" s="66" t="b">
        <v>0</v>
      </c>
      <c r="F22" s="68" t="s">
        <v>51</v>
      </c>
      <c r="G22" s="69">
        <v>41160.503321759257</v>
      </c>
      <c r="H22" s="69">
        <v>41160.582199074073</v>
      </c>
      <c r="I22" s="66">
        <v>171.1</v>
      </c>
      <c r="J22" s="66">
        <v>505.8</v>
      </c>
      <c r="K22" s="66">
        <v>382.3</v>
      </c>
      <c r="L22" s="70">
        <v>3.8288000000000002</v>
      </c>
      <c r="M22" s="70">
        <v>4.6891999999999996</v>
      </c>
      <c r="N22" s="71">
        <f>M1:M40-L1:L40</f>
        <v>0.86039999999999939</v>
      </c>
      <c r="O22" s="72">
        <f>K1:K40*1592.7/(53.495*N1:N40^4-298.43*N1:N40^3+191.17*N1:N40^2+1592.7*N1:N40)</f>
        <v>450.65734544354683</v>
      </c>
      <c r="P22" s="73">
        <v>947.28966979640199</v>
      </c>
      <c r="Q22" s="74"/>
    </row>
    <row r="23" spans="1:17" ht="20.25" customHeight="1" x14ac:dyDescent="0.2">
      <c r="A23" s="63">
        <f t="shared" si="0"/>
        <v>46</v>
      </c>
      <c r="B23" s="75"/>
      <c r="C23" s="76"/>
      <c r="D23" s="77"/>
      <c r="E23" s="78" t="b">
        <v>0</v>
      </c>
      <c r="F23" s="79" t="s">
        <v>51</v>
      </c>
      <c r="G23" s="80">
        <v>41160.503368055557</v>
      </c>
      <c r="H23" s="80">
        <v>41160.583981481483</v>
      </c>
      <c r="I23" s="78">
        <v>130.80000000000001</v>
      </c>
      <c r="J23" s="78">
        <v>386.6</v>
      </c>
      <c r="K23" s="78">
        <v>292.2</v>
      </c>
      <c r="L23" s="81">
        <v>3.7812000000000001</v>
      </c>
      <c r="M23" s="81">
        <v>4.4461000000000004</v>
      </c>
      <c r="N23" s="82">
        <f>M1:M40-L1:L40</f>
        <v>0.66490000000000027</v>
      </c>
      <c r="O23" s="83">
        <f>K1:K40*1592.7/(53.495*N1:N40^4-298.43*N1:N40^3+191.17*N1:N40^2+1592.7*N1:N40)</f>
        <v>436.47742032669822</v>
      </c>
      <c r="P23" s="84">
        <v>932.47415330112131</v>
      </c>
      <c r="Q23" s="85"/>
    </row>
    <row r="24" spans="1:17" ht="20.25" customHeight="1" x14ac:dyDescent="0.2">
      <c r="A24" s="63">
        <f t="shared" si="0"/>
        <v>47</v>
      </c>
      <c r="B24" s="86"/>
      <c r="C24" s="87"/>
      <c r="D24" s="88"/>
      <c r="E24" s="66" t="b">
        <v>0</v>
      </c>
      <c r="F24" s="68" t="s">
        <v>51</v>
      </c>
      <c r="G24" s="69">
        <v>41160.50341435185</v>
      </c>
      <c r="H24" s="69">
        <v>41160.585011574076</v>
      </c>
      <c r="I24" s="66">
        <v>173.9</v>
      </c>
      <c r="J24" s="66">
        <v>514</v>
      </c>
      <c r="K24" s="66">
        <v>387.4</v>
      </c>
      <c r="L24" s="70">
        <v>3.8163</v>
      </c>
      <c r="M24" s="70">
        <v>4.7355</v>
      </c>
      <c r="N24" s="71">
        <f>M1:M40-L1:L40</f>
        <v>0.91920000000000002</v>
      </c>
      <c r="O24" s="72">
        <f>K1:K40*1592.7/(53.495*N1:N40^4-298.43*N1:N40^3+191.17*N1:N40^2+1592.7*N1:N40)</f>
        <v>430.89023658332866</v>
      </c>
      <c r="P24" s="73">
        <v>929.20059534197765</v>
      </c>
      <c r="Q24" s="74"/>
    </row>
    <row r="25" spans="1:17" ht="20.25" customHeight="1" x14ac:dyDescent="0.2">
      <c r="A25" s="63">
        <f t="shared" si="0"/>
        <v>48</v>
      </c>
      <c r="B25" s="75"/>
      <c r="C25" s="76"/>
      <c r="D25" s="77"/>
      <c r="E25" s="78" t="b">
        <v>0</v>
      </c>
      <c r="F25" s="79" t="s">
        <v>51</v>
      </c>
      <c r="G25" s="80">
        <v>41160.503460648149</v>
      </c>
      <c r="H25" s="80">
        <v>41160.586111111108</v>
      </c>
      <c r="I25" s="78">
        <v>162.80000000000001</v>
      </c>
      <c r="J25" s="78">
        <v>481.4</v>
      </c>
      <c r="K25" s="78">
        <v>362.3</v>
      </c>
      <c r="L25" s="81">
        <v>3.8673000000000002</v>
      </c>
      <c r="M25" s="81">
        <v>4.7304000000000004</v>
      </c>
      <c r="N25" s="82">
        <f>M1:M40-L1:L40</f>
        <v>0.8631000000000002</v>
      </c>
      <c r="O25" s="83">
        <f>K1:K40*1592.7/(53.495*N1:N40^4-298.43*N1:N40^3+191.17*N1:N40^2+1592.7*N1:N40)</f>
        <v>425.89459582773543</v>
      </c>
      <c r="P25" s="84">
        <v>927.65607719153593</v>
      </c>
      <c r="Q25" s="85"/>
    </row>
    <row r="26" spans="1:17" ht="20.25" customHeight="1" x14ac:dyDescent="0.2">
      <c r="A26" s="63">
        <f t="shared" si="0"/>
        <v>49</v>
      </c>
      <c r="B26" s="86"/>
      <c r="C26" s="87"/>
      <c r="D26" s="88"/>
      <c r="E26" s="66" t="b">
        <v>0</v>
      </c>
      <c r="F26" s="68" t="s">
        <v>51</v>
      </c>
      <c r="G26" s="69">
        <v>41160.503506944442</v>
      </c>
      <c r="H26" s="69">
        <v>41160.587210648147</v>
      </c>
      <c r="I26" s="66">
        <v>202.6</v>
      </c>
      <c r="J26" s="66">
        <v>599.1</v>
      </c>
      <c r="K26" s="66">
        <v>452.9</v>
      </c>
      <c r="L26" s="70">
        <v>3.7650000000000001</v>
      </c>
      <c r="M26" s="70">
        <v>4.8920000000000003</v>
      </c>
      <c r="N26" s="71">
        <f>M1:M40-L1:L40</f>
        <v>1.1270000000000002</v>
      </c>
      <c r="O26" s="72">
        <f>K1:K40*1592.7/(53.495*N1:N40^4-298.43*N1:N40^3+191.17*N1:N40^2+1592.7*N1:N40)</f>
        <v>425.08922682875516</v>
      </c>
      <c r="P26" s="73">
        <v>935.20539236039576</v>
      </c>
      <c r="Q26" s="74"/>
    </row>
    <row r="27" spans="1:17" ht="20.25" customHeight="1" x14ac:dyDescent="0.2">
      <c r="A27" s="63">
        <f t="shared" si="0"/>
        <v>50</v>
      </c>
      <c r="B27" s="75"/>
      <c r="C27" s="76"/>
      <c r="D27" s="77"/>
      <c r="E27" s="78" t="b">
        <v>0</v>
      </c>
      <c r="F27" s="79" t="s">
        <v>51</v>
      </c>
      <c r="G27" s="80">
        <v>41160.503553240742</v>
      </c>
      <c r="H27" s="80">
        <v>41160.588321759256</v>
      </c>
      <c r="I27" s="78">
        <v>130.4</v>
      </c>
      <c r="J27" s="78">
        <v>385.6</v>
      </c>
      <c r="K27" s="78">
        <v>289.89999999999998</v>
      </c>
      <c r="L27" s="81">
        <v>3.8393999999999999</v>
      </c>
      <c r="M27" s="81">
        <v>4.5382999999999996</v>
      </c>
      <c r="N27" s="82">
        <f>M1:M40-L1:L40</f>
        <v>0.69889999999999963</v>
      </c>
      <c r="O27" s="83">
        <f>K1:K40*1592.7/(53.495*N1:N40^4-298.43*N1:N40^3+191.17*N1:N40^2+1592.7*N1:N40)</f>
        <v>413.21217524096528</v>
      </c>
      <c r="P27" s="84">
        <v>918.30671010349795</v>
      </c>
      <c r="Q27" s="85"/>
    </row>
    <row r="28" spans="1:17" ht="20.25" customHeight="1" x14ac:dyDescent="0.2">
      <c r="A28" s="63">
        <f t="shared" si="0"/>
        <v>51</v>
      </c>
      <c r="B28" s="86"/>
      <c r="C28" s="87"/>
      <c r="D28" s="88"/>
      <c r="E28" s="66" t="b">
        <v>0</v>
      </c>
      <c r="F28" s="68" t="s">
        <v>51</v>
      </c>
      <c r="G28" s="69">
        <v>41160.503599537034</v>
      </c>
      <c r="H28" s="69">
        <v>41160.589375000003</v>
      </c>
      <c r="I28" s="66">
        <v>163.1</v>
      </c>
      <c r="J28" s="66">
        <v>482.9</v>
      </c>
      <c r="K28" s="66">
        <v>361.9</v>
      </c>
      <c r="L28" s="70">
        <v>3.8424999999999998</v>
      </c>
      <c r="M28" s="70">
        <v>4.7426000000000004</v>
      </c>
      <c r="N28" s="71">
        <f>M1:M40-L1:L40</f>
        <v>0.90010000000000057</v>
      </c>
      <c r="O28" s="72">
        <f>K1:K40*1592.7/(53.495*N1:N40^4-298.43*N1:N40^3+191.17*N1:N40^2+1592.7*N1:N40)</f>
        <v>409.96851720742939</v>
      </c>
      <c r="P28" s="73">
        <v>919.86558669861017</v>
      </c>
      <c r="Q28" s="74"/>
    </row>
    <row r="29" spans="1:17" ht="20.25" customHeight="1" x14ac:dyDescent="0.2">
      <c r="A29" s="63">
        <f t="shared" si="0"/>
        <v>52</v>
      </c>
      <c r="B29" s="75"/>
      <c r="C29" s="76"/>
      <c r="D29" s="77"/>
      <c r="E29" s="78" t="b">
        <v>0</v>
      </c>
      <c r="F29" s="79" t="s">
        <v>51</v>
      </c>
      <c r="G29" s="80">
        <v>41160.503657407397</v>
      </c>
      <c r="H29" s="80">
        <v>41160.59039351852</v>
      </c>
      <c r="I29" s="78">
        <v>125.4</v>
      </c>
      <c r="J29" s="78">
        <v>370.8</v>
      </c>
      <c r="K29" s="78">
        <v>282.10000000000002</v>
      </c>
      <c r="L29" s="81">
        <v>3.8599000000000001</v>
      </c>
      <c r="M29" s="81">
        <v>4.5431999999999997</v>
      </c>
      <c r="N29" s="82">
        <f>M1:M40-L1:L40</f>
        <v>0.68329999999999957</v>
      </c>
      <c r="O29" s="83">
        <f>K1:K40*1592.7/(53.495*N1:N40^4-298.43*N1:N40^3+191.17*N1:N40^2+1592.7*N1:N40)</f>
        <v>410.69460978716938</v>
      </c>
      <c r="P29" s="84">
        <v>930.06856634664905</v>
      </c>
      <c r="Q29" s="85"/>
    </row>
    <row r="30" spans="1:17" ht="20.25" customHeight="1" x14ac:dyDescent="0.2">
      <c r="A30" s="63">
        <f t="shared" si="0"/>
        <v>53</v>
      </c>
      <c r="B30" s="86"/>
      <c r="C30" s="87"/>
      <c r="D30" s="88"/>
      <c r="E30" s="66" t="b">
        <v>0</v>
      </c>
      <c r="F30" s="68" t="s">
        <v>51</v>
      </c>
      <c r="G30" s="69">
        <v>41160.503692129627</v>
      </c>
      <c r="H30" s="69">
        <v>41160.592523148145</v>
      </c>
      <c r="I30" s="66">
        <v>139.9</v>
      </c>
      <c r="J30" s="66">
        <v>413.5</v>
      </c>
      <c r="K30" s="66">
        <v>311.60000000000002</v>
      </c>
      <c r="L30" s="70">
        <v>3.7907999999999999</v>
      </c>
      <c r="M30" s="70">
        <v>4.5838000000000001</v>
      </c>
      <c r="N30" s="71">
        <f>M1:M40-L1:L40</f>
        <v>0.79300000000000015</v>
      </c>
      <c r="O30" s="72">
        <f>K1:K40*1592.7/(53.495*N1:N40^4-298.43*N1:N40^3+191.17*N1:N40^2+1592.7*N1:N40)</f>
        <v>395.26928735914748</v>
      </c>
      <c r="P30" s="73">
        <v>912.6386947566773</v>
      </c>
      <c r="Q30" s="74"/>
    </row>
    <row r="31" spans="1:17" ht="20.25" customHeight="1" x14ac:dyDescent="0.2">
      <c r="A31" s="63">
        <f t="shared" si="0"/>
        <v>54</v>
      </c>
      <c r="B31" s="75"/>
      <c r="C31" s="76"/>
      <c r="D31" s="77"/>
      <c r="E31" s="78" t="b">
        <v>0</v>
      </c>
      <c r="F31" s="79" t="s">
        <v>51</v>
      </c>
      <c r="G31" s="80">
        <v>41160.503750000003</v>
      </c>
      <c r="H31" s="80">
        <v>41160.593773148146</v>
      </c>
      <c r="I31" s="78">
        <v>123.9</v>
      </c>
      <c r="J31" s="78">
        <v>366.2</v>
      </c>
      <c r="K31" s="78">
        <v>276.60000000000002</v>
      </c>
      <c r="L31" s="81">
        <v>3.8273000000000001</v>
      </c>
      <c r="M31" s="81">
        <v>4.5285000000000002</v>
      </c>
      <c r="N31" s="82">
        <f>M1:M40-L1:L40</f>
        <v>0.70120000000000005</v>
      </c>
      <c r="O31" s="83">
        <f>K1:K40*1592.7/(53.495*N1:N40^4-298.43*N1:N40^3+191.17*N1:N40^2+1592.7*N1:N40)</f>
        <v>393.04537146455289</v>
      </c>
      <c r="P31" s="84">
        <v>917.87746324449199</v>
      </c>
      <c r="Q31" s="85"/>
    </row>
    <row r="32" spans="1:17" ht="20.25" customHeight="1" x14ac:dyDescent="0.2">
      <c r="A32" s="63">
        <f t="shared" si="0"/>
        <v>55</v>
      </c>
      <c r="B32" s="86"/>
      <c r="C32" s="87"/>
      <c r="D32" s="88"/>
      <c r="E32" s="66" t="b">
        <v>0</v>
      </c>
      <c r="F32" s="68" t="s">
        <v>51</v>
      </c>
      <c r="G32" s="69">
        <v>41160.503796296303</v>
      </c>
      <c r="H32" s="69">
        <v>41160.594849537039</v>
      </c>
      <c r="I32" s="66">
        <v>143.6</v>
      </c>
      <c r="J32" s="66">
        <v>424.5</v>
      </c>
      <c r="K32" s="66">
        <v>321.7</v>
      </c>
      <c r="L32" s="70">
        <v>3.8292000000000002</v>
      </c>
      <c r="M32" s="70">
        <v>4.6692999999999998</v>
      </c>
      <c r="N32" s="71">
        <f>M1:M40-L1:L40</f>
        <v>0.84009999999999962</v>
      </c>
      <c r="O32" s="72">
        <f>K1:K40*1592.7/(53.495*N1:N40^4-298.43*N1:N40^3+191.17*N1:N40^2+1592.7*N1:N40)</f>
        <v>387.38217967678219</v>
      </c>
      <c r="P32" s="73">
        <v>913.54992527441311</v>
      </c>
      <c r="Q32" s="74"/>
    </row>
    <row r="33" spans="1:17" ht="20.25" customHeight="1" x14ac:dyDescent="0.2">
      <c r="A33" s="63">
        <f t="shared" si="0"/>
        <v>56</v>
      </c>
      <c r="B33" s="75"/>
      <c r="C33" s="76"/>
      <c r="D33" s="77"/>
      <c r="E33" s="78" t="b">
        <v>0</v>
      </c>
      <c r="F33" s="89" t="s">
        <v>51</v>
      </c>
      <c r="G33" s="80">
        <v>41160.503842592603</v>
      </c>
      <c r="H33" s="80">
        <v>41160.595983796295</v>
      </c>
      <c r="I33" s="78">
        <v>147.80000000000001</v>
      </c>
      <c r="J33" s="78">
        <v>437</v>
      </c>
      <c r="K33" s="78">
        <v>329.4</v>
      </c>
      <c r="L33" s="81">
        <v>3.7886000000000002</v>
      </c>
      <c r="M33" s="81">
        <v>4.6698000000000004</v>
      </c>
      <c r="N33" s="82">
        <f>M1:M40-L1:L40</f>
        <v>0.88120000000000021</v>
      </c>
      <c r="O33" s="83">
        <f>K1:K40*1592.7/(53.495*N1:N40^4-298.43*N1:N40^3+191.17*N1:N40^2+1592.7*N1:N40)</f>
        <v>380.17481809682539</v>
      </c>
      <c r="P33" s="84">
        <v>905.84762654451401</v>
      </c>
      <c r="Q33" s="90"/>
    </row>
    <row r="34" spans="1:17" ht="20.25" customHeight="1" x14ac:dyDescent="0.2">
      <c r="A34" s="63">
        <f t="shared" si="0"/>
        <v>57</v>
      </c>
      <c r="B34" s="86"/>
      <c r="C34" s="87"/>
      <c r="D34" s="88"/>
      <c r="E34" s="66" t="b">
        <v>0</v>
      </c>
      <c r="F34" s="91" t="s">
        <v>51</v>
      </c>
      <c r="G34" s="69">
        <v>41160.506944444445</v>
      </c>
      <c r="H34" s="69">
        <v>41160.597048611111</v>
      </c>
      <c r="I34" s="66">
        <v>85.82</v>
      </c>
      <c r="J34" s="66">
        <v>253.7</v>
      </c>
      <c r="K34" s="66">
        <v>191.9</v>
      </c>
      <c r="L34" s="70">
        <v>3.8490000000000002</v>
      </c>
      <c r="M34" s="70">
        <v>4.5799000000000003</v>
      </c>
      <c r="N34" s="71">
        <f>M1:M40-L1:L40</f>
        <v>0.73090000000000011</v>
      </c>
      <c r="O34" s="72">
        <f>K1:K40*1592.7/(53.495*N1:N40^4-298.43*N1:N40^3+191.17*N1:N40^2+1592.7*N1:N40)</f>
        <v>262.35733077463664</v>
      </c>
      <c r="P34" s="73">
        <v>631.20427211819879</v>
      </c>
      <c r="Q34" s="92"/>
    </row>
    <row r="35" spans="1:17" ht="20.25" customHeight="1" x14ac:dyDescent="0.2">
      <c r="A35" s="63">
        <f t="shared" si="0"/>
        <v>58</v>
      </c>
      <c r="B35" s="75"/>
      <c r="C35" s="76"/>
      <c r="D35" s="77"/>
      <c r="E35" s="78" t="b">
        <v>0</v>
      </c>
      <c r="F35" s="93" t="s">
        <v>51</v>
      </c>
      <c r="G35" s="80">
        <v>41160.509027777778</v>
      </c>
      <c r="H35" s="80">
        <v>41160.598124999997</v>
      </c>
      <c r="I35" s="78">
        <v>69.209999999999994</v>
      </c>
      <c r="J35" s="78">
        <v>204.6</v>
      </c>
      <c r="K35" s="78">
        <v>154.55000000000001</v>
      </c>
      <c r="L35" s="81">
        <v>3.8157999999999999</v>
      </c>
      <c r="M35" s="81">
        <v>4.5303000000000004</v>
      </c>
      <c r="N35" s="82">
        <f>M1:M40-L1:L40</f>
        <v>0.71450000000000058</v>
      </c>
      <c r="O35" s="83">
        <f>K1:K40*1592.7/(53.495*N1:N40^4-298.43*N1:N40^3+191.17*N1:N40^2+1592.7*N1:N40)</f>
        <v>215.79671805305753</v>
      </c>
      <c r="P35" s="84">
        <v>524.29074194098382</v>
      </c>
      <c r="Q35" s="94"/>
    </row>
    <row r="36" spans="1:17" ht="20.25" customHeight="1" x14ac:dyDescent="0.2">
      <c r="A36" s="63">
        <f t="shared" si="0"/>
        <v>59</v>
      </c>
      <c r="B36" s="86"/>
      <c r="C36" s="87"/>
      <c r="D36" s="88"/>
      <c r="E36" s="66" t="b">
        <v>0</v>
      </c>
      <c r="F36" s="91" t="s">
        <v>51</v>
      </c>
      <c r="G36" s="69">
        <v>41160.512499999997</v>
      </c>
      <c r="H36" s="69">
        <v>41160.59946759259</v>
      </c>
      <c r="I36" s="66">
        <v>58.57</v>
      </c>
      <c r="J36" s="66">
        <v>173.2</v>
      </c>
      <c r="K36" s="66">
        <v>130.1</v>
      </c>
      <c r="L36" s="70">
        <v>3.8624000000000001</v>
      </c>
      <c r="M36" s="70">
        <v>4.5831999999999997</v>
      </c>
      <c r="N36" s="71">
        <f>M1:M40-L1:L40</f>
        <v>0.72079999999999966</v>
      </c>
      <c r="O36" s="72">
        <f>K1:K40*1592.7/(53.495*N1:N40^4-298.43*N1:N40^3+191.17*N1:N40^2+1592.7*N1:N40)</f>
        <v>180.17953755985974</v>
      </c>
      <c r="P36" s="73">
        <v>443.13359841355179</v>
      </c>
      <c r="Q36" s="92"/>
    </row>
    <row r="37" spans="1:17" ht="20.25" customHeight="1" x14ac:dyDescent="0.2">
      <c r="A37" s="63">
        <f t="shared" si="0"/>
        <v>60</v>
      </c>
      <c r="B37" s="75"/>
      <c r="C37" s="76"/>
      <c r="D37" s="77"/>
      <c r="E37" s="78" t="b">
        <v>0</v>
      </c>
      <c r="F37" s="93" t="s">
        <v>51</v>
      </c>
      <c r="G37" s="80">
        <v>41160.515972222223</v>
      </c>
      <c r="H37" s="80">
        <v>41160.600543981483</v>
      </c>
      <c r="I37" s="78">
        <v>46.02</v>
      </c>
      <c r="J37" s="78">
        <v>136</v>
      </c>
      <c r="K37" s="78">
        <v>101.6</v>
      </c>
      <c r="L37" s="81">
        <v>3.7515999999999998</v>
      </c>
      <c r="M37" s="81">
        <v>4.4381000000000004</v>
      </c>
      <c r="N37" s="82">
        <f>M1:M40-L1:L40</f>
        <v>0.68650000000000055</v>
      </c>
      <c r="O37" s="83">
        <f>K1:K40*1592.7/(53.495*N1:N40^4-298.43*N1:N40^3+191.17*N1:N40^2+1592.7*N1:N40)</f>
        <v>147.26653645794929</v>
      </c>
      <c r="P37" s="84">
        <v>365.74964393278242</v>
      </c>
      <c r="Q37" s="94"/>
    </row>
    <row r="38" spans="1:17" ht="20.25" customHeight="1" x14ac:dyDescent="0.2">
      <c r="A38" s="63">
        <f t="shared" si="0"/>
        <v>61</v>
      </c>
      <c r="B38" s="86"/>
      <c r="C38" s="87"/>
      <c r="D38" s="88"/>
      <c r="E38" s="66" t="b">
        <v>0</v>
      </c>
      <c r="F38" s="91" t="s">
        <v>51</v>
      </c>
      <c r="G38" s="69">
        <v>41160.522916666669</v>
      </c>
      <c r="H38" s="69">
        <v>41160.601585648146</v>
      </c>
      <c r="I38" s="66">
        <v>39.78</v>
      </c>
      <c r="J38" s="66">
        <v>117.6</v>
      </c>
      <c r="K38" s="66">
        <v>88.69</v>
      </c>
      <c r="L38" s="70">
        <v>3.7869999999999999</v>
      </c>
      <c r="M38" s="70">
        <v>4.5229999999999997</v>
      </c>
      <c r="N38" s="71">
        <f>M1:M40-L1:L40</f>
        <v>0.73599999999999977</v>
      </c>
      <c r="O38" s="72">
        <f>K1:K40*1592.7/(53.495*N1:N40^4-298.43*N1:N40^3+191.17*N1:N40^2+1592.7*N1:N40)</f>
        <v>120.47468371267072</v>
      </c>
      <c r="P38" s="73">
        <v>302.0571668219564</v>
      </c>
      <c r="Q38" s="92"/>
    </row>
    <row r="39" spans="1:17" ht="20.25" customHeight="1" x14ac:dyDescent="0.2">
      <c r="A39" s="63">
        <f t="shared" si="0"/>
        <v>62</v>
      </c>
      <c r="B39" s="95"/>
      <c r="C39" s="96"/>
      <c r="D39" s="97"/>
      <c r="E39" s="98" t="b">
        <v>0</v>
      </c>
      <c r="F39" s="93" t="s">
        <v>51</v>
      </c>
      <c r="G39" s="80">
        <v>41160.536805555559</v>
      </c>
      <c r="H39" s="80">
        <v>41160.602627314816</v>
      </c>
      <c r="I39" s="78">
        <v>30.16</v>
      </c>
      <c r="J39" s="78">
        <v>89.15</v>
      </c>
      <c r="K39" s="78">
        <v>66.510000000000005</v>
      </c>
      <c r="L39" s="81">
        <v>3.7469999999999999</v>
      </c>
      <c r="M39" s="81">
        <v>4.5003000000000002</v>
      </c>
      <c r="N39" s="82">
        <f>M1:M40-L1:L40</f>
        <v>0.7533000000000003</v>
      </c>
      <c r="O39" s="83">
        <f>K1:K40*1592.7/(53.495*N1:N40^4-298.43*N1:N40^3+191.17*N1:N40^2+1592.7*N1:N40)</f>
        <v>88.428742403886403</v>
      </c>
      <c r="P39" s="84">
        <v>223.82073060997041</v>
      </c>
      <c r="Q39" s="94"/>
    </row>
    <row r="40" spans="1:17" ht="20.25" customHeight="1" x14ac:dyDescent="0.2">
      <c r="A40" s="99">
        <f t="shared" si="0"/>
        <v>63</v>
      </c>
      <c r="B40" s="100"/>
      <c r="C40" s="101"/>
      <c r="D40" s="102"/>
      <c r="E40" s="103" t="b">
        <v>0</v>
      </c>
      <c r="F40" s="91" t="s">
        <v>51</v>
      </c>
      <c r="G40" s="104">
        <v>41160.543749999997</v>
      </c>
      <c r="H40" s="104">
        <v>41160.60359953704</v>
      </c>
      <c r="I40" s="105">
        <v>29.16</v>
      </c>
      <c r="J40" s="105">
        <v>86.22</v>
      </c>
      <c r="K40" s="105">
        <v>64.91</v>
      </c>
      <c r="L40" s="106">
        <v>3.7972000000000001</v>
      </c>
      <c r="M40" s="106">
        <v>4.6234999999999999</v>
      </c>
      <c r="N40" s="71">
        <f>M1:M40-L1:L40</f>
        <v>0.82629999999999981</v>
      </c>
      <c r="O40" s="107">
        <f>K1:K40*1592.7/(53.495*N1:N40^4-298.43*N1:N40^3+191.17*N1:N40^2+1592.7*N1:N40)</f>
        <v>79.332805589915154</v>
      </c>
      <c r="P40" s="73">
        <v>202.581111760352</v>
      </c>
      <c r="Q40" s="92"/>
    </row>
  </sheetData>
  <pageMargins left="1" right="1" top="1" bottom="1" header="0.25" footer="0.25"/>
  <pageSetup orientation="portrait"/>
  <headerFooter>
    <oddFooter>&amp;C&amp;"Helvetica Neue,Regular"&amp;10&amp;K000000&amp;P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
  <sheetViews>
    <sheetView showGridLines="0" workbookViewId="0">
      <pane ySplit="2" topLeftCell="A3" activePane="bottomLeft" state="frozen"/>
      <selection pane="bottomLeft"/>
    </sheetView>
  </sheetViews>
  <sheetFormatPr baseColWidth="10" defaultColWidth="7.1640625" defaultRowHeight="20" customHeight="1" x14ac:dyDescent="0.2"/>
  <cols>
    <col min="1" max="1" width="5.1640625" style="108" customWidth="1"/>
    <col min="2" max="2" width="8" style="108" customWidth="1"/>
    <col min="3" max="3" width="8.83203125" style="108" customWidth="1"/>
    <col min="4" max="4" width="11.83203125" style="108" customWidth="1"/>
    <col min="5" max="5" width="8.1640625" style="108" customWidth="1"/>
    <col min="6" max="6" width="9.33203125" style="108" customWidth="1"/>
    <col min="7" max="7" width="9.5" style="108" customWidth="1"/>
    <col min="8" max="8" width="10.33203125" style="108" customWidth="1"/>
    <col min="9" max="9" width="10.83203125" style="108" customWidth="1"/>
    <col min="10" max="10" width="8.83203125" style="108" customWidth="1"/>
    <col min="11" max="11" width="11.1640625" style="108" customWidth="1"/>
    <col min="12" max="12" width="8.6640625" style="108" customWidth="1"/>
    <col min="13" max="13" width="9.83203125" style="108" customWidth="1"/>
    <col min="14" max="14" width="11" style="108" customWidth="1"/>
    <col min="15" max="15" width="12" style="108" customWidth="1"/>
    <col min="16" max="16" width="14.5" style="108" customWidth="1"/>
    <col min="17" max="17" width="32.33203125" style="108" customWidth="1"/>
    <col min="18" max="256" width="7.1640625" customWidth="1"/>
  </cols>
  <sheetData>
    <row r="1" spans="1:17" ht="23.75" customHeight="1" x14ac:dyDescent="0.2">
      <c r="A1" s="35"/>
      <c r="B1" s="36"/>
      <c r="C1" s="37"/>
      <c r="D1" s="38"/>
      <c r="E1" s="39"/>
      <c r="F1" s="40"/>
      <c r="G1" s="41"/>
      <c r="H1" s="41"/>
      <c r="I1" s="41"/>
      <c r="J1" s="41"/>
      <c r="K1" s="42"/>
      <c r="L1" s="43"/>
      <c r="M1" s="44"/>
      <c r="N1" s="45"/>
      <c r="O1" s="35"/>
      <c r="P1" s="35"/>
      <c r="Q1" s="35"/>
    </row>
    <row r="2" spans="1:17" ht="44" customHeight="1" x14ac:dyDescent="0.2">
      <c r="A2" s="46" t="s">
        <v>34</v>
      </c>
      <c r="B2" s="47" t="s">
        <v>35</v>
      </c>
      <c r="C2" s="48" t="s">
        <v>36</v>
      </c>
      <c r="D2" s="49" t="s">
        <v>37</v>
      </c>
      <c r="E2" s="50" t="s">
        <v>38</v>
      </c>
      <c r="F2" s="46" t="s">
        <v>39</v>
      </c>
      <c r="G2" s="51" t="s">
        <v>40</v>
      </c>
      <c r="H2" s="51" t="s">
        <v>41</v>
      </c>
      <c r="I2" s="51" t="s">
        <v>42</v>
      </c>
      <c r="J2" s="51" t="s">
        <v>43</v>
      </c>
      <c r="K2" s="51" t="s">
        <v>44</v>
      </c>
      <c r="L2" s="51" t="s">
        <v>45</v>
      </c>
      <c r="M2" s="51" t="s">
        <v>46</v>
      </c>
      <c r="N2" s="46" t="s">
        <v>56</v>
      </c>
      <c r="O2" s="46" t="s">
        <v>48</v>
      </c>
      <c r="P2" s="46" t="s">
        <v>57</v>
      </c>
      <c r="Q2" s="46" t="s">
        <v>50</v>
      </c>
    </row>
    <row r="3" spans="1:17" ht="20.25" customHeight="1" x14ac:dyDescent="0.2">
      <c r="A3" s="109">
        <v>1</v>
      </c>
      <c r="B3" s="110">
        <v>41160.383333333331</v>
      </c>
      <c r="C3" s="111">
        <v>189</v>
      </c>
      <c r="D3" s="111"/>
      <c r="E3" s="112" t="b">
        <v>1</v>
      </c>
      <c r="F3" s="113" t="s">
        <v>58</v>
      </c>
      <c r="G3" s="114">
        <v>41160.434317129628</v>
      </c>
      <c r="H3" s="114">
        <v>41160.437465277777</v>
      </c>
      <c r="I3" s="111"/>
      <c r="J3" s="111"/>
      <c r="K3" s="111">
        <v>442.8</v>
      </c>
      <c r="L3" s="115">
        <v>3.7858999999999998</v>
      </c>
      <c r="M3" s="116">
        <v>5.5693000000000001</v>
      </c>
      <c r="N3" s="117">
        <f>M1:M6-L1:L6</f>
        <v>1.7834000000000003</v>
      </c>
      <c r="O3" s="118">
        <f>K1:K6*1592.7/(53.495*N1:N6^4-298.43*N1:N6^3+191.17*N1:N6^2+1592.7*N1:N6)</f>
        <v>307.05064588531673</v>
      </c>
      <c r="P3" s="119">
        <v>1589.8941754942141</v>
      </c>
      <c r="Q3" s="120"/>
    </row>
    <row r="4" spans="1:17" ht="20.25" customHeight="1" x14ac:dyDescent="0.2">
      <c r="A4" s="121" t="s">
        <v>59</v>
      </c>
      <c r="B4" s="122">
        <v>41160.426388888889</v>
      </c>
      <c r="C4" s="123">
        <v>210</v>
      </c>
      <c r="D4" s="123"/>
      <c r="E4" s="124" t="b">
        <v>1</v>
      </c>
      <c r="F4" s="125" t="s">
        <v>58</v>
      </c>
      <c r="G4" s="126">
        <f>$G$3</f>
        <v>41160.434317129628</v>
      </c>
      <c r="H4" s="126">
        <v>41160.440706018519</v>
      </c>
      <c r="I4" s="123"/>
      <c r="J4" s="123"/>
      <c r="K4" s="123">
        <v>21.07</v>
      </c>
      <c r="L4" s="127">
        <v>3.8477999999999999</v>
      </c>
      <c r="M4" s="128">
        <v>4.5594999999999999</v>
      </c>
      <c r="N4" s="129">
        <f>M1:M6-L1:L6</f>
        <v>0.7117</v>
      </c>
      <c r="O4" s="130">
        <f>K1:K6*1592.7/(53.495*N1:N6^4-298.43*N1:N6^3+191.17*N1:N6^2+1592.7*N1:N6)</f>
        <v>29.527673083660424</v>
      </c>
      <c r="P4" s="131">
        <v>748.03080843486111</v>
      </c>
      <c r="Q4" s="132" t="s">
        <v>60</v>
      </c>
    </row>
    <row r="5" spans="1:17" ht="20.25" customHeight="1" x14ac:dyDescent="0.2">
      <c r="A5" s="133">
        <v>2</v>
      </c>
      <c r="B5" s="122">
        <v>41160.447222222225</v>
      </c>
      <c r="C5" s="123">
        <v>224</v>
      </c>
      <c r="D5" s="123"/>
      <c r="E5" s="134" t="b">
        <v>1</v>
      </c>
      <c r="F5" s="125" t="s">
        <v>58</v>
      </c>
      <c r="G5" s="126">
        <v>41160.476412037038</v>
      </c>
      <c r="H5" s="126">
        <v>41160.480671296304</v>
      </c>
      <c r="I5" s="123"/>
      <c r="J5" s="123"/>
      <c r="K5" s="123">
        <v>126.3</v>
      </c>
      <c r="L5" s="127">
        <v>3.8262999999999998</v>
      </c>
      <c r="M5" s="128">
        <v>5.3021000000000003</v>
      </c>
      <c r="N5" s="129">
        <f>M1:M6-L1:L6</f>
        <v>1.4758000000000004</v>
      </c>
      <c r="O5" s="130">
        <f>K1:K6*1592.7/(53.495*N1:N6^4-298.43*N1:N6^3+191.17*N1:N6^2+1592.7*N1:N6)</f>
        <v>97.583331026578819</v>
      </c>
      <c r="P5" s="131">
        <v>734.62617504302705</v>
      </c>
      <c r="Q5" s="132"/>
    </row>
    <row r="6" spans="1:17" ht="20.25" customHeight="1" x14ac:dyDescent="0.2">
      <c r="A6" s="135" t="s">
        <v>61</v>
      </c>
      <c r="B6" s="136"/>
      <c r="C6" s="137"/>
      <c r="D6" s="137"/>
      <c r="E6" s="138" t="b">
        <v>0</v>
      </c>
      <c r="F6" s="139" t="s">
        <v>58</v>
      </c>
      <c r="G6" s="140">
        <f>$G$5</f>
        <v>41160.476412037038</v>
      </c>
      <c r="H6" s="140">
        <v>41160.482546296298</v>
      </c>
      <c r="I6" s="137"/>
      <c r="J6" s="137"/>
      <c r="K6" s="137">
        <v>21.98</v>
      </c>
      <c r="L6" s="141">
        <v>3.7965</v>
      </c>
      <c r="M6" s="142">
        <v>4.4618000000000002</v>
      </c>
      <c r="N6" s="129">
        <f>M1:M6-L1:L6</f>
        <v>0.66530000000000022</v>
      </c>
      <c r="O6" s="143">
        <f>K1:K6*1592.7/(53.495*N1:N6^4-298.43*N1:N6^3+191.17*N1:N6^2+1592.7*N1:N6)</f>
        <v>32.814264320840032</v>
      </c>
      <c r="P6" s="131">
        <v>619.0090230169601</v>
      </c>
      <c r="Q6" s="132" t="s">
        <v>60</v>
      </c>
    </row>
  </sheetData>
  <pageMargins left="1" right="1" top="1" bottom="1" header="0.25" footer="0.25"/>
  <pageSetup orientation="portrait"/>
  <headerFooter>
    <oddFooter>&amp;C&amp;"Helvetica Neue,Regular"&amp;10&amp;K000000&amp;P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8"/>
  <sheetViews>
    <sheetView showGridLines="0" workbookViewId="0">
      <pane xSplit="1" ySplit="1" topLeftCell="B2" activePane="bottomRight" state="frozen"/>
      <selection pane="topRight"/>
      <selection pane="bottomLeft"/>
      <selection pane="bottomRight" activeCell="E23" sqref="E23"/>
    </sheetView>
  </sheetViews>
  <sheetFormatPr baseColWidth="10" defaultColWidth="7.1640625" defaultRowHeight="20" customHeight="1" x14ac:dyDescent="0.2"/>
  <cols>
    <col min="1" max="1" width="9.1640625" style="144" customWidth="1"/>
    <col min="2" max="3" width="19.83203125" style="144" customWidth="1"/>
    <col min="4" max="4" width="19.6640625" style="144" customWidth="1"/>
    <col min="5" max="5" width="79.33203125" style="144" customWidth="1"/>
    <col min="6" max="256" width="7.1640625" customWidth="1"/>
  </cols>
  <sheetData>
    <row r="1" spans="1:5" ht="32" customHeight="1" x14ac:dyDescent="0.2">
      <c r="A1" s="145" t="s">
        <v>39</v>
      </c>
      <c r="B1" s="145" t="s">
        <v>64</v>
      </c>
      <c r="C1" s="145" t="s">
        <v>65</v>
      </c>
      <c r="D1" s="46" t="s">
        <v>66</v>
      </c>
      <c r="E1" s="145" t="s">
        <v>50</v>
      </c>
    </row>
    <row r="2" spans="1:5" ht="20.25" customHeight="1" x14ac:dyDescent="0.2">
      <c r="A2" s="146" t="s">
        <v>67</v>
      </c>
      <c r="B2" s="147">
        <v>41160.424722222226</v>
      </c>
      <c r="C2" s="148">
        <f>B2-'Twilite Calibration - Runs'!$B$7</f>
        <v>41160.423136574078</v>
      </c>
      <c r="D2" s="149">
        <v>21</v>
      </c>
      <c r="E2" s="150"/>
    </row>
    <row r="3" spans="1:5" ht="20.25" customHeight="1" x14ac:dyDescent="0.2">
      <c r="A3" s="151" t="s">
        <v>58</v>
      </c>
      <c r="B3" s="152">
        <v>41160.435694444444</v>
      </c>
      <c r="C3" s="153">
        <f>B3-'Twilite Calibration - Runs'!$B$7</f>
        <v>41160.434108796297</v>
      </c>
      <c r="D3" s="123">
        <v>18</v>
      </c>
      <c r="E3" s="154"/>
    </row>
    <row r="4" spans="1:5" ht="20.25" customHeight="1" x14ac:dyDescent="0.2">
      <c r="A4" s="155" t="s">
        <v>68</v>
      </c>
      <c r="B4" s="156">
        <v>41160.446574074071</v>
      </c>
      <c r="C4" s="148">
        <f>B4-'Twilite Calibration - Runs'!$B$7</f>
        <v>41160.444988425923</v>
      </c>
      <c r="D4" s="76">
        <v>20.7</v>
      </c>
      <c r="E4" s="157"/>
    </row>
    <row r="5" spans="1:5" ht="20.25" customHeight="1" x14ac:dyDescent="0.2">
      <c r="A5" s="155" t="s">
        <v>67</v>
      </c>
      <c r="B5" s="158">
        <v>41160.458287037036</v>
      </c>
      <c r="C5" s="159">
        <f>B5-'Twilite Calibration - Runs'!$B$7</f>
        <v>41160.456701388888</v>
      </c>
      <c r="D5" s="87">
        <v>15</v>
      </c>
      <c r="E5" s="160"/>
    </row>
    <row r="6" spans="1:5" ht="20.25" customHeight="1" x14ac:dyDescent="0.2">
      <c r="A6" s="151" t="s">
        <v>58</v>
      </c>
      <c r="B6" s="152">
        <v>41160.478136574071</v>
      </c>
      <c r="C6" s="153">
        <f>B6-'Twilite Calibration - Runs'!$B$7</f>
        <v>41160.476550925923</v>
      </c>
      <c r="D6" s="123">
        <v>16</v>
      </c>
      <c r="E6" s="154"/>
    </row>
    <row r="7" spans="1:5" ht="20.25" customHeight="1" x14ac:dyDescent="0.2">
      <c r="A7" s="155" t="s">
        <v>68</v>
      </c>
      <c r="B7" s="161">
        <v>41160.488599537035</v>
      </c>
      <c r="C7" s="159">
        <f>B7-'Twilite Calibration - Runs'!$B$7</f>
        <v>41160.487013888887</v>
      </c>
      <c r="D7" s="87">
        <v>20.3</v>
      </c>
      <c r="E7" s="160"/>
    </row>
    <row r="8" spans="1:5" ht="20" customHeight="1" x14ac:dyDescent="0.2">
      <c r="A8" s="162" t="s">
        <v>51</v>
      </c>
      <c r="B8" s="163">
        <v>41160.502083333333</v>
      </c>
      <c r="C8" s="164">
        <f>B8-'Twilite Calibration - Runs'!$B$7</f>
        <v>41160.500497685185</v>
      </c>
      <c r="D8" s="165">
        <v>4.9000000000000004</v>
      </c>
      <c r="E8" s="166"/>
    </row>
  </sheetData>
  <pageMargins left="1" right="1" top="1" bottom="1" header="0.25" footer="0.25"/>
  <pageSetup orientation="portrait"/>
  <headerFooter>
    <oddFooter>&amp;C&amp;"Helvetica Neue,Regular"&amp;10&amp;K000000&amp;P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showGridLines="0" workbookViewId="0"/>
  </sheetViews>
  <sheetFormatPr baseColWidth="10" defaultColWidth="10" defaultRowHeight="13" customHeight="1" x14ac:dyDescent="0.2"/>
  <cols>
    <col min="1" max="256" width="10" customWidth="1"/>
  </cols>
  <sheetData/>
  <pageMargins left="1" right="1" top="1" bottom="1" header="0.25" footer="0.25"/>
  <pageSetup orientation="portrait"/>
  <headerFooter>
    <oddFooter>&amp;C&amp;"Helvetica Neue,Regular"&amp;10&amp;K000000&amp;P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baseColWidth="10" defaultColWidth="14" defaultRowHeight="22.75" customHeight="1" x14ac:dyDescent="0.2"/>
  <cols>
    <col min="1" max="1" width="14" style="167" customWidth="1"/>
    <col min="2" max="2" width="25" style="167" customWidth="1"/>
    <col min="3" max="3" width="15.33203125" style="167" customWidth="1"/>
    <col min="4" max="4" width="32" style="167" customWidth="1"/>
    <col min="5" max="256" width="14" customWidth="1"/>
  </cols>
  <sheetData>
    <row r="1" spans="1:4" ht="28.25" customHeight="1" x14ac:dyDescent="0.2">
      <c r="A1" s="168" t="s">
        <v>7</v>
      </c>
      <c r="B1" s="169">
        <v>41160</v>
      </c>
      <c r="C1" s="8" t="s">
        <v>8</v>
      </c>
      <c r="D1" s="9" t="str">
        <f>'Radiation Counts Log - Table 1'!$D$1</f>
        <v>CCIR_00754</v>
      </c>
    </row>
    <row r="2" spans="1:4" ht="47" customHeight="1" x14ac:dyDescent="0.2">
      <c r="A2" s="6" t="s">
        <v>73</v>
      </c>
      <c r="B2" s="7">
        <v>41436</v>
      </c>
      <c r="C2" s="12" t="s">
        <v>12</v>
      </c>
      <c r="D2" s="13" t="str">
        <f>'Radiation Counts Log - Table 1'!$D$2</f>
        <v>Arbelaez</v>
      </c>
    </row>
    <row r="3" spans="1:4" ht="28.25" customHeight="1" x14ac:dyDescent="0.2">
      <c r="A3" s="16"/>
      <c r="B3" s="17"/>
      <c r="C3" s="18" t="s">
        <v>16</v>
      </c>
      <c r="D3" s="19" t="str">
        <f>'Radiation Counts Log - Table 1'!$D$4</f>
        <v>JJL</v>
      </c>
    </row>
  </sheetData>
  <pageMargins left="0.5" right="0.5" top="0.25" bottom="0.25" header="0.25" footer="0.25"/>
  <pageSetup scale="51" orientation="landscape"/>
  <headerFooter>
    <oddFooter>&amp;C&amp;"Helvetica Neue,Regular"&amp;10&amp;K000000&amp;P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1640625" style="170" customWidth="1"/>
    <col min="2" max="2" width="12" style="170" customWidth="1"/>
    <col min="3" max="256" width="7.1640625" customWidth="1"/>
  </cols>
  <sheetData>
    <row r="1" spans="1:2" ht="23.5" customHeight="1" x14ac:dyDescent="0.2">
      <c r="A1" s="171"/>
      <c r="B1" s="172"/>
    </row>
    <row r="2" spans="1:2" ht="32" customHeight="1" x14ac:dyDescent="0.2">
      <c r="A2" s="173" t="s">
        <v>75</v>
      </c>
      <c r="B2" s="46" t="s">
        <v>76</v>
      </c>
    </row>
    <row r="3" spans="1:2" ht="20.25" customHeight="1" x14ac:dyDescent="0.2">
      <c r="A3" s="174" t="s">
        <v>77</v>
      </c>
      <c r="B3" s="175">
        <v>8.1018518518518516E-5</v>
      </c>
    </row>
    <row r="4" spans="1:2" ht="20.25" customHeight="1" x14ac:dyDescent="0.2">
      <c r="A4" s="176" t="s">
        <v>78</v>
      </c>
      <c r="B4" s="177">
        <v>0</v>
      </c>
    </row>
    <row r="5" spans="1:2" ht="20.25" customHeight="1" x14ac:dyDescent="0.2">
      <c r="A5" s="176" t="s">
        <v>79</v>
      </c>
      <c r="B5" s="178">
        <v>-1.3657407407407409E-3</v>
      </c>
    </row>
    <row r="6" spans="1:2" ht="20.25" customHeight="1" x14ac:dyDescent="0.2">
      <c r="A6" s="176" t="s">
        <v>80</v>
      </c>
      <c r="B6" s="177">
        <v>0</v>
      </c>
    </row>
    <row r="7" spans="1:2" ht="20.25" customHeight="1" x14ac:dyDescent="0.2">
      <c r="A7" s="176" t="s">
        <v>81</v>
      </c>
      <c r="B7" s="178">
        <v>1.5856481481481481E-3</v>
      </c>
    </row>
    <row r="8" spans="1:2" ht="20" customHeight="1" x14ac:dyDescent="0.2">
      <c r="A8" s="179" t="s">
        <v>82</v>
      </c>
      <c r="B8" s="180">
        <v>0</v>
      </c>
    </row>
  </sheetData>
  <pageMargins left="0.5" right="0.5" top="0.25" bottom="0.25" header="0.25" footer="0.25"/>
  <pageSetup scale="51" orientation="landscape"/>
  <headerFooter>
    <oddFooter>&amp;C&amp;"Helvetica Neue,Regular"&amp;10&amp;K000000&amp;P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Radiation Counts Log - Table 1</vt:lpstr>
      <vt:lpstr>Radiation Counts Log - Statisti</vt:lpstr>
      <vt:lpstr>Radiation Counts Log - Runs</vt:lpstr>
      <vt:lpstr>Radiation Counts Log - Runs-1</vt:lpstr>
      <vt:lpstr>Radiation Counts Log - Runs-2</vt:lpstr>
      <vt:lpstr>Radiation Counts Log - Drawings</vt:lpstr>
      <vt:lpstr>Twilite Calibration - Table 1</vt:lpstr>
      <vt:lpstr>Twilite Calibration - Runs</vt:lpstr>
      <vt:lpstr>Twilite Calibration - Runs-2</vt:lpstr>
      <vt:lpstr>Twilite Calibration - Runs-2-1</vt:lpstr>
      <vt:lpstr>Twilite Calibration - Runs-2-2</vt:lpstr>
      <vt:lpstr>Twilite Calibration - Runs-2-1-</vt:lpstr>
      <vt:lpstr>Twilite Calibration - Runs-2-11</vt:lpstr>
      <vt:lpstr>Twilite Calibration - Runs-2-12</vt:lpstr>
      <vt:lpstr>Twilite Calibration - Drawings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John J.</cp:lastModifiedBy>
  <dcterms:created xsi:type="dcterms:W3CDTF">2017-07-19T05:24:35Z</dcterms:created>
  <dcterms:modified xsi:type="dcterms:W3CDTF">2017-07-19T05:24:35Z</dcterms:modified>
</cp:coreProperties>
</file>