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DWILL\GOODWILL\"/>
    </mc:Choice>
  </mc:AlternateContent>
  <xr:revisionPtr revIDLastSave="0" documentId="8_{39E411AA-6216-4D57-B457-EFC183026513}" xr6:coauthVersionLast="47" xr6:coauthVersionMax="47" xr10:uidLastSave="{00000000-0000-0000-0000-000000000000}"/>
  <bookViews>
    <workbookView xWindow="28680" yWindow="-120" windowWidth="29040" windowHeight="15720" xr2:uid="{1ADD5702-ACBE-46FE-A8F9-4BBDB8D63D75}"/>
  </bookViews>
  <sheets>
    <sheet name="Shoe Shop" sheetId="5" r:id="rId1"/>
    <sheet name="Open.Close" sheetId="10" r:id="rId2"/>
    <sheet name="Store Database" sheetId="1" r:id="rId3"/>
    <sheet name="Department Charts" sheetId="3" state="hidden" r:id="rId4"/>
    <sheet name="Sheet6" sheetId="16" r:id="rId5"/>
    <sheet name="Holiday Hours DATA" sheetId="6" r:id="rId6"/>
  </sheets>
  <definedNames>
    <definedName name="_xlnm._FilterDatabase" localSheetId="3" hidden="1">'Department Charts'!$F$1:$F$361</definedName>
    <definedName name="_xlnm.Print_Area" localSheetId="0">'Shoe Shop'!$A$1:$N$31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5" l="1"/>
  <c r="D22" i="5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3" i="1"/>
  <c r="D9" i="5"/>
  <c r="E9" i="5"/>
  <c r="D7" i="5"/>
  <c r="B9" i="5"/>
  <c r="C30" i="5"/>
  <c r="B30" i="5"/>
  <c r="C29" i="5"/>
  <c r="B29" i="5"/>
  <c r="B22" i="5"/>
  <c r="C22" i="5"/>
  <c r="A22" i="5"/>
  <c r="C15" i="5"/>
  <c r="D26" i="5"/>
  <c r="C26" i="5"/>
  <c r="B26" i="5"/>
  <c r="A26" i="5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3" i="1"/>
  <c r="C24" i="5"/>
  <c r="A24" i="5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 s="1"/>
  <c r="D139" i="3"/>
  <c r="E139" i="3" s="1"/>
  <c r="D140" i="3"/>
  <c r="E140" i="3" s="1"/>
  <c r="D141" i="3"/>
  <c r="E141" i="3" s="1"/>
  <c r="D142" i="3"/>
  <c r="E142" i="3" s="1"/>
  <c r="D143" i="3"/>
  <c r="E143" i="3" s="1"/>
  <c r="D144" i="3"/>
  <c r="E144" i="3" s="1"/>
  <c r="D145" i="3"/>
  <c r="E145" i="3" s="1"/>
  <c r="D146" i="3"/>
  <c r="E146" i="3" s="1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 s="1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 s="1"/>
  <c r="D163" i="3"/>
  <c r="E163" i="3" s="1"/>
  <c r="D164" i="3"/>
  <c r="E164" i="3" s="1"/>
  <c r="D165" i="3"/>
  <c r="E165" i="3" s="1"/>
  <c r="D166" i="3"/>
  <c r="E166" i="3" s="1"/>
  <c r="D167" i="3"/>
  <c r="E167" i="3" s="1"/>
  <c r="D168" i="3"/>
  <c r="E168" i="3" s="1"/>
  <c r="D169" i="3"/>
  <c r="E169" i="3" s="1"/>
  <c r="D170" i="3"/>
  <c r="E170" i="3" s="1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 s="1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 s="1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 s="1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 s="1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 s="1"/>
  <c r="D213" i="3"/>
  <c r="E213" i="3" s="1"/>
  <c r="D214" i="3"/>
  <c r="E214" i="3" s="1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 s="1"/>
  <c r="D221" i="3"/>
  <c r="E221" i="3" s="1"/>
  <c r="D222" i="3"/>
  <c r="E222" i="3" s="1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 s="1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 s="1"/>
  <c r="D241" i="3"/>
  <c r="E241" i="3" s="1"/>
  <c r="D242" i="3"/>
  <c r="E242" i="3" s="1"/>
  <c r="D243" i="3"/>
  <c r="E243" i="3" s="1"/>
  <c r="D244" i="3"/>
  <c r="E244" i="3" s="1"/>
  <c r="D245" i="3"/>
  <c r="E245" i="3" s="1"/>
  <c r="D246" i="3"/>
  <c r="E246" i="3" s="1"/>
  <c r="D247" i="3"/>
  <c r="E247" i="3" s="1"/>
  <c r="D248" i="3"/>
  <c r="E248" i="3" s="1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 s="1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 s="1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 s="1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 s="1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 s="1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 s="1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 s="1"/>
  <c r="D305" i="3"/>
  <c r="E305" i="3" s="1"/>
  <c r="D306" i="3"/>
  <c r="E306" i="3" s="1"/>
  <c r="D307" i="3"/>
  <c r="E307" i="3" s="1"/>
  <c r="D308" i="3"/>
  <c r="E308" i="3" s="1"/>
  <c r="D309" i="3"/>
  <c r="E309" i="3" s="1"/>
  <c r="D310" i="3"/>
  <c r="E310" i="3" s="1"/>
  <c r="D311" i="3"/>
  <c r="E311" i="3" s="1"/>
  <c r="D312" i="3"/>
  <c r="E312" i="3" s="1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 s="1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 s="1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 s="1"/>
  <c r="D339" i="3"/>
  <c r="E339" i="3" s="1"/>
  <c r="D340" i="3"/>
  <c r="E340" i="3" s="1"/>
  <c r="D341" i="3"/>
  <c r="E341" i="3" s="1"/>
  <c r="D342" i="3"/>
  <c r="E342" i="3" s="1"/>
  <c r="D343" i="3"/>
  <c r="E343" i="3" s="1"/>
  <c r="D344" i="3"/>
  <c r="E344" i="3" s="1"/>
  <c r="D345" i="3"/>
  <c r="E345" i="3" s="1"/>
  <c r="D346" i="3"/>
  <c r="E346" i="3" s="1"/>
  <c r="D347" i="3"/>
  <c r="E347" i="3" s="1"/>
  <c r="D348" i="3"/>
  <c r="E348" i="3" s="1"/>
  <c r="D349" i="3"/>
  <c r="E349" i="3" s="1"/>
  <c r="D350" i="3"/>
  <c r="E350" i="3" s="1"/>
  <c r="D351" i="3"/>
  <c r="E351" i="3" s="1"/>
  <c r="D352" i="3"/>
  <c r="E352" i="3" s="1"/>
  <c r="D353" i="3"/>
  <c r="E353" i="3" s="1"/>
  <c r="D354" i="3"/>
  <c r="E354" i="3" s="1"/>
  <c r="D355" i="3"/>
  <c r="E355" i="3" s="1"/>
  <c r="D356" i="3"/>
  <c r="E356" i="3" s="1"/>
  <c r="D357" i="3"/>
  <c r="E357" i="3" s="1"/>
  <c r="D358" i="3"/>
  <c r="E358" i="3" s="1"/>
  <c r="D359" i="3"/>
  <c r="E359" i="3" s="1"/>
  <c r="D360" i="3"/>
  <c r="E360" i="3" s="1"/>
  <c r="D361" i="3"/>
  <c r="E361" i="3" s="1"/>
  <c r="D2" i="3"/>
  <c r="E2" i="3" s="1"/>
  <c r="Y37" i="3"/>
  <c r="Z37" i="3" s="1"/>
  <c r="X29" i="3"/>
  <c r="X38" i="3" s="1"/>
  <c r="X30" i="3"/>
  <c r="X31" i="3"/>
  <c r="X32" i="3"/>
  <c r="X33" i="3"/>
  <c r="X34" i="3"/>
  <c r="X35" i="3"/>
  <c r="X36" i="3"/>
  <c r="X37" i="3"/>
  <c r="W37" i="3"/>
  <c r="W36" i="3"/>
  <c r="Y36" i="3" s="1"/>
  <c r="Z36" i="3" s="1"/>
  <c r="W35" i="3"/>
  <c r="Y35" i="3" s="1"/>
  <c r="Z35" i="3" s="1"/>
  <c r="W34" i="3"/>
  <c r="Y34" i="3" s="1"/>
  <c r="Z34" i="3" s="1"/>
  <c r="W33" i="3"/>
  <c r="Y33" i="3" s="1"/>
  <c r="Z33" i="3" s="1"/>
  <c r="W32" i="3"/>
  <c r="Y32" i="3" s="1"/>
  <c r="Z32" i="3" s="1"/>
  <c r="W31" i="3"/>
  <c r="Y31" i="3" s="1"/>
  <c r="Z31" i="3" s="1"/>
  <c r="W30" i="3"/>
  <c r="Y30" i="3" s="1"/>
  <c r="Z30" i="3" s="1"/>
  <c r="W29" i="3"/>
  <c r="U29" i="3"/>
  <c r="V29" i="3" s="1"/>
  <c r="S30" i="3"/>
  <c r="U30" i="3" s="1"/>
  <c r="V30" i="3" s="1"/>
  <c r="T30" i="3"/>
  <c r="S31" i="3"/>
  <c r="U31" i="3" s="1"/>
  <c r="V31" i="3" s="1"/>
  <c r="T31" i="3"/>
  <c r="T38" i="3" s="1"/>
  <c r="S32" i="3"/>
  <c r="U32" i="3" s="1"/>
  <c r="V32" i="3" s="1"/>
  <c r="T32" i="3"/>
  <c r="S33" i="3"/>
  <c r="U33" i="3" s="1"/>
  <c r="V33" i="3" s="1"/>
  <c r="T33" i="3"/>
  <c r="S34" i="3"/>
  <c r="U34" i="3" s="1"/>
  <c r="V34" i="3" s="1"/>
  <c r="T34" i="3"/>
  <c r="S35" i="3"/>
  <c r="U35" i="3" s="1"/>
  <c r="V35" i="3" s="1"/>
  <c r="T35" i="3"/>
  <c r="S36" i="3"/>
  <c r="U36" i="3" s="1"/>
  <c r="V36" i="3" s="1"/>
  <c r="T36" i="3"/>
  <c r="S37" i="3"/>
  <c r="U37" i="3" s="1"/>
  <c r="V37" i="3" s="1"/>
  <c r="T37" i="3"/>
  <c r="S29" i="3"/>
  <c r="T29" i="3"/>
  <c r="Y29" i="3" l="1"/>
  <c r="Z29" i="3" s="1"/>
  <c r="W38" i="3"/>
  <c r="Y38" i="3" s="1"/>
  <c r="Z38" i="3" s="1"/>
  <c r="S38" i="3"/>
  <c r="U38" i="3" s="1"/>
  <c r="V38" i="3" s="1"/>
  <c r="P1" i="3" l="1"/>
  <c r="P5" i="3" s="1"/>
  <c r="B2" i="3"/>
  <c r="P43" i="1"/>
  <c r="Q43" i="1"/>
  <c r="R43" i="1"/>
  <c r="S43" i="1"/>
  <c r="T43" i="1"/>
  <c r="U43" i="1"/>
  <c r="V43" i="1"/>
  <c r="X43" i="1"/>
  <c r="Y43" i="1"/>
  <c r="Z43" i="1"/>
  <c r="AA43" i="1"/>
  <c r="AC43" i="1"/>
  <c r="AD43" i="1"/>
  <c r="AE43" i="1"/>
  <c r="AF43" i="1"/>
  <c r="AH43" i="1"/>
  <c r="AI43" i="1"/>
  <c r="AJ43" i="1"/>
  <c r="AK43" i="1"/>
  <c r="AM43" i="1"/>
  <c r="AN43" i="1"/>
  <c r="AO43" i="1"/>
  <c r="AP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F43" i="1"/>
  <c r="BH43" i="1"/>
  <c r="BJ43" i="1"/>
  <c r="BL43" i="1"/>
  <c r="BN43" i="1"/>
  <c r="BO43" i="1"/>
  <c r="BQ43" i="1"/>
  <c r="BS43" i="1"/>
  <c r="BT43" i="1"/>
  <c r="BU43" i="1"/>
  <c r="BV43" i="1"/>
  <c r="D30" i="5" s="1"/>
  <c r="BX43" i="1"/>
  <c r="C31" i="5"/>
  <c r="B31" i="5"/>
  <c r="D19" i="5"/>
  <c r="C19" i="5"/>
  <c r="B19" i="5"/>
  <c r="A19" i="5"/>
  <c r="C17" i="5"/>
  <c r="D17" i="5"/>
  <c r="B17" i="5"/>
  <c r="A17" i="5"/>
  <c r="D15" i="5"/>
  <c r="B15" i="5"/>
  <c r="A15" i="5"/>
  <c r="D13" i="5"/>
  <c r="C13" i="5"/>
  <c r="B13" i="5"/>
  <c r="A13" i="5"/>
  <c r="T5" i="3" l="1"/>
  <c r="W5" i="3"/>
  <c r="U5" i="3"/>
  <c r="X5" i="3"/>
  <c r="Z5" i="3"/>
  <c r="V5" i="3"/>
  <c r="S5" i="3"/>
  <c r="D29" i="5"/>
  <c r="A304" i="3"/>
  <c r="A267" i="3"/>
  <c r="A314" i="3"/>
  <c r="A254" i="3"/>
  <c r="A170" i="3"/>
  <c r="A337" i="3"/>
  <c r="A301" i="3"/>
  <c r="A265" i="3"/>
  <c r="A229" i="3"/>
  <c r="A205" i="3"/>
  <c r="A157" i="3"/>
  <c r="A121" i="3"/>
  <c r="A109" i="3"/>
  <c r="A49" i="3"/>
  <c r="A360" i="3"/>
  <c r="A336" i="3"/>
  <c r="A300" i="3"/>
  <c r="A252" i="3"/>
  <c r="A228" i="3"/>
  <c r="A192" i="3"/>
  <c r="A168" i="3"/>
  <c r="A120" i="3"/>
  <c r="A84" i="3"/>
  <c r="A60" i="3"/>
  <c r="A48" i="3"/>
  <c r="A12" i="3"/>
  <c r="A359" i="3"/>
  <c r="A347" i="3"/>
  <c r="A335" i="3"/>
  <c r="A323" i="3"/>
  <c r="A311" i="3"/>
  <c r="A299" i="3"/>
  <c r="A287" i="3"/>
  <c r="A275" i="3"/>
  <c r="A263" i="3"/>
  <c r="A251" i="3"/>
  <c r="A239" i="3"/>
  <c r="A227" i="3"/>
  <c r="A215" i="3"/>
  <c r="A203" i="3"/>
  <c r="A191" i="3"/>
  <c r="A179" i="3"/>
  <c r="A167" i="3"/>
  <c r="A155" i="3"/>
  <c r="A143" i="3"/>
  <c r="A131" i="3"/>
  <c r="A119" i="3"/>
  <c r="A107" i="3"/>
  <c r="A95" i="3"/>
  <c r="A83" i="3"/>
  <c r="A71" i="3"/>
  <c r="A59" i="3"/>
  <c r="A47" i="3"/>
  <c r="A35" i="3"/>
  <c r="A23" i="3"/>
  <c r="A11" i="3"/>
  <c r="A344" i="3"/>
  <c r="A316" i="3"/>
  <c r="A327" i="3"/>
  <c r="A255" i="3"/>
  <c r="A338" i="3"/>
  <c r="A290" i="3"/>
  <c r="A242" i="3"/>
  <c r="A206" i="3"/>
  <c r="A146" i="3"/>
  <c r="A349" i="3"/>
  <c r="A289" i="3"/>
  <c r="A241" i="3"/>
  <c r="A169" i="3"/>
  <c r="A73" i="3"/>
  <c r="A312" i="3"/>
  <c r="A276" i="3"/>
  <c r="A240" i="3"/>
  <c r="A204" i="3"/>
  <c r="A144" i="3"/>
  <c r="A96" i="3"/>
  <c r="A36" i="3"/>
  <c r="A358" i="3"/>
  <c r="A346" i="3"/>
  <c r="A334" i="3"/>
  <c r="A322" i="3"/>
  <c r="A310" i="3"/>
  <c r="A298" i="3"/>
  <c r="A286" i="3"/>
  <c r="A274" i="3"/>
  <c r="A262" i="3"/>
  <c r="A250" i="3"/>
  <c r="A238" i="3"/>
  <c r="A226" i="3"/>
  <c r="A214" i="3"/>
  <c r="A202" i="3"/>
  <c r="A190" i="3"/>
  <c r="A178" i="3"/>
  <c r="A166" i="3"/>
  <c r="A154" i="3"/>
  <c r="A142" i="3"/>
  <c r="A130" i="3"/>
  <c r="A118" i="3"/>
  <c r="A106" i="3"/>
  <c r="A94" i="3"/>
  <c r="A82" i="3"/>
  <c r="A70" i="3"/>
  <c r="A58" i="3"/>
  <c r="A46" i="3"/>
  <c r="A34" i="3"/>
  <c r="A22" i="3"/>
  <c r="A10" i="3"/>
  <c r="A332" i="3"/>
  <c r="A340" i="3"/>
  <c r="A315" i="3"/>
  <c r="A231" i="3"/>
  <c r="A326" i="3"/>
  <c r="A302" i="3"/>
  <c r="A266" i="3"/>
  <c r="A218" i="3"/>
  <c r="A182" i="3"/>
  <c r="A361" i="3"/>
  <c r="A313" i="3"/>
  <c r="A277" i="3"/>
  <c r="A217" i="3"/>
  <c r="A181" i="3"/>
  <c r="A145" i="3"/>
  <c r="A97" i="3"/>
  <c r="A61" i="3"/>
  <c r="A25" i="3"/>
  <c r="A348" i="3"/>
  <c r="A324" i="3"/>
  <c r="A288" i="3"/>
  <c r="A264" i="3"/>
  <c r="A216" i="3"/>
  <c r="A180" i="3"/>
  <c r="A156" i="3"/>
  <c r="A132" i="3"/>
  <c r="A108" i="3"/>
  <c r="A72" i="3"/>
  <c r="A24" i="3"/>
  <c r="A357" i="3"/>
  <c r="A345" i="3"/>
  <c r="A333" i="3"/>
  <c r="A321" i="3"/>
  <c r="A309" i="3"/>
  <c r="A297" i="3"/>
  <c r="A285" i="3"/>
  <c r="A273" i="3"/>
  <c r="A261" i="3"/>
  <c r="A249" i="3"/>
  <c r="A237" i="3"/>
  <c r="A225" i="3"/>
  <c r="A213" i="3"/>
  <c r="A201" i="3"/>
  <c r="A189" i="3"/>
  <c r="A177" i="3"/>
  <c r="A165" i="3"/>
  <c r="A153" i="3"/>
  <c r="A141" i="3"/>
  <c r="A129" i="3"/>
  <c r="A117" i="3"/>
  <c r="A105" i="3"/>
  <c r="A93" i="3"/>
  <c r="A81" i="3"/>
  <c r="A69" i="3"/>
  <c r="A57" i="3"/>
  <c r="A45" i="3"/>
  <c r="A33" i="3"/>
  <c r="A21" i="3"/>
  <c r="A9" i="3"/>
  <c r="A356" i="3"/>
  <c r="A320" i="3"/>
  <c r="A308" i="3"/>
  <c r="A296" i="3"/>
  <c r="A284" i="3"/>
  <c r="A272" i="3"/>
  <c r="A260" i="3"/>
  <c r="A248" i="3"/>
  <c r="A236" i="3"/>
  <c r="A224" i="3"/>
  <c r="A212" i="3"/>
  <c r="A200" i="3"/>
  <c r="A188" i="3"/>
  <c r="A176" i="3"/>
  <c r="A164" i="3"/>
  <c r="A152" i="3"/>
  <c r="A140" i="3"/>
  <c r="A128" i="3"/>
  <c r="A116" i="3"/>
  <c r="A104" i="3"/>
  <c r="A92" i="3"/>
  <c r="A80" i="3"/>
  <c r="A68" i="3"/>
  <c r="A56" i="3"/>
  <c r="A44" i="3"/>
  <c r="A32" i="3"/>
  <c r="A20" i="3"/>
  <c r="A8" i="3"/>
  <c r="A331" i="3"/>
  <c r="A295" i="3"/>
  <c r="A271" i="3"/>
  <c r="A247" i="3"/>
  <c r="A223" i="3"/>
  <c r="A199" i="3"/>
  <c r="A187" i="3"/>
  <c r="A175" i="3"/>
  <c r="A163" i="3"/>
  <c r="A151" i="3"/>
  <c r="A139" i="3"/>
  <c r="A127" i="3"/>
  <c r="A115" i="3"/>
  <c r="A103" i="3"/>
  <c r="A91" i="3"/>
  <c r="A79" i="3"/>
  <c r="A67" i="3"/>
  <c r="A55" i="3"/>
  <c r="A43" i="3"/>
  <c r="A31" i="3"/>
  <c r="A19" i="3"/>
  <c r="A7" i="3"/>
  <c r="A355" i="3"/>
  <c r="A307" i="3"/>
  <c r="A235" i="3"/>
  <c r="A354" i="3"/>
  <c r="A330" i="3"/>
  <c r="A306" i="3"/>
  <c r="A282" i="3"/>
  <c r="A258" i="3"/>
  <c r="A234" i="3"/>
  <c r="A186" i="3"/>
  <c r="A138" i="3"/>
  <c r="A18" i="3"/>
  <c r="A343" i="3"/>
  <c r="A319" i="3"/>
  <c r="A283" i="3"/>
  <c r="A259" i="3"/>
  <c r="A211" i="3"/>
  <c r="A342" i="3"/>
  <c r="A318" i="3"/>
  <c r="A294" i="3"/>
  <c r="A270" i="3"/>
  <c r="A246" i="3"/>
  <c r="A222" i="3"/>
  <c r="A210" i="3"/>
  <c r="A198" i="3"/>
  <c r="A174" i="3"/>
  <c r="A162" i="3"/>
  <c r="A150" i="3"/>
  <c r="A126" i="3"/>
  <c r="A114" i="3"/>
  <c r="A102" i="3"/>
  <c r="A90" i="3"/>
  <c r="A78" i="3"/>
  <c r="A66" i="3"/>
  <c r="A54" i="3"/>
  <c r="A42" i="3"/>
  <c r="A30" i="3"/>
  <c r="A6" i="3"/>
  <c r="A353" i="3"/>
  <c r="A341" i="3"/>
  <c r="A329" i="3"/>
  <c r="A317" i="3"/>
  <c r="A305" i="3"/>
  <c r="A293" i="3"/>
  <c r="A281" i="3"/>
  <c r="A269" i="3"/>
  <c r="A257" i="3"/>
  <c r="A245" i="3"/>
  <c r="A233" i="3"/>
  <c r="A221" i="3"/>
  <c r="A209" i="3"/>
  <c r="A197" i="3"/>
  <c r="A185" i="3"/>
  <c r="A173" i="3"/>
  <c r="A161" i="3"/>
  <c r="A149" i="3"/>
  <c r="A137" i="3"/>
  <c r="A125" i="3"/>
  <c r="A113" i="3"/>
  <c r="A101" i="3"/>
  <c r="A89" i="3"/>
  <c r="A77" i="3"/>
  <c r="A65" i="3"/>
  <c r="A53" i="3"/>
  <c r="A41" i="3"/>
  <c r="A29" i="3"/>
  <c r="A17" i="3"/>
  <c r="A5" i="3"/>
  <c r="A352" i="3"/>
  <c r="A292" i="3"/>
  <c r="A280" i="3"/>
  <c r="A268" i="3"/>
  <c r="A256" i="3"/>
  <c r="A244" i="3"/>
  <c r="A232" i="3"/>
  <c r="A220" i="3"/>
  <c r="A208" i="3"/>
  <c r="A196" i="3"/>
  <c r="A184" i="3"/>
  <c r="A172" i="3"/>
  <c r="A160" i="3"/>
  <c r="A148" i="3"/>
  <c r="A136" i="3"/>
  <c r="A124" i="3"/>
  <c r="A112" i="3"/>
  <c r="A100" i="3"/>
  <c r="A88" i="3"/>
  <c r="A76" i="3"/>
  <c r="A64" i="3"/>
  <c r="A52" i="3"/>
  <c r="A40" i="3"/>
  <c r="A28" i="3"/>
  <c r="A16" i="3"/>
  <c r="A4" i="3"/>
  <c r="A339" i="3"/>
  <c r="A279" i="3"/>
  <c r="A243" i="3"/>
  <c r="A219" i="3"/>
  <c r="A207" i="3"/>
  <c r="A195" i="3"/>
  <c r="A183" i="3"/>
  <c r="A171" i="3"/>
  <c r="A159" i="3"/>
  <c r="A147" i="3"/>
  <c r="A135" i="3"/>
  <c r="A123" i="3"/>
  <c r="A111" i="3"/>
  <c r="A99" i="3"/>
  <c r="A87" i="3"/>
  <c r="A75" i="3"/>
  <c r="A63" i="3"/>
  <c r="A51" i="3"/>
  <c r="A39" i="3"/>
  <c r="A27" i="3"/>
  <c r="A15" i="3"/>
  <c r="A3" i="3"/>
  <c r="A291" i="3"/>
  <c r="A350" i="3"/>
  <c r="A278" i="3"/>
  <c r="A230" i="3"/>
  <c r="A194" i="3"/>
  <c r="A158" i="3"/>
  <c r="A134" i="3"/>
  <c r="A122" i="3"/>
  <c r="A110" i="3"/>
  <c r="A98" i="3"/>
  <c r="A86" i="3"/>
  <c r="A74" i="3"/>
  <c r="A62" i="3"/>
  <c r="A50" i="3"/>
  <c r="A38" i="3"/>
  <c r="A26" i="3"/>
  <c r="A14" i="3"/>
  <c r="A328" i="3"/>
  <c r="A351" i="3"/>
  <c r="A303" i="3"/>
  <c r="A2" i="3"/>
  <c r="A325" i="3"/>
  <c r="A253" i="3"/>
  <c r="A193" i="3"/>
  <c r="A133" i="3"/>
  <c r="A85" i="3"/>
  <c r="A37" i="3"/>
  <c r="A13" i="3"/>
  <c r="P7" i="3"/>
  <c r="P6" i="3"/>
  <c r="P4" i="3"/>
  <c r="P14" i="3"/>
  <c r="P9" i="3"/>
  <c r="P8" i="3"/>
  <c r="P3" i="3"/>
  <c r="P11" i="3"/>
  <c r="P10" i="3"/>
  <c r="C7" i="5"/>
  <c r="B7" i="5"/>
  <c r="A7" i="5"/>
  <c r="A9" i="5"/>
  <c r="Y5" i="3" l="1"/>
  <c r="X11" i="3"/>
  <c r="V11" i="3"/>
  <c r="Z11" i="3"/>
  <c r="S11" i="3"/>
  <c r="W11" i="3"/>
  <c r="T11" i="3"/>
  <c r="U11" i="3"/>
  <c r="T6" i="3"/>
  <c r="U6" i="3"/>
  <c r="Z6" i="3"/>
  <c r="W6" i="3"/>
  <c r="X6" i="3"/>
  <c r="V6" i="3"/>
  <c r="S6" i="3"/>
  <c r="Z7" i="3"/>
  <c r="T7" i="3"/>
  <c r="W7" i="3"/>
  <c r="U7" i="3"/>
  <c r="S7" i="3"/>
  <c r="V7" i="3"/>
  <c r="X7" i="3"/>
  <c r="S10" i="3"/>
  <c r="Z10" i="3"/>
  <c r="T10" i="3"/>
  <c r="W10" i="3"/>
  <c r="U10" i="3"/>
  <c r="X10" i="3"/>
  <c r="V10" i="3"/>
  <c r="V3" i="3"/>
  <c r="Z3" i="3"/>
  <c r="X3" i="3"/>
  <c r="W3" i="3"/>
  <c r="S3" i="3"/>
  <c r="U3" i="3"/>
  <c r="T3" i="3"/>
  <c r="S8" i="3"/>
  <c r="W8" i="3"/>
  <c r="X8" i="3"/>
  <c r="Z8" i="3"/>
  <c r="T8" i="3"/>
  <c r="V8" i="3"/>
  <c r="U8" i="3"/>
  <c r="S9" i="3"/>
  <c r="W9" i="3"/>
  <c r="T9" i="3"/>
  <c r="X9" i="3"/>
  <c r="V9" i="3"/>
  <c r="Z9" i="3"/>
  <c r="U9" i="3"/>
  <c r="W4" i="3"/>
  <c r="X4" i="3"/>
  <c r="Z4" i="3"/>
  <c r="U4" i="3"/>
  <c r="V4" i="3"/>
  <c r="T4" i="3"/>
  <c r="S4" i="3"/>
  <c r="P16" i="3"/>
  <c r="P17" i="3"/>
  <c r="P24" i="3"/>
  <c r="P18" i="3"/>
  <c r="P19" i="3"/>
  <c r="P21" i="3"/>
  <c r="P20" i="3"/>
  <c r="P22" i="3"/>
  <c r="P23" i="3"/>
  <c r="J4" i="5"/>
  <c r="K2" i="5"/>
  <c r="J3" i="5"/>
  <c r="Y11" i="3" l="1"/>
  <c r="Y8" i="3"/>
  <c r="Y9" i="3"/>
  <c r="Y6" i="3"/>
  <c r="S17" i="3"/>
  <c r="T17" i="3"/>
  <c r="U17" i="3"/>
  <c r="V17" i="3"/>
  <c r="W17" i="3"/>
  <c r="X17" i="3"/>
  <c r="Z17" i="3"/>
  <c r="Z16" i="3"/>
  <c r="S16" i="3"/>
  <c r="X16" i="3"/>
  <c r="W16" i="3"/>
  <c r="U16" i="3"/>
  <c r="T16" i="3"/>
  <c r="V16" i="3"/>
  <c r="W18" i="3"/>
  <c r="X18" i="3"/>
  <c r="Z18" i="3"/>
  <c r="U18" i="3"/>
  <c r="T18" i="3"/>
  <c r="V18" i="3"/>
  <c r="S18" i="3"/>
  <c r="W24" i="3"/>
  <c r="U24" i="3"/>
  <c r="X24" i="3"/>
  <c r="V24" i="3"/>
  <c r="Z24" i="3"/>
  <c r="S24" i="3"/>
  <c r="T24" i="3"/>
  <c r="Y7" i="3"/>
  <c r="S23" i="3"/>
  <c r="T23" i="3"/>
  <c r="U23" i="3"/>
  <c r="V23" i="3"/>
  <c r="W23" i="3"/>
  <c r="X23" i="3"/>
  <c r="Z23" i="3"/>
  <c r="S20" i="3"/>
  <c r="T20" i="3"/>
  <c r="U20" i="3"/>
  <c r="V20" i="3"/>
  <c r="W20" i="3"/>
  <c r="X20" i="3"/>
  <c r="Z20" i="3"/>
  <c r="W21" i="3"/>
  <c r="X21" i="3"/>
  <c r="Z21" i="3"/>
  <c r="S21" i="3"/>
  <c r="T21" i="3"/>
  <c r="V21" i="3"/>
  <c r="U21" i="3"/>
  <c r="Y4" i="3"/>
  <c r="Z22" i="3"/>
  <c r="S22" i="3"/>
  <c r="T22" i="3"/>
  <c r="X22" i="3"/>
  <c r="U22" i="3"/>
  <c r="W22" i="3"/>
  <c r="V22" i="3"/>
  <c r="S19" i="3"/>
  <c r="T19" i="3"/>
  <c r="U19" i="3"/>
  <c r="W19" i="3"/>
  <c r="V19" i="3"/>
  <c r="X19" i="3"/>
  <c r="Z19" i="3"/>
  <c r="Y10" i="3"/>
  <c r="F4" i="5"/>
  <c r="F3" i="5"/>
  <c r="D3" i="5"/>
  <c r="F2" i="5"/>
  <c r="A4" i="5"/>
  <c r="B3" i="5"/>
  <c r="B2" i="5"/>
  <c r="Y24" i="3" l="1"/>
  <c r="Y21" i="3"/>
  <c r="Y16" i="3"/>
  <c r="Y23" i="3"/>
  <c r="Y22" i="3"/>
  <c r="Y17" i="3"/>
  <c r="Y18" i="3"/>
  <c r="Y20" i="3"/>
  <c r="Y19" i="3"/>
  <c r="X25" i="3"/>
  <c r="S25" i="3"/>
  <c r="W25" i="3"/>
  <c r="T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Y25" i="3" l="1"/>
  <c r="Z25" i="3" s="1"/>
  <c r="U25" i="3"/>
  <c r="V25" i="3" s="1"/>
  <c r="BY43" i="1" l="1"/>
  <c r="T12" i="3"/>
  <c r="Y3" i="3"/>
  <c r="W12" i="3"/>
  <c r="X12" i="3"/>
  <c r="S12" i="3"/>
  <c r="CB27" i="1"/>
  <c r="CC27" i="1" s="1"/>
  <c r="CB37" i="1"/>
  <c r="CC37" i="1" s="1"/>
  <c r="CB12" i="1"/>
  <c r="CC12" i="1" s="1"/>
  <c r="CB34" i="1"/>
  <c r="CC34" i="1" s="1"/>
  <c r="CB20" i="1"/>
  <c r="CC20" i="1" s="1"/>
  <c r="CB6" i="1"/>
  <c r="CC6" i="1" s="1"/>
  <c r="CB16" i="1"/>
  <c r="CC16" i="1" s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3" i="1"/>
  <c r="BR23" i="1"/>
  <c r="CB17" i="1" l="1"/>
  <c r="CC17" i="1" s="1"/>
  <c r="CB42" i="1"/>
  <c r="CC42" i="1" s="1"/>
  <c r="CB3" i="1"/>
  <c r="BZ43" i="1"/>
  <c r="CB11" i="1"/>
  <c r="CC11" i="1" s="1"/>
  <c r="CA43" i="1"/>
  <c r="BW43" i="1"/>
  <c r="CD43" i="1"/>
  <c r="CB39" i="1"/>
  <c r="CC39" i="1" s="1"/>
  <c r="CB8" i="1"/>
  <c r="CC8" i="1" s="1"/>
  <c r="CB21" i="1"/>
  <c r="CC21" i="1" s="1"/>
  <c r="CB35" i="1"/>
  <c r="CC35" i="1" s="1"/>
  <c r="CB32" i="1"/>
  <c r="CC32" i="1" s="1"/>
  <c r="BP43" i="1"/>
  <c r="CB33" i="1"/>
  <c r="CC33" i="1" s="1"/>
  <c r="CB22" i="1"/>
  <c r="CC22" i="1" s="1"/>
  <c r="CB36" i="1"/>
  <c r="CC36" i="1" s="1"/>
  <c r="CB14" i="1"/>
  <c r="CC14" i="1" s="1"/>
  <c r="CE43" i="1"/>
  <c r="U12" i="3"/>
  <c r="V12" i="3" s="1"/>
  <c r="Y12" i="3"/>
  <c r="Z12" i="3" s="1"/>
  <c r="CB26" i="1"/>
  <c r="CC26" i="1" s="1"/>
  <c r="CB9" i="1"/>
  <c r="CC9" i="1" s="1"/>
  <c r="CB23" i="1"/>
  <c r="CC23" i="1" s="1"/>
  <c r="CB13" i="1"/>
  <c r="CC13" i="1" s="1"/>
  <c r="CB29" i="1"/>
  <c r="CC29" i="1" s="1"/>
  <c r="CB25" i="1"/>
  <c r="CC25" i="1" s="1"/>
  <c r="CB4" i="1"/>
  <c r="CC4" i="1" s="1"/>
  <c r="CB41" i="1"/>
  <c r="CC41" i="1" s="1"/>
  <c r="CB7" i="1"/>
  <c r="CC7" i="1" s="1"/>
  <c r="CB10" i="1"/>
  <c r="CB24" i="1"/>
  <c r="CC24" i="1" s="1"/>
  <c r="CB19" i="1"/>
  <c r="CC19" i="1" s="1"/>
  <c r="CB28" i="1"/>
  <c r="CC28" i="1" s="1"/>
  <c r="CB18" i="1"/>
  <c r="CC18" i="1" s="1"/>
  <c r="CB31" i="1"/>
  <c r="CC31" i="1" s="1"/>
  <c r="CB5" i="1"/>
  <c r="CC5" i="1" s="1"/>
  <c r="CB30" i="1"/>
  <c r="CC30" i="1" s="1"/>
  <c r="CB38" i="1"/>
  <c r="CC38" i="1" s="1"/>
  <c r="CB40" i="1"/>
  <c r="CC40" i="1" s="1"/>
  <c r="CB15" i="1"/>
  <c r="CC15" i="1" s="1"/>
  <c r="BR42" i="1"/>
  <c r="BR18" i="1"/>
  <c r="BR6" i="1"/>
  <c r="BR41" i="1"/>
  <c r="BR29" i="1"/>
  <c r="BR17" i="1"/>
  <c r="BR5" i="1"/>
  <c r="BR40" i="1"/>
  <c r="BR28" i="1"/>
  <c r="BR16" i="1"/>
  <c r="BR4" i="1"/>
  <c r="BR11" i="1"/>
  <c r="BR39" i="1"/>
  <c r="BR27" i="1"/>
  <c r="BR15" i="1"/>
  <c r="BR30" i="1"/>
  <c r="BR14" i="1"/>
  <c r="BR7" i="1"/>
  <c r="BR37" i="1"/>
  <c r="BR13" i="1"/>
  <c r="BR36" i="1"/>
  <c r="BR24" i="1"/>
  <c r="BR12" i="1"/>
  <c r="BR34" i="1"/>
  <c r="BR22" i="1"/>
  <c r="BR10" i="1"/>
  <c r="BR9" i="1"/>
  <c r="BR8" i="1"/>
  <c r="BR38" i="1"/>
  <c r="BR35" i="1"/>
  <c r="BR25" i="1"/>
  <c r="BR26" i="1"/>
  <c r="BR33" i="1"/>
  <c r="BR21" i="1"/>
  <c r="BR32" i="1"/>
  <c r="BR20" i="1"/>
  <c r="BR31" i="1"/>
  <c r="BR19" i="1"/>
  <c r="BR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3" i="1"/>
  <c r="D24" i="5" s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3" i="1"/>
  <c r="B24" i="5" s="1"/>
  <c r="AQ4" i="1"/>
  <c r="AQ5" i="1"/>
  <c r="AQ6" i="1"/>
  <c r="AQ7" i="1"/>
  <c r="AQ8" i="1"/>
  <c r="AQ9" i="1"/>
  <c r="AQ10" i="1"/>
  <c r="E17" i="5" s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3" i="1"/>
  <c r="AG3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17" i="1"/>
  <c r="AG11" i="1"/>
  <c r="AG12" i="1"/>
  <c r="AG13" i="1"/>
  <c r="AG14" i="1"/>
  <c r="AG15" i="1"/>
  <c r="AG16" i="1"/>
  <c r="AG10" i="1"/>
  <c r="AG5" i="1"/>
  <c r="AG6" i="1"/>
  <c r="AG7" i="1"/>
  <c r="AG8" i="1"/>
  <c r="AG9" i="1"/>
  <c r="AG4" i="1"/>
  <c r="E15" i="5" l="1"/>
  <c r="BI43" i="1"/>
  <c r="E19" i="5"/>
  <c r="BE43" i="1"/>
  <c r="BM43" i="1"/>
  <c r="AQ43" i="1"/>
  <c r="AG43" i="1"/>
  <c r="AL43" i="1"/>
  <c r="BG43" i="1"/>
  <c r="BR43" i="1"/>
  <c r="CC3" i="1"/>
  <c r="CB43" i="1"/>
  <c r="CC10" i="1"/>
  <c r="C9" i="5"/>
  <c r="AB18" i="1"/>
  <c r="AB11" i="1"/>
  <c r="AB19" i="1"/>
  <c r="AB20" i="1"/>
  <c r="AB4" i="1"/>
  <c r="AB5" i="1"/>
  <c r="AB3" i="1"/>
  <c r="AB21" i="1"/>
  <c r="AB22" i="1"/>
  <c r="AB6" i="1"/>
  <c r="AB12" i="1"/>
  <c r="AB23" i="1"/>
  <c r="AB24" i="1"/>
  <c r="AB7" i="1"/>
  <c r="AB25" i="1"/>
  <c r="AB26" i="1"/>
  <c r="AB27" i="1"/>
  <c r="AB28" i="1"/>
  <c r="AB29" i="1"/>
  <c r="AB30" i="1"/>
  <c r="AB31" i="1"/>
  <c r="AB8" i="1"/>
  <c r="AB32" i="1"/>
  <c r="AB33" i="1"/>
  <c r="AB13" i="1"/>
  <c r="AB9" i="1"/>
  <c r="AB34" i="1"/>
  <c r="AB35" i="1"/>
  <c r="AB14" i="1"/>
  <c r="AB36" i="1"/>
  <c r="AB15" i="1"/>
  <c r="AB37" i="1"/>
  <c r="AB16" i="1"/>
  <c r="AB38" i="1"/>
  <c r="AB39" i="1"/>
  <c r="AB40" i="1"/>
  <c r="AB41" i="1"/>
  <c r="AB42" i="1"/>
  <c r="AB10" i="1"/>
  <c r="E13" i="5" s="1"/>
  <c r="AB17" i="1"/>
  <c r="W18" i="1"/>
  <c r="W11" i="1"/>
  <c r="W19" i="1"/>
  <c r="W20" i="1"/>
  <c r="W4" i="1"/>
  <c r="W5" i="1"/>
  <c r="W3" i="1"/>
  <c r="W21" i="1"/>
  <c r="W22" i="1"/>
  <c r="W6" i="1"/>
  <c r="W12" i="1"/>
  <c r="W23" i="1"/>
  <c r="W24" i="1"/>
  <c r="W7" i="1"/>
  <c r="W25" i="1"/>
  <c r="W26" i="1"/>
  <c r="W27" i="1"/>
  <c r="W28" i="1"/>
  <c r="W29" i="1"/>
  <c r="W30" i="1"/>
  <c r="W31" i="1"/>
  <c r="W8" i="1"/>
  <c r="W32" i="1"/>
  <c r="W33" i="1"/>
  <c r="W13" i="1"/>
  <c r="W9" i="1"/>
  <c r="W34" i="1"/>
  <c r="W35" i="1"/>
  <c r="W14" i="1"/>
  <c r="W36" i="1"/>
  <c r="W15" i="1"/>
  <c r="W37" i="1"/>
  <c r="W16" i="1"/>
  <c r="W38" i="1"/>
  <c r="W39" i="1"/>
  <c r="W40" i="1"/>
  <c r="W41" i="1"/>
  <c r="W42" i="1"/>
  <c r="W10" i="1"/>
  <c r="E7" i="5" s="1"/>
  <c r="W17" i="1"/>
  <c r="W43" i="1" l="1"/>
  <c r="CC43" i="1"/>
  <c r="CF3" i="1"/>
  <c r="CF4" i="1"/>
  <c r="AB43" i="1"/>
  <c r="CF7" i="1"/>
  <c r="CF6" i="1"/>
  <c r="CF5" i="1"/>
  <c r="CF9" i="1"/>
  <c r="CF10" i="1" l="1"/>
  <c r="CF42" i="1"/>
  <c r="CF16" i="1"/>
  <c r="CF33" i="1"/>
  <c r="CF28" i="1"/>
  <c r="CF37" i="1"/>
  <c r="CF12" i="1"/>
  <c r="CF23" i="1"/>
  <c r="CF17" i="1"/>
  <c r="CF27" i="1"/>
  <c r="CF24" i="1"/>
  <c r="CF35" i="1"/>
  <c r="CF11" i="1"/>
  <c r="CF25" i="1"/>
  <c r="CF40" i="1"/>
  <c r="CF29" i="1"/>
  <c r="CF19" i="1"/>
  <c r="CF34" i="1"/>
  <c r="CF41" i="1"/>
  <c r="CF39" i="1"/>
  <c r="CF26" i="1"/>
  <c r="CF15" i="1"/>
  <c r="CF36" i="1"/>
  <c r="CF32" i="1"/>
  <c r="CF38" i="1"/>
  <c r="CF14" i="1"/>
  <c r="CF31" i="1"/>
  <c r="CF20" i="1"/>
  <c r="CF22" i="1"/>
  <c r="CF13" i="1"/>
  <c r="CF21" i="1"/>
  <c r="CF18" i="1"/>
  <c r="CF30" i="1"/>
  <c r="CF8" i="1"/>
</calcChain>
</file>

<file path=xl/sharedStrings.xml><?xml version="1.0" encoding="utf-8"?>
<sst xmlns="http://schemas.openxmlformats.org/spreadsheetml/2006/main" count="4426" uniqueCount="349">
  <si>
    <t>Region</t>
  </si>
  <si>
    <t>Region Number</t>
  </si>
  <si>
    <t>Regional Manager</t>
  </si>
  <si>
    <t>Location</t>
  </si>
  <si>
    <t>Manager</t>
  </si>
  <si>
    <t>Store Square Feet Total Area</t>
  </si>
  <si>
    <t>City</t>
  </si>
  <si>
    <t>State</t>
  </si>
  <si>
    <t>Age</t>
  </si>
  <si>
    <t>Lease Renewal Date</t>
  </si>
  <si>
    <t>LP Audit Date</t>
  </si>
  <si>
    <t>LP Audit Score</t>
  </si>
  <si>
    <t>EAS Audit Date</t>
  </si>
  <si>
    <t>EAS Audit Score</t>
  </si>
  <si>
    <t>Total Sales Dollars</t>
  </si>
  <si>
    <t>LY Sales</t>
  </si>
  <si>
    <t>Sales +/-</t>
  </si>
  <si>
    <t>Sales %</t>
  </si>
  <si>
    <t>Traffic - unfiltered</t>
  </si>
  <si>
    <t>Traffic LY - unfiltered</t>
  </si>
  <si>
    <t>Traffic Unfiltered +/-</t>
  </si>
  <si>
    <t>Traffic Unfiltered %</t>
  </si>
  <si>
    <t>Conversion Unfiltered</t>
  </si>
  <si>
    <t>Conversion LY Unfiltered</t>
  </si>
  <si>
    <t>Conversion +/- (Unfiltered)</t>
  </si>
  <si>
    <t>Conversion % (Unfiltered)</t>
  </si>
  <si>
    <t>TY UPT's</t>
  </si>
  <si>
    <t>LY UPT's</t>
  </si>
  <si>
    <t>UPT's +/-</t>
  </si>
  <si>
    <t>UPT's %</t>
  </si>
  <si>
    <t>TY $/Units</t>
  </si>
  <si>
    <t>LY $/Units</t>
  </si>
  <si>
    <t>$/Units +/-</t>
  </si>
  <si>
    <t>$/Units %</t>
  </si>
  <si>
    <t>AC</t>
  </si>
  <si>
    <t>GM%</t>
  </si>
  <si>
    <t>Pay</t>
  </si>
  <si>
    <t>Rent</t>
  </si>
  <si>
    <t>Adv</t>
  </si>
  <si>
    <t>OCC</t>
  </si>
  <si>
    <t>TY Cash Flow</t>
  </si>
  <si>
    <t>TY Operating Profit</t>
  </si>
  <si>
    <t>LY Cash Flow</t>
  </si>
  <si>
    <t>LY Operating Profit</t>
  </si>
  <si>
    <t>TY $</t>
  </si>
  <si>
    <t>TY %</t>
  </si>
  <si>
    <t>BOPUIS Acceptance Rate</t>
  </si>
  <si>
    <t>S2H Acceptance Rate</t>
  </si>
  <si>
    <t>S2H</t>
  </si>
  <si>
    <t>S2H % LY</t>
  </si>
  <si>
    <t>TY Loyalty %</t>
  </si>
  <si>
    <t>LY Loyalty %</t>
  </si>
  <si>
    <t>Mystery Shops Score %</t>
  </si>
  <si>
    <t>Shrinkage %</t>
  </si>
  <si>
    <t>Shrinkage % LY</t>
  </si>
  <si>
    <t>Stolen %</t>
  </si>
  <si>
    <t>Stolen % Total LY</t>
  </si>
  <si>
    <t>Stolen Dollars</t>
  </si>
  <si>
    <t>East</t>
  </si>
  <si>
    <t>West</t>
  </si>
  <si>
    <t>North</t>
  </si>
  <si>
    <t>South</t>
  </si>
  <si>
    <t>Atticus Berg</t>
  </si>
  <si>
    <t>Michael Morrison</t>
  </si>
  <si>
    <t>Tyshawn Monroe</t>
  </si>
  <si>
    <t>Lukas Hendricks</t>
  </si>
  <si>
    <t>Kameron Cochran</t>
  </si>
  <si>
    <t>Brian McClain</t>
  </si>
  <si>
    <t>Cristian Sawyer</t>
  </si>
  <si>
    <t>Zyaire Frost</t>
  </si>
  <si>
    <t>Royal Randall</t>
  </si>
  <si>
    <t>Derek Richards</t>
  </si>
  <si>
    <t>Thatcher Gentry</t>
  </si>
  <si>
    <t>Ahmed Huff</t>
  </si>
  <si>
    <t>Phoenix Jackson</t>
  </si>
  <si>
    <t>Armando Peterson</t>
  </si>
  <si>
    <t>Edison McKinney</t>
  </si>
  <si>
    <t>Yusuf Hensley</t>
  </si>
  <si>
    <t>Trenton Dixon</t>
  </si>
  <si>
    <t>Paul Potter</t>
  </si>
  <si>
    <t>Ahmed French</t>
  </si>
  <si>
    <t>Wes Chapman</t>
  </si>
  <si>
    <t>Patience Chan</t>
  </si>
  <si>
    <t>Alisha Freeman</t>
  </si>
  <si>
    <t>Leanna Alvarez</t>
  </si>
  <si>
    <t>Madalyn Parks</t>
  </si>
  <si>
    <t>Maya Harvey</t>
  </si>
  <si>
    <t>Brynn Clarke</t>
  </si>
  <si>
    <t>Harper Moss</t>
  </si>
  <si>
    <t>Zelda Sims</t>
  </si>
  <si>
    <t>Marleigh Sierra</t>
  </si>
  <si>
    <t>Holly Byrd</t>
  </si>
  <si>
    <t>Marina Blake</t>
  </si>
  <si>
    <t>Trinity Casey</t>
  </si>
  <si>
    <t>Christina Richard</t>
  </si>
  <si>
    <t>Karsyn Estrada</t>
  </si>
  <si>
    <t>Amelie Rosales</t>
  </si>
  <si>
    <t>Journee David</t>
  </si>
  <si>
    <t>Kelsey Griffin</t>
  </si>
  <si>
    <t>Juliet Arnold</t>
  </si>
  <si>
    <t>Persephone Randall</t>
  </si>
  <si>
    <t>Malaya Carlson</t>
  </si>
  <si>
    <t>The Galleria at Spring Valley</t>
  </si>
  <si>
    <t>Marketplace Plaza</t>
  </si>
  <si>
    <t>The Shops at Legacy</t>
  </si>
  <si>
    <t>Waterfront Mall</t>
  </si>
  <si>
    <t>Downtown Promenade</t>
  </si>
  <si>
    <t>The Boulevard Outlets</t>
  </si>
  <si>
    <t>Highland Park Center</t>
  </si>
  <si>
    <t>The Plaza at Westwood</t>
  </si>
  <si>
    <t>Eastside Shopping Square</t>
  </si>
  <si>
    <t>The Grove Retail Park</t>
  </si>
  <si>
    <t>The District at Greenway</t>
  </si>
  <si>
    <t>The Village at Oak Creek</t>
  </si>
  <si>
    <t>The Crossing at Riverbend</t>
  </si>
  <si>
    <t>The Gateway Shopping Center</t>
  </si>
  <si>
    <t>The Pinnacle at City Center</t>
  </si>
  <si>
    <t>The Commons at Fairview</t>
  </si>
  <si>
    <t>The Landing at Lakeview</t>
  </si>
  <si>
    <t>The Forum Shops</t>
  </si>
  <si>
    <t>The Highlands Retail Center</t>
  </si>
  <si>
    <t>The Quarry Marketplace</t>
  </si>
  <si>
    <t>The Meadows Shopping Plaza</t>
  </si>
  <si>
    <t>The Ridge Retail Park</t>
  </si>
  <si>
    <t>The Lakeside Promenade</t>
  </si>
  <si>
    <t>The Parkway Collection</t>
  </si>
  <si>
    <t>The Summit Shopping Center</t>
  </si>
  <si>
    <t>The Fountains at Rosewood</t>
  </si>
  <si>
    <t>The Palisades Retail Center</t>
  </si>
  <si>
    <t>The Plaza at Sunset</t>
  </si>
  <si>
    <t>The Oaks Shopping Village</t>
  </si>
  <si>
    <t>The Bridges at Brookfield</t>
  </si>
  <si>
    <t>The Watermark Shopping Center</t>
  </si>
  <si>
    <t>The Terrace at Hillcrest</t>
  </si>
  <si>
    <t>The Pines Retail Plaza</t>
  </si>
  <si>
    <t>The Gardens at Willow Creek</t>
  </si>
  <si>
    <t>The Crossroads Marketplace</t>
  </si>
  <si>
    <t>The Valley Shopping Center</t>
  </si>
  <si>
    <t>The Orchard at Maplewood</t>
  </si>
  <si>
    <t>The Gateway Promenade</t>
  </si>
  <si>
    <t>The Harbor Retail Park</t>
  </si>
  <si>
    <t>The Meadowlands Shopping Plaza</t>
  </si>
  <si>
    <t>Atlanta</t>
  </si>
  <si>
    <t>Boston</t>
  </si>
  <si>
    <t>Chicago</t>
  </si>
  <si>
    <t>Denver</t>
  </si>
  <si>
    <t>Houston</t>
  </si>
  <si>
    <t>Los Angeles</t>
  </si>
  <si>
    <t>Miami</t>
  </si>
  <si>
    <t>New York City</t>
  </si>
  <si>
    <t>Phoenix</t>
  </si>
  <si>
    <t>San Francisco</t>
  </si>
  <si>
    <t>Seattle</t>
  </si>
  <si>
    <t>Austin</t>
  </si>
  <si>
    <t>Charlotte</t>
  </si>
  <si>
    <t>Detroit</t>
  </si>
  <si>
    <t>Las Vegas</t>
  </si>
  <si>
    <t>Minneapolis</t>
  </si>
  <si>
    <t>Orlando</t>
  </si>
  <si>
    <t>Portland</t>
  </si>
  <si>
    <t>San Diego</t>
  </si>
  <si>
    <t>St. Louis</t>
  </si>
  <si>
    <t>Baltimore</t>
  </si>
  <si>
    <t>Cleveland</t>
  </si>
  <si>
    <t>Kansas City</t>
  </si>
  <si>
    <t>Nashville</t>
  </si>
  <si>
    <t>New Orleans</t>
  </si>
  <si>
    <t>Philadelphia</t>
  </si>
  <si>
    <t>Salt Lake City</t>
  </si>
  <si>
    <t>San Antonio</t>
  </si>
  <si>
    <t>Tampa</t>
  </si>
  <si>
    <t>Virginia Beach</t>
  </si>
  <si>
    <t>Indianapolis</t>
  </si>
  <si>
    <t>Milwaukee</t>
  </si>
  <si>
    <t>Oklahoma City</t>
  </si>
  <si>
    <t>Pittsburgh</t>
  </si>
  <si>
    <t>Raleigh</t>
  </si>
  <si>
    <t>Sacramento</t>
  </si>
  <si>
    <t>Tucson</t>
  </si>
  <si>
    <t>Albuquerque</t>
  </si>
  <si>
    <t>Louisville</t>
  </si>
  <si>
    <t>Stanley</t>
  </si>
  <si>
    <t xml:space="preserve"> AZ</t>
  </si>
  <si>
    <t xml:space="preserve"> CA</t>
  </si>
  <si>
    <t xml:space="preserve"> CO</t>
  </si>
  <si>
    <t xml:space="preserve"> FL</t>
  </si>
  <si>
    <t xml:space="preserve"> GA</t>
  </si>
  <si>
    <t xml:space="preserve"> IL</t>
  </si>
  <si>
    <t xml:space="preserve"> IN</t>
  </si>
  <si>
    <t xml:space="preserve"> KY</t>
  </si>
  <si>
    <t xml:space="preserve"> LA</t>
  </si>
  <si>
    <t xml:space="preserve"> MD</t>
  </si>
  <si>
    <t xml:space="preserve"> MA</t>
  </si>
  <si>
    <t xml:space="preserve"> MI</t>
  </si>
  <si>
    <t xml:space="preserve"> MN</t>
  </si>
  <si>
    <t xml:space="preserve"> MO</t>
  </si>
  <si>
    <t xml:space="preserve"> NV</t>
  </si>
  <si>
    <t xml:space="preserve"> NM</t>
  </si>
  <si>
    <t xml:space="preserve"> NY</t>
  </si>
  <si>
    <t xml:space="preserve"> NC</t>
  </si>
  <si>
    <t xml:space="preserve"> OH</t>
  </si>
  <si>
    <t xml:space="preserve"> OK</t>
  </si>
  <si>
    <t xml:space="preserve"> OR</t>
  </si>
  <si>
    <t xml:space="preserve"> PA</t>
  </si>
  <si>
    <t xml:space="preserve"> TN</t>
  </si>
  <si>
    <t xml:space="preserve"> TX</t>
  </si>
  <si>
    <t xml:space="preserve"> UT</t>
  </si>
  <si>
    <t xml:space="preserve"> VA</t>
  </si>
  <si>
    <t xml:space="preserve"> WA</t>
  </si>
  <si>
    <t xml:space="preserve"> WI</t>
  </si>
  <si>
    <t>OpenedDate</t>
  </si>
  <si>
    <t>O</t>
  </si>
  <si>
    <t>Old</t>
  </si>
  <si>
    <t>New</t>
  </si>
  <si>
    <t>Second Year</t>
  </si>
  <si>
    <t>Sales Rank</t>
  </si>
  <si>
    <t>Traffic Rank</t>
  </si>
  <si>
    <t>Center Type</t>
  </si>
  <si>
    <t>S</t>
  </si>
  <si>
    <t>M</t>
  </si>
  <si>
    <t>F</t>
  </si>
  <si>
    <t>Conversion Rank</t>
  </si>
  <si>
    <t>Rank</t>
  </si>
  <si>
    <t>Shoes for kids</t>
  </si>
  <si>
    <t>TY</t>
  </si>
  <si>
    <t>LY</t>
  </si>
  <si>
    <t>+/-</t>
  </si>
  <si>
    <t>%</t>
  </si>
  <si>
    <t>TY OH</t>
  </si>
  <si>
    <t>LY OH</t>
  </si>
  <si>
    <t>OH%</t>
  </si>
  <si>
    <t>RRS</t>
  </si>
  <si>
    <t>Emily Johnson</t>
  </si>
  <si>
    <t>Michael Brown</t>
  </si>
  <si>
    <t>Sophia Davis</t>
  </si>
  <si>
    <t>Ethan Wilson</t>
  </si>
  <si>
    <t>Lease Renewal:</t>
  </si>
  <si>
    <t>Management Company</t>
  </si>
  <si>
    <t>THE ROSEN GROUP</t>
  </si>
  <si>
    <t>CBL</t>
  </si>
  <si>
    <t>WASHINGTON PRIME</t>
  </si>
  <si>
    <t>SIMON PROPERTY GROUP</t>
  </si>
  <si>
    <t>BROOKFIELD PROPERTIES</t>
  </si>
  <si>
    <t>SPINOSO REAL ESTATE GROUP</t>
  </si>
  <si>
    <t>WHEELER REIT</t>
  </si>
  <si>
    <t>TANGER</t>
  </si>
  <si>
    <t>SIMON - MILLS</t>
  </si>
  <si>
    <t>BELZ ENTERPRISES</t>
  </si>
  <si>
    <t>THE OUTLET RESOURCE GROUP</t>
  </si>
  <si>
    <t>LEXINGTON REALTY INTERNATIONAL</t>
  </si>
  <si>
    <t>FIRST NATIONAL REALTY PARTNERS</t>
  </si>
  <si>
    <t>SITES CENTERS</t>
  </si>
  <si>
    <t>ROANOKE VENTURE II, LLC</t>
  </si>
  <si>
    <t>GALLERIA ENTRANCEWAY PROPERTY, LLC</t>
  </si>
  <si>
    <t>BRIXMOR</t>
  </si>
  <si>
    <t>BEDRIN</t>
  </si>
  <si>
    <t>JLL / RREEF PROP TRUST</t>
  </si>
  <si>
    <t>ECHO REALTY</t>
  </si>
  <si>
    <t>AAC RE SERVICE, INC.</t>
  </si>
  <si>
    <t>KIMCO</t>
  </si>
  <si>
    <t>SAUL CENTERS, INC.</t>
  </si>
  <si>
    <t>BENDERSON DEVELOPMENT</t>
  </si>
  <si>
    <t>PINE TREE</t>
  </si>
  <si>
    <t>SCHOTTENSTEIN MGMT CO</t>
  </si>
  <si>
    <t>TSCG / SCT RIO HILL LLC</t>
  </si>
  <si>
    <t>CHASE PROPERTIES</t>
  </si>
  <si>
    <t>EAST WEST CROSSING LLC</t>
  </si>
  <si>
    <t>RIVERCREST REALTY</t>
  </si>
  <si>
    <t>DLC</t>
  </si>
  <si>
    <t>BIG V</t>
  </si>
  <si>
    <t>Open Date:</t>
  </si>
  <si>
    <t>Sq Ft:</t>
  </si>
  <si>
    <t>SHOE SHOP TRAVEL DASHBOARD</t>
  </si>
  <si>
    <t>SALES</t>
  </si>
  <si>
    <t>LAST YEAR END</t>
  </si>
  <si>
    <t>YE Sales 2023</t>
  </si>
  <si>
    <t>YE +/- 2023</t>
  </si>
  <si>
    <t>YE 2023 %</t>
  </si>
  <si>
    <t>MYSTERY</t>
  </si>
  <si>
    <t>CONVERSION</t>
  </si>
  <si>
    <t>TURN</t>
  </si>
  <si>
    <t>$/UNITS</t>
  </si>
  <si>
    <t>STORE TURN</t>
  </si>
  <si>
    <t>TRAFFIC / MISC KPIs</t>
  </si>
  <si>
    <t xml:space="preserve">TRAFFIC </t>
  </si>
  <si>
    <t>UPTs</t>
  </si>
  <si>
    <t>TY LOYALTY</t>
  </si>
  <si>
    <t>LY LOYALTY</t>
  </si>
  <si>
    <t>SHRINK</t>
  </si>
  <si>
    <t>COMPANY</t>
  </si>
  <si>
    <t>STOLENS %</t>
  </si>
  <si>
    <t>STOLEN $</t>
  </si>
  <si>
    <t>LY Stolen $</t>
  </si>
  <si>
    <t>Department</t>
  </si>
  <si>
    <t>Womens</t>
  </si>
  <si>
    <t>Womens Sandals</t>
  </si>
  <si>
    <t>Womens Boots</t>
  </si>
  <si>
    <t>Womens Athletics</t>
  </si>
  <si>
    <t>Mens</t>
  </si>
  <si>
    <t>Mens Athletics</t>
  </si>
  <si>
    <t xml:space="preserve">Kids </t>
  </si>
  <si>
    <t>Kids Athletics</t>
  </si>
  <si>
    <t>Accessories</t>
  </si>
  <si>
    <t>Concatenate Store &amp; Dept</t>
  </si>
  <si>
    <t>Store</t>
  </si>
  <si>
    <t>Dept</t>
  </si>
  <si>
    <t>Concatenate Region &amp; Dept</t>
  </si>
  <si>
    <t>OH %</t>
  </si>
  <si>
    <t>Total</t>
  </si>
  <si>
    <t>Geo</t>
  </si>
  <si>
    <t>BOPUIS</t>
  </si>
  <si>
    <t>S2H %</t>
  </si>
  <si>
    <t>CO RANK</t>
  </si>
  <si>
    <t>LOYALTY / COMPLIANCE</t>
  </si>
  <si>
    <t>LY Loyalty rank</t>
  </si>
  <si>
    <t>LY Sales Rank</t>
  </si>
  <si>
    <t>Shoe Shop</t>
  </si>
  <si>
    <t>Holiday Season Hours</t>
  </si>
  <si>
    <t>Date</t>
  </si>
  <si>
    <t>SUN</t>
  </si>
  <si>
    <t>MON</t>
  </si>
  <si>
    <t>TUE</t>
  </si>
  <si>
    <t>WED</t>
  </si>
  <si>
    <t>THU</t>
  </si>
  <si>
    <t>FRI</t>
  </si>
  <si>
    <t>SAT</t>
  </si>
  <si>
    <t>Open Time</t>
  </si>
  <si>
    <t>Close Time</t>
  </si>
  <si>
    <t>12:00 PM</t>
  </si>
  <si>
    <t>6:00 PM</t>
  </si>
  <si>
    <t>10:00 AM</t>
  </si>
  <si>
    <t>9:00 PM</t>
  </si>
  <si>
    <t>CLOSED</t>
  </si>
  <si>
    <t>8:00 AM</t>
  </si>
  <si>
    <t>9:00 AM</t>
  </si>
  <si>
    <t>11:00 AM</t>
  </si>
  <si>
    <t>8:00 PM</t>
  </si>
  <si>
    <t>7:00 AM</t>
  </si>
  <si>
    <t>7:00 PM</t>
  </si>
  <si>
    <t>5:00 PM</t>
  </si>
  <si>
    <t>6:00 AM</t>
  </si>
  <si>
    <t>10:00 PM</t>
  </si>
  <si>
    <t>11:00 PM</t>
  </si>
  <si>
    <t>Grand Total</t>
  </si>
  <si>
    <t>Open Times</t>
  </si>
  <si>
    <t>Stores</t>
  </si>
  <si>
    <t>BLACK FRIDAY
OPEN TIMES</t>
  </si>
  <si>
    <t>Row Labels</t>
  </si>
  <si>
    <t>Count of Shoe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</si>
</sst>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.0"/>
    <numFmt numFmtId="165" formatCode="0.00%;[Red]\(0.00%\)"/>
    <numFmt numFmtId="166" formatCode="###0.00_);[Red]\(###0.00\)"/>
    <numFmt numFmtId="167" formatCode="0.0%;\(0.0%\)"/>
    <numFmt numFmtId="168" formatCode="###0.0_);[Red]\(###0.0\)"/>
    <numFmt numFmtId="169" formatCode="0.0%;[Red]\(0.0%\)"/>
    <numFmt numFmtId="170" formatCode="0_);[Red]\(0\)"/>
    <numFmt numFmtId="171" formatCode="_(* #,##0_);_(* \(#,##0\);_(* &quot;-&quot;??_);_(@_)"/>
    <numFmt numFmtId="172" formatCode="0.00_);[Red]\(0.00\)"/>
    <numFmt numFmtId="173" formatCode="#,##0.0_);[Red]\(#,##0.0\)"/>
    <numFmt numFmtId="174" formatCode="0.0_);[Red]\(0.0\)"/>
    <numFmt numFmtId="175" formatCode="#,##0.0"/>
    <numFmt numFmtId="176" formatCode="0.0%"/>
    <numFmt numFmtId="177" formatCode="###0_);[Red]\(###0\)"/>
    <numFmt numFmtId="178" formatCode="[$-409]h:mm\ AM/PM;@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35383A"/>
      <name val="Open Sans"/>
    </font>
    <font>
      <b/>
      <sz val="8"/>
      <color rgb="FF35383A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/>
      <bottom style="thin">
        <color rgb="FFABABAB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7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1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38" fontId="1" fillId="2" borderId="1" xfId="0" applyNumberFormat="1" applyFont="1" applyFill="1" applyBorder="1" applyAlignment="1">
      <alignment horizontal="right" vertical="top"/>
    </xf>
    <xf numFmtId="40" fontId="1" fillId="2" borderId="1" xfId="0" applyNumberFormat="1" applyFont="1" applyFill="1" applyBorder="1" applyAlignment="1">
      <alignment horizontal="right" vertical="top"/>
    </xf>
    <xf numFmtId="37" fontId="1" fillId="2" borderId="1" xfId="0" applyNumberFormat="1" applyFont="1" applyFill="1" applyBorder="1" applyAlignment="1">
      <alignment horizontal="right" vertical="top"/>
    </xf>
    <xf numFmtId="165" fontId="1" fillId="2" borderId="1" xfId="0" applyNumberFormat="1" applyFont="1" applyFill="1" applyBorder="1" applyAlignment="1">
      <alignment horizontal="right" vertical="top"/>
    </xf>
    <xf numFmtId="166" fontId="1" fillId="2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167" fontId="1" fillId="2" borderId="1" xfId="0" applyNumberFormat="1" applyFont="1" applyFill="1" applyBorder="1" applyAlignment="1">
      <alignment horizontal="right" vertical="top"/>
    </xf>
    <xf numFmtId="39" fontId="1" fillId="2" borderId="1" xfId="0" applyNumberFormat="1" applyFont="1" applyFill="1" applyBorder="1" applyAlignment="1">
      <alignment horizontal="right" vertical="top"/>
    </xf>
    <xf numFmtId="168" fontId="1" fillId="2" borderId="1" xfId="0" applyNumberFormat="1" applyFont="1" applyFill="1" applyBorder="1" applyAlignment="1">
      <alignment horizontal="right" vertical="top"/>
    </xf>
    <xf numFmtId="169" fontId="1" fillId="2" borderId="1" xfId="0" applyNumberFormat="1" applyFont="1" applyFill="1" applyBorder="1" applyAlignment="1">
      <alignment horizontal="right" vertical="top"/>
    </xf>
    <xf numFmtId="0" fontId="1" fillId="2" borderId="1" xfId="0" applyNumberFormat="1" applyFont="1" applyFill="1" applyBorder="1" applyAlignment="1">
      <alignment horizontal="right" vertical="top"/>
    </xf>
    <xf numFmtId="0" fontId="2" fillId="0" borderId="0" xfId="0" applyFont="1"/>
    <xf numFmtId="0" fontId="0" fillId="0" borderId="0" xfId="0" quotePrefix="1"/>
    <xf numFmtId="171" fontId="1" fillId="2" borderId="1" xfId="1" applyNumberFormat="1" applyFont="1" applyFill="1" applyBorder="1" applyAlignment="1">
      <alignment horizontal="right" vertical="top"/>
    </xf>
    <xf numFmtId="38" fontId="1" fillId="2" borderId="1" xfId="1" applyNumberFormat="1" applyFont="1" applyFill="1" applyBorder="1" applyAlignment="1">
      <alignment horizontal="right" vertical="top"/>
    </xf>
    <xf numFmtId="172" fontId="1" fillId="0" borderId="0" xfId="2" applyNumberFormat="1" applyFont="1"/>
    <xf numFmtId="0" fontId="0" fillId="0" borderId="0" xfId="0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quotePrefix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0" fillId="0" borderId="0" xfId="0" applyNumberFormat="1"/>
    <xf numFmtId="3" fontId="3" fillId="0" borderId="9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74" fontId="3" fillId="0" borderId="0" xfId="0" applyNumberFormat="1" applyFont="1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3" fillId="4" borderId="9" xfId="0" applyFont="1" applyFill="1" applyBorder="1" applyAlignment="1">
      <alignment horizontal="center"/>
    </xf>
    <xf numFmtId="3" fontId="3" fillId="4" borderId="9" xfId="0" applyNumberFormat="1" applyFont="1" applyFill="1" applyBorder="1" applyAlignment="1">
      <alignment horizontal="center"/>
    </xf>
    <xf numFmtId="3" fontId="3" fillId="4" borderId="0" xfId="1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174" fontId="3" fillId="4" borderId="0" xfId="0" applyNumberFormat="1" applyFont="1" applyFill="1" applyBorder="1" applyAlignment="1">
      <alignment horizontal="center"/>
    </xf>
    <xf numFmtId="4" fontId="3" fillId="4" borderId="9" xfId="0" applyNumberFormat="1" applyFont="1" applyFill="1" applyBorder="1" applyAlignment="1">
      <alignment horizontal="center"/>
    </xf>
    <xf numFmtId="4" fontId="3" fillId="4" borderId="0" xfId="1" applyNumberFormat="1" applyFont="1" applyFill="1" applyBorder="1" applyAlignment="1">
      <alignment horizontal="center"/>
    </xf>
    <xf numFmtId="173" fontId="3" fillId="4" borderId="0" xfId="0" applyNumberFormat="1" applyFont="1" applyFill="1" applyBorder="1" applyAlignment="1">
      <alignment horizontal="center"/>
    </xf>
    <xf numFmtId="4" fontId="3" fillId="4" borderId="6" xfId="1" applyNumberFormat="1" applyFont="1" applyFill="1" applyBorder="1" applyAlignment="1">
      <alignment horizontal="center"/>
    </xf>
    <xf numFmtId="172" fontId="7" fillId="4" borderId="0" xfId="0" applyNumberFormat="1" applyFont="1" applyFill="1" applyBorder="1" applyAlignment="1">
      <alignment horizontal="center"/>
    </xf>
    <xf numFmtId="38" fontId="7" fillId="0" borderId="0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10" xfId="0" applyFill="1" applyBorder="1"/>
    <xf numFmtId="0" fontId="3" fillId="4" borderId="5" xfId="0" applyFont="1" applyFill="1" applyBorder="1" applyAlignment="1">
      <alignment horizontal="center"/>
    </xf>
    <xf numFmtId="172" fontId="7" fillId="4" borderId="6" xfId="0" applyNumberFormat="1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170" fontId="3" fillId="4" borderId="10" xfId="0" applyNumberFormat="1" applyFont="1" applyFill="1" applyBorder="1" applyAlignment="1">
      <alignment horizontal="center"/>
    </xf>
    <xf numFmtId="0" fontId="3" fillId="3" borderId="10" xfId="0" applyFont="1" applyFill="1" applyBorder="1"/>
    <xf numFmtId="0" fontId="0" fillId="0" borderId="0" xfId="0" applyAlignment="1">
      <alignment horizontal="left"/>
    </xf>
    <xf numFmtId="0" fontId="0" fillId="4" borderId="7" xfId="0" applyFill="1" applyBorder="1"/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/>
    <xf numFmtId="0" fontId="0" fillId="3" borderId="0" xfId="0" applyFill="1" applyBorder="1"/>
    <xf numFmtId="0" fontId="3" fillId="0" borderId="9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14" fontId="3" fillId="3" borderId="9" xfId="0" applyNumberFormat="1" applyFont="1" applyFill="1" applyBorder="1"/>
    <xf numFmtId="0" fontId="3" fillId="3" borderId="0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6" fontId="3" fillId="4" borderId="0" xfId="2" applyNumberFormat="1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>
      <alignment horizontal="right" vertical="top"/>
    </xf>
    <xf numFmtId="175" fontId="3" fillId="4" borderId="5" xfId="0" applyNumberFormat="1" applyFont="1" applyFill="1" applyBorder="1" applyAlignment="1">
      <alignment horizontal="center"/>
    </xf>
    <xf numFmtId="170" fontId="3" fillId="4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/>
    <xf numFmtId="0" fontId="8" fillId="0" borderId="0" xfId="0" applyFont="1" applyAlignment="1">
      <alignment vertical="top"/>
    </xf>
    <xf numFmtId="0" fontId="9" fillId="2" borderId="13" xfId="0" applyFont="1" applyFill="1" applyBorder="1" applyAlignment="1">
      <alignment horizontal="center" vertical="top" wrapText="1"/>
    </xf>
    <xf numFmtId="14" fontId="9" fillId="2" borderId="13" xfId="0" applyNumberFormat="1" applyFont="1" applyFill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0" fillId="0" borderId="0" xfId="0" applyNumberFormat="1"/>
    <xf numFmtId="178" fontId="0" fillId="0" borderId="0" xfId="0" applyNumberFormat="1" applyAlignment="1">
      <alignment horizontal="left"/>
    </xf>
    <xf numFmtId="178" fontId="0" fillId="0" borderId="0" xfId="0" pivotButton="1" applyNumberFormat="1"/>
    <xf numFmtId="178" fontId="0" fillId="0" borderId="0" xfId="0" applyNumberFormat="1"/>
    <xf numFmtId="0" fontId="9" fillId="2" borderId="0" xfId="0" applyFont="1" applyFill="1" applyBorder="1" applyAlignment="1">
      <alignment vertical="top" wrapText="1"/>
    </xf>
    <xf numFmtId="0" fontId="0" fillId="0" borderId="0" xfId="0" pivotButton="1"/>
    <xf numFmtId="18" fontId="0" fillId="0" borderId="0" xfId="0" applyNumberFormat="1"/>
    <xf numFmtId="49" fontId="0" fillId="0" borderId="0" xfId="0" applyNumberFormat="1"/>
    <xf numFmtId="19" fontId="0" fillId="0" borderId="0" xfId="0" applyNumberFormat="1" applyAlignment="1">
      <alignment horizontal="left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9" fillId="2" borderId="13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2">
    <dxf>
      <numFmt numFmtId="178" formatCode="[$-409]h:mm\ AM/PM;@"/>
    </dxf>
    <dxf>
      <numFmt numFmtId="178" formatCode="[$-409]h:mm\ AM/PM;@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Store</a:t>
            </a:r>
          </a:p>
        </c:rich>
      </c:tx>
      <c:layout>
        <c:manualLayout>
          <c:xMode val="edge"/>
          <c:yMode val="edge"/>
          <c:x val="0.46183051877357773"/>
          <c:y val="4.0280024514532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18056223679441E-2"/>
          <c:y val="0.14715664323110958"/>
          <c:w val="0.91090209382991116"/>
          <c:h val="0.68016008363208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'Department Charts'!$V$2</c:f>
              <c:strCache>
                <c:ptCount val="1"/>
                <c:pt idx="0">
                  <c:v>Sales %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 Charts'!$R$3:$R$12</c:f>
              <c:strCache>
                <c:ptCount val="10"/>
                <c:pt idx="0">
                  <c:v>Womens</c:v>
                </c:pt>
                <c:pt idx="1">
                  <c:v>Womens Sandals</c:v>
                </c:pt>
                <c:pt idx="2">
                  <c:v>Womens Boots</c:v>
                </c:pt>
                <c:pt idx="3">
                  <c:v>Womens Athletics</c:v>
                </c:pt>
                <c:pt idx="4">
                  <c:v>Mens</c:v>
                </c:pt>
                <c:pt idx="5">
                  <c:v>Mens Athletics</c:v>
                </c:pt>
                <c:pt idx="6">
                  <c:v>Kids </c:v>
                </c:pt>
                <c:pt idx="7">
                  <c:v>Kids Athletics</c:v>
                </c:pt>
                <c:pt idx="8">
                  <c:v>Accessories</c:v>
                </c:pt>
                <c:pt idx="9">
                  <c:v>Total</c:v>
                </c:pt>
              </c:strCache>
            </c:strRef>
          </c:cat>
          <c:val>
            <c:numRef>
              <c:f>'Department Charts'!$V$3:$V$12</c:f>
              <c:numCache>
                <c:formatCode>0.00</c:formatCode>
                <c:ptCount val="10"/>
                <c:pt idx="0">
                  <c:v>60.888957384992899</c:v>
                </c:pt>
                <c:pt idx="1">
                  <c:v>4.3395264953400403</c:v>
                </c:pt>
                <c:pt idx="2">
                  <c:v>43.775297436526401</c:v>
                </c:pt>
                <c:pt idx="3">
                  <c:v>16.1366765980985</c:v>
                </c:pt>
                <c:pt idx="4">
                  <c:v>51.796409933893997</c:v>
                </c:pt>
                <c:pt idx="5">
                  <c:v>16.331581673225699</c:v>
                </c:pt>
                <c:pt idx="6">
                  <c:v>29.0151377813627</c:v>
                </c:pt>
                <c:pt idx="7">
                  <c:v>48.801395415595202</c:v>
                </c:pt>
                <c:pt idx="8">
                  <c:v>52.561974477470102</c:v>
                </c:pt>
                <c:pt idx="9">
                  <c:v>29.943629574334242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1-4011-A38F-77F964E9EDBB}"/>
            </c:ext>
          </c:extLst>
        </c:ser>
        <c:ser>
          <c:idx val="1"/>
          <c:order val="1"/>
          <c:tx>
            <c:strRef>
              <c:f>'Department Charts'!$Z$2</c:f>
              <c:strCache>
                <c:ptCount val="1"/>
                <c:pt idx="0">
                  <c:v>OH %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 Charts'!$R$3:$R$12</c:f>
              <c:strCache>
                <c:ptCount val="10"/>
                <c:pt idx="0">
                  <c:v>Womens</c:v>
                </c:pt>
                <c:pt idx="1">
                  <c:v>Womens Sandals</c:v>
                </c:pt>
                <c:pt idx="2">
                  <c:v>Womens Boots</c:v>
                </c:pt>
                <c:pt idx="3">
                  <c:v>Womens Athletics</c:v>
                </c:pt>
                <c:pt idx="4">
                  <c:v>Mens</c:v>
                </c:pt>
                <c:pt idx="5">
                  <c:v>Mens Athletics</c:v>
                </c:pt>
                <c:pt idx="6">
                  <c:v>Kids </c:v>
                </c:pt>
                <c:pt idx="7">
                  <c:v>Kids Athletics</c:v>
                </c:pt>
                <c:pt idx="8">
                  <c:v>Accessories</c:v>
                </c:pt>
                <c:pt idx="9">
                  <c:v>Total</c:v>
                </c:pt>
              </c:strCache>
            </c:strRef>
          </c:cat>
          <c:val>
            <c:numRef>
              <c:f>'Department Charts'!$Z$3:$Z$12</c:f>
              <c:numCache>
                <c:formatCode>0.00</c:formatCode>
                <c:ptCount val="10"/>
                <c:pt idx="0">
                  <c:v>13.290113452187999</c:v>
                </c:pt>
                <c:pt idx="1">
                  <c:v>10.8017443810802</c:v>
                </c:pt>
                <c:pt idx="2">
                  <c:v>193.02325581395399</c:v>
                </c:pt>
                <c:pt idx="3">
                  <c:v>40.432724814063597</c:v>
                </c:pt>
                <c:pt idx="4">
                  <c:v>-6.881405563689599</c:v>
                </c:pt>
                <c:pt idx="5">
                  <c:v>-6.0292039566650999</c:v>
                </c:pt>
                <c:pt idx="6">
                  <c:v>38.923163208076303</c:v>
                </c:pt>
                <c:pt idx="7">
                  <c:v>19.740634005763699</c:v>
                </c:pt>
                <c:pt idx="8">
                  <c:v>55.912596401028303</c:v>
                </c:pt>
                <c:pt idx="9">
                  <c:v>22.81148268718556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1-4011-A38F-77F964E9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143167"/>
        <c:axId val="661603471"/>
      </c:barChart>
      <c:catAx>
        <c:axId val="6551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03471"/>
        <c:crosses val="autoZero"/>
        <c:auto val="1"/>
        <c:lblAlgn val="ctr"/>
        <c:lblOffset val="100"/>
        <c:noMultiLvlLbl val="0"/>
      </c:catAx>
      <c:valAx>
        <c:axId val="6616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76310437079628"/>
          <c:y val="4.5477787664998923E-2"/>
          <c:w val="0.18091827164263746"/>
          <c:h val="0.11284017129437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3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</a:p>
        </c:rich>
      </c:tx>
      <c:layout>
        <c:manualLayout>
          <c:xMode val="edge"/>
          <c:yMode val="edge"/>
          <c:x val="0.46183051877357773"/>
          <c:y val="4.0280024514532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18056223679441E-2"/>
          <c:y val="0.14715664323110958"/>
          <c:w val="0.91090209382991116"/>
          <c:h val="0.68016008363208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'Department Charts'!$V$15</c:f>
              <c:strCache>
                <c:ptCount val="1"/>
                <c:pt idx="0">
                  <c:v>Sales %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 Charts'!$R$16:$R$25</c:f>
              <c:strCache>
                <c:ptCount val="10"/>
                <c:pt idx="0">
                  <c:v>Womens</c:v>
                </c:pt>
                <c:pt idx="1">
                  <c:v>Womens Sandals</c:v>
                </c:pt>
                <c:pt idx="2">
                  <c:v>Womens Boots</c:v>
                </c:pt>
                <c:pt idx="3">
                  <c:v>Womens Athletics</c:v>
                </c:pt>
                <c:pt idx="4">
                  <c:v>Mens</c:v>
                </c:pt>
                <c:pt idx="5">
                  <c:v>Mens Athletics</c:v>
                </c:pt>
                <c:pt idx="6">
                  <c:v>Kids </c:v>
                </c:pt>
                <c:pt idx="7">
                  <c:v>Kids Athletics</c:v>
                </c:pt>
                <c:pt idx="8">
                  <c:v>Accessories</c:v>
                </c:pt>
                <c:pt idx="9">
                  <c:v>Total</c:v>
                </c:pt>
              </c:strCache>
            </c:strRef>
          </c:cat>
          <c:val>
            <c:numRef>
              <c:f>'Department Charts'!$V$16:$V$25</c:f>
              <c:numCache>
                <c:formatCode>General</c:formatCode>
                <c:ptCount val="10"/>
                <c:pt idx="0">
                  <c:v>13.1992959737257</c:v>
                </c:pt>
                <c:pt idx="1">
                  <c:v>-13.014552521143299</c:v>
                </c:pt>
                <c:pt idx="2">
                  <c:v>-24.127928077951101</c:v>
                </c:pt>
                <c:pt idx="3">
                  <c:v>-5.7778962178249502</c:v>
                </c:pt>
                <c:pt idx="4">
                  <c:v>6.1151436056800303</c:v>
                </c:pt>
                <c:pt idx="5">
                  <c:v>-2.5087252242217</c:v>
                </c:pt>
                <c:pt idx="6">
                  <c:v>17.438083054723101</c:v>
                </c:pt>
                <c:pt idx="7">
                  <c:v>-6.2138976147823799</c:v>
                </c:pt>
                <c:pt idx="8">
                  <c:v>-5.86429407792963</c:v>
                </c:pt>
                <c:pt idx="9">
                  <c:v>-1.0239572998619599E-2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4-4675-B3C8-B3DB5D470024}"/>
            </c:ext>
          </c:extLst>
        </c:ser>
        <c:ser>
          <c:idx val="1"/>
          <c:order val="1"/>
          <c:tx>
            <c:strRef>
              <c:f>'Department Charts'!$Z$15</c:f>
              <c:strCache>
                <c:ptCount val="1"/>
                <c:pt idx="0">
                  <c:v>OH %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 Charts'!$R$16:$R$25</c:f>
              <c:strCache>
                <c:ptCount val="10"/>
                <c:pt idx="0">
                  <c:v>Womens</c:v>
                </c:pt>
                <c:pt idx="1">
                  <c:v>Womens Sandals</c:v>
                </c:pt>
                <c:pt idx="2">
                  <c:v>Womens Boots</c:v>
                </c:pt>
                <c:pt idx="3">
                  <c:v>Womens Athletics</c:v>
                </c:pt>
                <c:pt idx="4">
                  <c:v>Mens</c:v>
                </c:pt>
                <c:pt idx="5">
                  <c:v>Mens Athletics</c:v>
                </c:pt>
                <c:pt idx="6">
                  <c:v>Kids </c:v>
                </c:pt>
                <c:pt idx="7">
                  <c:v>Kids Athletics</c:v>
                </c:pt>
                <c:pt idx="8">
                  <c:v>Accessories</c:v>
                </c:pt>
                <c:pt idx="9">
                  <c:v>Total</c:v>
                </c:pt>
              </c:strCache>
            </c:strRef>
          </c:cat>
          <c:val>
            <c:numRef>
              <c:f>'Department Charts'!$Z$16:$Z$25</c:f>
              <c:numCache>
                <c:formatCode>0.00</c:formatCode>
                <c:ptCount val="10"/>
                <c:pt idx="0">
                  <c:v>5.44367526746381</c:v>
                </c:pt>
                <c:pt idx="1">
                  <c:v>17.765042979942699</c:v>
                </c:pt>
                <c:pt idx="2">
                  <c:v>80.073800738007392</c:v>
                </c:pt>
                <c:pt idx="3">
                  <c:v>57.547956630525398</c:v>
                </c:pt>
                <c:pt idx="4">
                  <c:v>28.9598618903755</c:v>
                </c:pt>
                <c:pt idx="5">
                  <c:v>-2.8914879792072803</c:v>
                </c:pt>
                <c:pt idx="6">
                  <c:v>5.3042121684867398</c:v>
                </c:pt>
                <c:pt idx="7">
                  <c:v>2.3660067600193102</c:v>
                </c:pt>
                <c:pt idx="8">
                  <c:v>186.44703919933301</c:v>
                </c:pt>
                <c:pt idx="9">
                  <c:v>37.472970316493019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4-4675-B3C8-B3DB5D47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4"/>
        <c:axId val="655143167"/>
        <c:axId val="661603471"/>
      </c:barChart>
      <c:catAx>
        <c:axId val="6551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03471"/>
        <c:crosses val="autoZero"/>
        <c:auto val="1"/>
        <c:lblAlgn val="ctr"/>
        <c:lblOffset val="100"/>
        <c:noMultiLvlLbl val="0"/>
      </c:catAx>
      <c:valAx>
        <c:axId val="6616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76310437079628"/>
          <c:y val="4.5477787664998923E-2"/>
          <c:w val="0.20164096851237648"/>
          <c:h val="0.12531612821474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3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>
        <c:manualLayout>
          <c:xMode val="edge"/>
          <c:yMode val="edge"/>
          <c:x val="0.46183051877357773"/>
          <c:y val="4.0280024514532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18056223679441E-2"/>
          <c:y val="0.14715664323110958"/>
          <c:w val="0.91090209382991116"/>
          <c:h val="0.68016008363208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'Department Charts'!$V$28</c:f>
              <c:strCache>
                <c:ptCount val="1"/>
                <c:pt idx="0">
                  <c:v>Sales %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 Charts'!$R$29:$R$38</c:f>
              <c:strCache>
                <c:ptCount val="10"/>
                <c:pt idx="0">
                  <c:v>Womens</c:v>
                </c:pt>
                <c:pt idx="1">
                  <c:v>Womens Sandals</c:v>
                </c:pt>
                <c:pt idx="2">
                  <c:v>Womens Boots</c:v>
                </c:pt>
                <c:pt idx="3">
                  <c:v>Womens Athletics</c:v>
                </c:pt>
                <c:pt idx="4">
                  <c:v>Mens</c:v>
                </c:pt>
                <c:pt idx="5">
                  <c:v>Mens Athletics</c:v>
                </c:pt>
                <c:pt idx="6">
                  <c:v>Kids </c:v>
                </c:pt>
                <c:pt idx="7">
                  <c:v>Kids Athletics</c:v>
                </c:pt>
                <c:pt idx="8">
                  <c:v>Accessories</c:v>
                </c:pt>
                <c:pt idx="9">
                  <c:v>Total</c:v>
                </c:pt>
              </c:strCache>
            </c:strRef>
          </c:cat>
          <c:val>
            <c:numRef>
              <c:f>'Department Charts'!$V$29:$V$38</c:f>
              <c:numCache>
                <c:formatCode>General</c:formatCode>
                <c:ptCount val="10"/>
                <c:pt idx="0">
                  <c:v>12.106031432225137</c:v>
                </c:pt>
                <c:pt idx="1">
                  <c:v>-5.2937693243812678</c:v>
                </c:pt>
                <c:pt idx="2">
                  <c:v>-18.713908391135824</c:v>
                </c:pt>
                <c:pt idx="3">
                  <c:v>-9.6795776198359835</c:v>
                </c:pt>
                <c:pt idx="4">
                  <c:v>6.5280031788547301</c:v>
                </c:pt>
                <c:pt idx="5">
                  <c:v>-5.9877490661115651</c:v>
                </c:pt>
                <c:pt idx="6">
                  <c:v>3.1898763087344615</c:v>
                </c:pt>
                <c:pt idx="7">
                  <c:v>-4.4084738076772112</c:v>
                </c:pt>
                <c:pt idx="8">
                  <c:v>-2.390510486148552</c:v>
                </c:pt>
                <c:pt idx="9">
                  <c:v>-1.3483907979659608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B-4E78-B955-98C77046302B}"/>
            </c:ext>
          </c:extLst>
        </c:ser>
        <c:ser>
          <c:idx val="1"/>
          <c:order val="1"/>
          <c:tx>
            <c:strRef>
              <c:f>'Department Charts'!$Z$28</c:f>
              <c:strCache>
                <c:ptCount val="1"/>
                <c:pt idx="0">
                  <c:v>OH %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 Charts'!$R$29:$R$38</c:f>
              <c:strCache>
                <c:ptCount val="10"/>
                <c:pt idx="0">
                  <c:v>Womens</c:v>
                </c:pt>
                <c:pt idx="1">
                  <c:v>Womens Sandals</c:v>
                </c:pt>
                <c:pt idx="2">
                  <c:v>Womens Boots</c:v>
                </c:pt>
                <c:pt idx="3">
                  <c:v>Womens Athletics</c:v>
                </c:pt>
                <c:pt idx="4">
                  <c:v>Mens</c:v>
                </c:pt>
                <c:pt idx="5">
                  <c:v>Mens Athletics</c:v>
                </c:pt>
                <c:pt idx="6">
                  <c:v>Kids </c:v>
                </c:pt>
                <c:pt idx="7">
                  <c:v>Kids Athletics</c:v>
                </c:pt>
                <c:pt idx="8">
                  <c:v>Accessories</c:v>
                </c:pt>
                <c:pt idx="9">
                  <c:v>Total</c:v>
                </c:pt>
              </c:strCache>
            </c:strRef>
          </c:cat>
          <c:val>
            <c:numRef>
              <c:f>'Department Charts'!$Z$29:$Z$38</c:f>
              <c:numCache>
                <c:formatCode>General</c:formatCode>
                <c:ptCount val="10"/>
                <c:pt idx="0">
                  <c:v>9.291436412862069</c:v>
                </c:pt>
                <c:pt idx="1">
                  <c:v>24.213645423634873</c:v>
                </c:pt>
                <c:pt idx="2">
                  <c:v>65.683857090394</c:v>
                </c:pt>
                <c:pt idx="3">
                  <c:v>37.92130147917014</c:v>
                </c:pt>
                <c:pt idx="4">
                  <c:v>10.659771038361116</c:v>
                </c:pt>
                <c:pt idx="5">
                  <c:v>-0.56143818004199564</c:v>
                </c:pt>
                <c:pt idx="6">
                  <c:v>29.475509962049333</c:v>
                </c:pt>
                <c:pt idx="7">
                  <c:v>18.708639152929852</c:v>
                </c:pt>
                <c:pt idx="8">
                  <c:v>95.037536325476268</c:v>
                </c:pt>
                <c:pt idx="9">
                  <c:v>29.422770081348272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B-4E78-B955-98C770463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4"/>
        <c:axId val="655143167"/>
        <c:axId val="661603471"/>
      </c:barChart>
      <c:catAx>
        <c:axId val="6551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03471"/>
        <c:crosses val="autoZero"/>
        <c:auto val="1"/>
        <c:lblAlgn val="ctr"/>
        <c:lblOffset val="100"/>
        <c:noMultiLvlLbl val="0"/>
      </c:catAx>
      <c:valAx>
        <c:axId val="6616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4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76310437079628"/>
          <c:y val="4.5477787664998923E-2"/>
          <c:w val="0.20164096851237648"/>
          <c:h val="0.12531612821474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3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[Shoe Shop Travel Dashboard.xlsx]Open.Close!PivotTable3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Open.Close!$B$3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B-40FB-BC1B-0F3B8E02F2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B-40FB-BC1B-0F3B8E02F2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B-40FB-BC1B-0F3B8E02F2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0B-40FB-BC1B-0F3B8E02F2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0B-40FB-BC1B-0F3B8E02F2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Open.Close!$A$4:$A$9</c:f>
              <c:strCache>
                <c:ptCount val="5"/>
                <c:pt idx="0">
                  <c:v>10:00 AM</c:v>
                </c:pt>
                <c:pt idx="1">
                  <c:v>6:00 AM</c:v>
                </c:pt>
                <c:pt idx="2">
                  <c:v>7:00 AM</c:v>
                </c:pt>
                <c:pt idx="3">
                  <c:v>8:00 AM</c:v>
                </c:pt>
                <c:pt idx="4">
                  <c:v>9:00 AM</c:v>
                </c:pt>
              </c:strCache>
            </c:strRef>
          </c:cat>
          <c:val>
            <c:numRef>
              <c:f>Open.Close!$B$4:$B$9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C-4197-89D4-AA9B9DC9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161924</xdr:colOff>
      <xdr:row>0</xdr:row>
      <xdr:rowOff>0</xdr:rowOff>
    </xdr:from>
    <xdr:to>
      <xdr:col>13</xdr:col>
      <xdr:colOff>647699</xdr:colOff>
      <xdr:row>5</xdr:row>
      <xdr:rowOff>12114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8551D7-7D0C-5885-1D76-A44656206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974" y="0"/>
          <a:ext cx="1095375" cy="1259889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4</xdr:row>
      <xdr:rowOff>1</xdr:rowOff>
    </xdr:from>
    <xdr:to>
      <xdr:col>13</xdr:col>
      <xdr:colOff>638175</xdr:colOff>
      <xdr:row>12</xdr:row>
      <xdr:rowOff>209551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3EAD7-4E1D-AF65-6203-04C5A3BB0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12</xdr:row>
      <xdr:rowOff>219075</xdr:rowOff>
    </xdr:from>
    <xdr:to>
      <xdr:col>13</xdr:col>
      <xdr:colOff>638175</xdr:colOff>
      <xdr:row>22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9EC11E0-DD88-9858-98BB-B368F4FA1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19049</xdr:colOff>
      <xdr:row>22</xdr:row>
      <xdr:rowOff>0</xdr:rowOff>
    </xdr:from>
    <xdr:to>
      <xdr:col>14</xdr:col>
      <xdr:colOff>8762</xdr:colOff>
      <xdr:row>30</xdr:row>
      <xdr:rowOff>233171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2180F-C402-5625-3B93-5EE63667A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4761</xdr:rowOff>
    </xdr:from>
    <xdr:to>
      <xdr:col>4</xdr:col>
      <xdr:colOff>9525</xdr:colOff>
      <xdr:row>24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34F52-ECFB-007E-E341-2BAA0DF2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ll McClure" refreshedDate="45609.543243287037" createdVersion="8" refreshedVersion="8" minRefreshableVersion="3" recordCount="41" xr:uid="{E7B473DB-67A9-43F4-91B3-453727037D7B}">
  <cacheSource type="worksheet">
    <worksheetSource ref="B49:J90" sheet="Holiday Hours DATA"/>
  </cacheSource>
  <cacheFields count="9">
    <cacheField name="Shoe Shop" numFmtId="0">
      <sharedItems containsString="0" containsBlank="1" containsNumber="1" containsInteger="1" minValue="11" maxValue="97"/>
    </cacheField>
    <cacheField name="11/24/2024" numFmtId="0">
      <sharedItems containsDate="1" containsMixedTypes="1" minDate="1899-12-30T10:00:00" maxDate="1899-12-30T12:00:00" count="4">
        <s v="Open Time"/>
        <d v="1899-12-30T12:00:00"/>
        <d v="1899-12-30T10:00:00"/>
        <d v="1899-12-30T11:00:00"/>
      </sharedItems>
    </cacheField>
    <cacheField name="11/24/20242" numFmtId="0">
      <sharedItems containsDate="1" containsMixedTypes="1" minDate="1899-12-30T18:00:00" maxDate="1899-12-30T19:00:00"/>
    </cacheField>
    <cacheField name="11/25/2024" numFmtId="0">
      <sharedItems containsDate="1" containsMixedTypes="1" minDate="1899-12-30T10:00:00" maxDate="1899-12-30T11:00:00"/>
    </cacheField>
    <cacheField name="11/25/20242" numFmtId="0">
      <sharedItems containsDate="1" containsMixedTypes="1" minDate="1899-12-30T19:00:00" maxDate="1899-12-30T21:00:00"/>
    </cacheField>
    <cacheField name="11/26/2024" numFmtId="0">
      <sharedItems containsDate="1" containsMixedTypes="1" minDate="1899-12-30T10:00:00" maxDate="1899-12-30T11:00:00"/>
    </cacheField>
    <cacheField name="11/26/20242" numFmtId="0">
      <sharedItems containsDate="1" containsMixedTypes="1" minDate="1899-12-30T19:00:00" maxDate="1899-12-30T21:00:00"/>
    </cacheField>
    <cacheField name="11/27/2024" numFmtId="0">
      <sharedItems containsDate="1" containsMixedTypes="1" minDate="1899-12-30T10:00:00" maxDate="1899-12-30T11:00:00"/>
    </cacheField>
    <cacheField name="11/27/20242" numFmtId="0">
      <sharedItems containsDate="1" containsMixedTypes="1" minDate="1899-12-30T17:00:00" maxDate="1899-12-30T21:00:00"/>
    </cacheField>
  </cacheFields>
  <extLst>
    <ext xmlns:x14="http://schemas.microsoft.com/office/spreadsheetml/2009/9/main" uri="{725AE2AE-9491-48be-B2B4-4EB974FC3084}">
      <x14:pivotCacheDefinition pivotCacheId="21316428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ll McClure" refreshedDate="45609.543243402775" createdVersion="8" refreshedVersion="8" minRefreshableVersion="3" recordCount="40" xr:uid="{E0762F45-C403-4A1E-849C-4F47F5878A46}">
  <cacheSource type="worksheet">
    <worksheetSource ref="M6:N46" sheet="Holiday Hours DATA"/>
  </cacheSource>
  <cacheFields count="2">
    <cacheField name="11/29/2024" numFmtId="178">
      <sharedItems count="5">
        <s v="8:00 AM"/>
        <s v="7:00 AM"/>
        <s v="6:00 AM"/>
        <s v="9:00 AM"/>
        <s v="10:00 AM"/>
      </sharedItems>
    </cacheField>
    <cacheField name="11/29/20242" numFmtId="178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m/>
    <x v="0"/>
    <s v="Close Time"/>
    <s v="Open Time"/>
    <s v="Close Time"/>
    <s v="Open Time"/>
    <s v="Close Time"/>
    <s v="Open Time"/>
    <s v="Close Time"/>
  </r>
  <r>
    <n v="23"/>
    <x v="1"/>
    <d v="1899-12-30T18:00:00"/>
    <d v="1899-12-30T10:00:00"/>
    <d v="1899-12-30T21:00:00"/>
    <d v="1899-12-30T10:00:00"/>
    <d v="1899-12-30T21:00:00"/>
    <d v="1899-12-30T10:00:00"/>
    <d v="1899-12-30T21:00:00"/>
  </r>
  <r>
    <n v="20"/>
    <x v="1"/>
    <d v="1899-12-30T18:00:00"/>
    <d v="1899-12-30T11:00:00"/>
    <d v="1899-12-30T20:00:00"/>
    <d v="1899-12-30T11:00:00"/>
    <d v="1899-12-30T20:00:00"/>
    <d v="1899-12-30T11:00:00"/>
    <d v="1899-12-30T20:00:00"/>
  </r>
  <r>
    <n v="22"/>
    <x v="1"/>
    <d v="1899-12-30T18:00:00"/>
    <d v="1899-12-30T11:00:00"/>
    <d v="1899-12-30T20:00:00"/>
    <d v="1899-12-30T11:00:00"/>
    <d v="1899-12-30T20:00:00"/>
    <d v="1899-12-30T11:00:00"/>
    <d v="1899-12-30T20:00:00"/>
  </r>
  <r>
    <n v="27"/>
    <x v="1"/>
    <d v="1899-12-30T18:00:00"/>
    <d v="1899-12-30T10:00:00"/>
    <d v="1899-12-30T20:00:00"/>
    <d v="1899-12-30T10:00:00"/>
    <d v="1899-12-30T20:00:00"/>
    <d v="1899-12-30T10:00:00"/>
    <d v="1899-12-30T20:00:00"/>
  </r>
  <r>
    <n v="36"/>
    <x v="1"/>
    <d v="1899-12-30T18:00:00"/>
    <d v="1899-12-30T11:00:00"/>
    <d v="1899-12-30T19:00:00"/>
    <d v="1899-12-30T11:00:00"/>
    <d v="1899-12-30T19:00:00"/>
    <d v="1899-12-30T11:00:00"/>
    <d v="1899-12-30T19:00:00"/>
  </r>
  <r>
    <n v="56"/>
    <x v="1"/>
    <d v="1899-12-30T18:00:00"/>
    <d v="1899-12-30T11:00:00"/>
    <d v="1899-12-30T20:00:00"/>
    <d v="1899-12-30T11:00:00"/>
    <d v="1899-12-30T20:00:00"/>
    <d v="1899-12-30T11:00:00"/>
    <d v="1899-12-30T20:00:00"/>
  </r>
  <r>
    <n v="67"/>
    <x v="1"/>
    <d v="1899-12-30T18:00:00"/>
    <d v="1899-12-30T10:00:00"/>
    <d v="1899-12-30T21:00:00"/>
    <d v="1899-12-30T10:00:00"/>
    <d v="1899-12-30T21:00:00"/>
    <d v="1899-12-30T10:00:00"/>
    <d v="1899-12-30T21:00:00"/>
  </r>
  <r>
    <n v="97"/>
    <x v="1"/>
    <d v="1899-12-30T18:00:00"/>
    <d v="1899-12-30T11:00:00"/>
    <d v="1899-12-30T19:00:00"/>
    <d v="1899-12-30T11:00:00"/>
    <d v="1899-12-30T19:00:00"/>
    <d v="1899-12-30T11:00:00"/>
    <d v="1899-12-30T19:00:00"/>
  </r>
  <r>
    <n v="14"/>
    <x v="2"/>
    <d v="1899-12-30T19:00:00"/>
    <d v="1899-12-30T10:00:00"/>
    <d v="1899-12-30T21:00:00"/>
    <d v="1899-12-30T10:00:00"/>
    <d v="1899-12-30T21:00:00"/>
    <d v="1899-12-30T10:00:00"/>
    <d v="1899-12-30T21:00:00"/>
  </r>
  <r>
    <n v="29"/>
    <x v="3"/>
    <d v="1899-12-30T18:00:00"/>
    <d v="1899-12-30T10:00:00"/>
    <d v="1899-12-30T21:00:00"/>
    <d v="1899-12-30T10:00:00"/>
    <d v="1899-12-30T21:00:00"/>
    <d v="1899-12-30T10:00:00"/>
    <d v="1899-12-30T21:00:00"/>
  </r>
  <r>
    <n v="64"/>
    <x v="3"/>
    <d v="1899-12-30T18:00:00"/>
    <d v="1899-12-30T10:00:00"/>
    <d v="1899-12-30T21:00:00"/>
    <d v="1899-12-30T10:00:00"/>
    <d v="1899-12-30T21:00:00"/>
    <d v="1899-12-30T10:00:00"/>
    <d v="1899-12-30T21:00:00"/>
  </r>
  <r>
    <n v="75"/>
    <x v="3"/>
    <d v="1899-12-30T18:00:00"/>
    <d v="1899-12-30T10:00:00"/>
    <d v="1899-12-30T21:00:00"/>
    <d v="1899-12-30T10:00:00"/>
    <d v="1899-12-30T21:00:00"/>
    <d v="1899-12-30T10:00:00"/>
    <d v="1899-12-30T17:00:00"/>
  </r>
  <r>
    <n v="79"/>
    <x v="1"/>
    <d v="1899-12-30T18:00:00"/>
    <d v="1899-12-30T10:00:00"/>
    <d v="1899-12-30T21:00:00"/>
    <d v="1899-12-30T10:00:00"/>
    <d v="1899-12-30T21:00:00"/>
    <d v="1899-12-30T10:00:00"/>
    <d v="1899-12-30T21:00:00"/>
  </r>
  <r>
    <n v="83"/>
    <x v="2"/>
    <d v="1899-12-30T19:00:00"/>
    <d v="1899-12-30T10:00:00"/>
    <d v="1899-12-30T21:00:00"/>
    <d v="1899-12-30T10:00:00"/>
    <d v="1899-12-30T21:00:00"/>
    <d v="1899-12-30T10:00:00"/>
    <d v="1899-12-30T21:00:00"/>
  </r>
  <r>
    <n v="11"/>
    <x v="1"/>
    <d v="1899-12-30T18:00:00"/>
    <d v="1899-12-30T10:00:00"/>
    <d v="1899-12-30T20:00:00"/>
    <d v="1899-12-30T10:00:00"/>
    <d v="1899-12-30T20:00:00"/>
    <d v="1899-12-30T10:00:00"/>
    <d v="1899-12-30T20:00:00"/>
  </r>
  <r>
    <n v="12"/>
    <x v="1"/>
    <d v="1899-12-30T18:00:00"/>
    <d v="1899-12-30T10:00:00"/>
    <d v="1899-12-30T21:00:00"/>
    <d v="1899-12-30T10:00:00"/>
    <d v="1899-12-30T21:00:00"/>
    <d v="1899-12-30T10:00:00"/>
    <d v="1899-12-30T21:00:00"/>
  </r>
  <r>
    <n v="15"/>
    <x v="1"/>
    <d v="1899-12-30T18:00:00"/>
    <d v="1899-12-30T10:00:00"/>
    <d v="1899-12-30T21:00:00"/>
    <d v="1899-12-30T10:00:00"/>
    <d v="1899-12-30T21:00:00"/>
    <d v="1899-12-30T10:00:00"/>
    <d v="1899-12-30T21:00:00"/>
  </r>
  <r>
    <n v="18"/>
    <x v="1"/>
    <d v="1899-12-30T18:00:00"/>
    <d v="1899-12-30T10:00:00"/>
    <d v="1899-12-30T21:00:00"/>
    <d v="1899-12-30T10:00:00"/>
    <d v="1899-12-30T21:00:00"/>
    <d v="1899-12-30T10:00:00"/>
    <d v="1899-12-30T21:00:00"/>
  </r>
  <r>
    <n v="25"/>
    <x v="1"/>
    <d v="1899-12-30T18:00:00"/>
    <d v="1899-12-30T10:00:00"/>
    <d v="1899-12-30T21:00:00"/>
    <d v="1899-12-30T10:00:00"/>
    <d v="1899-12-30T21:00:00"/>
    <d v="1899-12-30T10:00:00"/>
    <d v="1899-12-30T21:00:00"/>
  </r>
  <r>
    <n v="26"/>
    <x v="1"/>
    <d v="1899-12-30T18:00:00"/>
    <d v="1899-12-30T10:00:00"/>
    <d v="1899-12-30T21:00:00"/>
    <d v="1899-12-30T10:00:00"/>
    <d v="1899-12-30T21:00:00"/>
    <d v="1899-12-30T10:00:00"/>
    <d v="1899-12-30T21:00:00"/>
  </r>
  <r>
    <n v="32"/>
    <x v="1"/>
    <d v="1899-12-30T18:00:00"/>
    <d v="1899-12-30T10:00:00"/>
    <d v="1899-12-30T21:00:00"/>
    <d v="1899-12-30T10:00:00"/>
    <d v="1899-12-30T21:00:00"/>
    <d v="1899-12-30T10:00:00"/>
    <d v="1899-12-30T21:00:00"/>
  </r>
  <r>
    <n v="34"/>
    <x v="1"/>
    <d v="1899-12-30T18:00:00"/>
    <d v="1899-12-30T10:00:00"/>
    <d v="1899-12-30T21:00:00"/>
    <d v="1899-12-30T10:00:00"/>
    <d v="1899-12-30T21:00:00"/>
    <d v="1899-12-30T10:00:00"/>
    <d v="1899-12-30T21:00:00"/>
  </r>
  <r>
    <n v="38"/>
    <x v="1"/>
    <d v="1899-12-30T18:00:00"/>
    <d v="1899-12-30T10:00:00"/>
    <d v="1899-12-30T21:00:00"/>
    <d v="1899-12-30T10:00:00"/>
    <d v="1899-12-30T21:00:00"/>
    <d v="1899-12-30T10:00:00"/>
    <d v="1899-12-30T21:00:00"/>
  </r>
  <r>
    <n v="43"/>
    <x v="1"/>
    <d v="1899-12-30T18:00:00"/>
    <d v="1899-12-30T10:00:00"/>
    <d v="1899-12-30T21:00:00"/>
    <d v="1899-12-30T10:00:00"/>
    <d v="1899-12-30T21:00:00"/>
    <d v="1899-12-30T10:00:00"/>
    <d v="1899-12-30T21:00:00"/>
  </r>
  <r>
    <n v="45"/>
    <x v="1"/>
    <d v="1899-12-30T18:00:00"/>
    <d v="1899-12-30T10:00:00"/>
    <d v="1899-12-30T21:00:00"/>
    <d v="1899-12-30T10:00:00"/>
    <d v="1899-12-30T21:00:00"/>
    <d v="1899-12-30T10:00:00"/>
    <d v="1899-12-30T21:00:00"/>
  </r>
  <r>
    <n v="47"/>
    <x v="1"/>
    <d v="1899-12-30T18:00:00"/>
    <d v="1899-12-30T10:00:00"/>
    <d v="1899-12-30T21:00:00"/>
    <d v="1899-12-30T10:00:00"/>
    <d v="1899-12-30T21:00:00"/>
    <d v="1899-12-30T10:00:00"/>
    <d v="1899-12-30T21:00:00"/>
  </r>
  <r>
    <n v="49"/>
    <x v="1"/>
    <d v="1899-12-30T18:00:00"/>
    <d v="1899-12-30T10:00:00"/>
    <d v="1899-12-30T21:00:00"/>
    <d v="1899-12-30T10:00:00"/>
    <d v="1899-12-30T21:00:00"/>
    <d v="1899-12-30T10:00:00"/>
    <d v="1899-12-30T21:00:00"/>
  </r>
  <r>
    <n v="51"/>
    <x v="1"/>
    <d v="1899-12-30T18:00:00"/>
    <d v="1899-12-30T10:00:00"/>
    <d v="1899-12-30T21:00:00"/>
    <d v="1899-12-30T10:00:00"/>
    <d v="1899-12-30T21:00:00"/>
    <d v="1899-12-30T10:00:00"/>
    <d v="1899-12-30T21:00:00"/>
  </r>
  <r>
    <n v="53"/>
    <x v="3"/>
    <d v="1899-12-30T18:00:00"/>
    <d v="1899-12-30T10:00:00"/>
    <d v="1899-12-30T21:00:00"/>
    <d v="1899-12-30T10:00:00"/>
    <d v="1899-12-30T21:00:00"/>
    <d v="1899-12-30T10:00:00"/>
    <d v="1899-12-30T21:00:00"/>
  </r>
  <r>
    <n v="58"/>
    <x v="1"/>
    <d v="1899-12-30T18:00:00"/>
    <d v="1899-12-30T10:00:00"/>
    <d v="1899-12-30T21:00:00"/>
    <d v="1899-12-30T10:00:00"/>
    <d v="1899-12-30T21:00:00"/>
    <d v="1899-12-30T10:00:00"/>
    <d v="1899-12-30T21:00:00"/>
  </r>
  <r>
    <n v="61"/>
    <x v="1"/>
    <d v="1899-12-30T18:00:00"/>
    <d v="1899-12-30T10:00:00"/>
    <d v="1899-12-30T21:00:00"/>
    <d v="1899-12-30T10:00:00"/>
    <d v="1899-12-30T21:00:00"/>
    <d v="1899-12-30T10:00:00"/>
    <d v="1899-12-30T21:00:00"/>
  </r>
  <r>
    <n v="69"/>
    <x v="1"/>
    <d v="1899-12-30T18:00:00"/>
    <d v="1899-12-30T10:00:00"/>
    <d v="1899-12-30T21:00:00"/>
    <d v="1899-12-30T10:00:00"/>
    <d v="1899-12-30T21:00:00"/>
    <d v="1899-12-30T10:00:00"/>
    <d v="1899-12-30T21:00:00"/>
  </r>
  <r>
    <n v="72"/>
    <x v="3"/>
    <d v="1899-12-30T18:00:00"/>
    <d v="1899-12-30T10:00:00"/>
    <d v="1899-12-30T20:00:00"/>
    <d v="1899-12-30T10:00:00"/>
    <d v="1899-12-30T20:00:00"/>
    <d v="1899-12-30T10:00:00"/>
    <d v="1899-12-30T20:00:00"/>
  </r>
  <r>
    <n v="78"/>
    <x v="3"/>
    <d v="1899-12-30T18:00:00"/>
    <d v="1899-12-30T10:00:00"/>
    <d v="1899-12-30T20:00:00"/>
    <d v="1899-12-30T10:00:00"/>
    <d v="1899-12-30T20:00:00"/>
    <d v="1899-12-30T10:00:00"/>
    <d v="1899-12-30T20:00:00"/>
  </r>
  <r>
    <n v="80"/>
    <x v="1"/>
    <d v="1899-12-30T18:00:00"/>
    <d v="1899-12-30T10:00:00"/>
    <d v="1899-12-30T21:00:00"/>
    <d v="1899-12-30T10:00:00"/>
    <d v="1899-12-30T21:00:00"/>
    <d v="1899-12-30T10:00:00"/>
    <d v="1899-12-30T21:00:00"/>
  </r>
  <r>
    <n v="86"/>
    <x v="1"/>
    <d v="1899-12-30T18:00:00"/>
    <d v="1899-12-30T10:00:00"/>
    <d v="1899-12-30T21:00:00"/>
    <d v="1899-12-30T10:00:00"/>
    <d v="1899-12-30T21:00:00"/>
    <d v="1899-12-30T10:00:00"/>
    <d v="1899-12-30T21:00:00"/>
  </r>
  <r>
    <n v="89"/>
    <x v="1"/>
    <d v="1899-12-30T18:00:00"/>
    <d v="1899-12-30T10:00:00"/>
    <d v="1899-12-30T21:00:00"/>
    <d v="1899-12-30T10:00:00"/>
    <d v="1899-12-30T21:00:00"/>
    <d v="1899-12-30T10:00:00"/>
    <d v="1899-12-30T21:00:00"/>
  </r>
  <r>
    <n v="90"/>
    <x v="1"/>
    <d v="1899-12-30T18:00:00"/>
    <d v="1899-12-30T10:00:00"/>
    <d v="1899-12-30T21:00:00"/>
    <d v="1899-12-30T10:00:00"/>
    <d v="1899-12-30T21:00:00"/>
    <d v="1899-12-30T10:00:00"/>
    <d v="1899-12-30T21:00:00"/>
  </r>
  <r>
    <n v="92"/>
    <x v="1"/>
    <d v="1899-12-30T18:00:00"/>
    <d v="1899-12-30T10:00:00"/>
    <d v="1899-12-30T21:00:00"/>
    <d v="1899-12-30T10:00:00"/>
    <d v="1899-12-30T21:00:00"/>
    <d v="1899-12-30T10:00:00"/>
    <d v="1899-12-30T21:00:00"/>
  </r>
  <r>
    <n v="94"/>
    <x v="1"/>
    <d v="1899-12-30T18:00:00"/>
    <d v="1899-12-30T10:00:00"/>
    <d v="1899-12-30T21:00:00"/>
    <d v="1899-12-30T10:00:00"/>
    <d v="1899-12-30T21:00:00"/>
    <d v="1899-12-30T10:00:00"/>
    <d v="1899-12-30T21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9:00 PM"/>
  </r>
  <r>
    <x v="1"/>
    <s v="9:00 PM"/>
  </r>
  <r>
    <x v="1"/>
    <s v="9:00 PM"/>
  </r>
  <r>
    <x v="2"/>
    <s v="9:00 PM"/>
  </r>
  <r>
    <x v="3"/>
    <s v="9:00 PM"/>
  </r>
  <r>
    <x v="0"/>
    <s v="10:00 PM"/>
  </r>
  <r>
    <x v="0"/>
    <s v="9:00 PM"/>
  </r>
  <r>
    <x v="3"/>
    <s v="9:00 PM"/>
  </r>
  <r>
    <x v="2"/>
    <s v="9:00 PM"/>
  </r>
  <r>
    <x v="4"/>
    <s v="9:00 PM"/>
  </r>
  <r>
    <x v="0"/>
    <s v="9:00 PM"/>
  </r>
  <r>
    <x v="1"/>
    <s v="9:00 PM"/>
  </r>
  <r>
    <x v="0"/>
    <s v="9:00 PM"/>
  </r>
  <r>
    <x v="2"/>
    <s v="9:00 PM"/>
  </r>
  <r>
    <x v="0"/>
    <s v="9:00 PM"/>
  </r>
  <r>
    <x v="0"/>
    <s v="9:00 PM"/>
  </r>
  <r>
    <x v="0"/>
    <s v="9:00 PM"/>
  </r>
  <r>
    <x v="1"/>
    <s v="9:00 PM"/>
  </r>
  <r>
    <x v="0"/>
    <s v="9:00 PM"/>
  </r>
  <r>
    <x v="1"/>
    <s v="9:00 PM"/>
  </r>
  <r>
    <x v="0"/>
    <s v="9:00 PM"/>
  </r>
  <r>
    <x v="0"/>
    <s v="9:00 PM"/>
  </r>
  <r>
    <x v="0"/>
    <s v="9:00 PM"/>
  </r>
  <r>
    <x v="0"/>
    <s v="9:00 PM"/>
  </r>
  <r>
    <x v="1"/>
    <s v="9:00 PM"/>
  </r>
  <r>
    <x v="4"/>
    <s v="9:00 PM"/>
  </r>
  <r>
    <x v="1"/>
    <s v="9:00 PM"/>
  </r>
  <r>
    <x v="0"/>
    <s v="9:00 PM"/>
  </r>
  <r>
    <x v="0"/>
    <s v="9:00 PM"/>
  </r>
  <r>
    <x v="0"/>
    <s v="9:00 PM"/>
  </r>
  <r>
    <x v="1"/>
    <s v="9:00 PM"/>
  </r>
  <r>
    <x v="0"/>
    <s v="9:00 PM"/>
  </r>
  <r>
    <x v="0"/>
    <s v="9:00 PM"/>
  </r>
  <r>
    <x v="1"/>
    <s v="9:00 PM"/>
  </r>
  <r>
    <x v="0"/>
    <s v="9:00 PM"/>
  </r>
  <r>
    <x v="0"/>
    <s v="9:00 PM"/>
  </r>
  <r>
    <x v="0"/>
    <s v="9:00 PM"/>
  </r>
  <r>
    <x v="1"/>
    <s v="9:00 PM"/>
  </r>
  <r>
    <x v="1"/>
    <s v="11:00 PM"/>
  </r>
  <r>
    <x v="1"/>
    <s v="9:00 P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3F277-4436-4E8D-8E1E-1CFE780AC4C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Open Times">
  <location ref="A3:B9" firstHeaderRow="1" firstDataRow="1" firstDataCol="1"/>
  <pivotFields count="2">
    <pivotField axis="axisRow" dataField="1" showAll="0" sortType="ascending" defaultSubtotal="0">
      <items count="5">
        <item x="4"/>
        <item x="2"/>
        <item x="1"/>
        <item x="0"/>
        <item x="3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ores" fld="0" subtotal="count" baseField="0" baseItem="0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field="0" type="button" dataOnly="0" labelOnly="1" outline="0" axis="axisRow" fieldPosition="0"/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67DB9-35BD-4505-AE33-E5485B5BCCB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9"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hoe Sho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4043-5EA8-4259-8502-53E1C04E33BE}">
  <dimension ref="A1:N31"/>
  <sheetViews>
    <sheetView showGridLines="0" tabSelected="1" zoomScale="75" zoomScaleNormal="75" workbookViewId="0">
      <selection activeCell="R20" sqref="R20"/>
    </sheetView>
  </sheetViews>
  <sheetFormatPr defaultRowHeight="15" x14ac:dyDescent="0.25"/>
  <cols>
    <col min="1" max="1" width="17.140625" customWidth="1"/>
    <col min="2" max="2" width="16.28515625" customWidth="1"/>
    <col min="3" max="3" width="15.28515625" bestFit="1" customWidth="1"/>
    <col min="4" max="5" width="16.42578125" bestFit="1" customWidth="1"/>
    <col min="6" max="7" width="15" customWidth="1"/>
    <col min="8" max="8" width="15.42578125" customWidth="1"/>
    <col min="10" max="10" width="9.7109375" customWidth="1"/>
    <col min="11" max="11" width="10.42578125" bestFit="1" customWidth="1"/>
    <col min="12" max="12" width="9.7109375" customWidth="1"/>
    <col min="14" max="14" width="9.7109375" bestFit="1" customWidth="1"/>
  </cols>
  <sheetData>
    <row r="1" spans="1:14" ht="21" x14ac:dyDescent="0.35">
      <c r="A1" s="96" t="s">
        <v>272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4" ht="18.75" x14ac:dyDescent="0.3">
      <c r="A2" s="71">
        <v>75</v>
      </c>
      <c r="B2" s="59" t="str">
        <f>"Center Name:  "&amp;UPPER(VLOOKUP($A$2,'Store Database'!$A:$BX,6,FALSE))</f>
        <v>Center Name:  THE BRIDGES AT BROOKFIELD</v>
      </c>
      <c r="C2" s="59"/>
      <c r="D2" s="59"/>
      <c r="E2" s="59"/>
      <c r="F2" s="59" t="str">
        <f>"City, State:  "&amp;UPPER(CONCATENATE(VLOOKUP($A$2,'Store Database'!$A:$BX,9,FALSE),", ",VLOOKUP($A$2,'Store Database'!$A:$BX,10,FALSE)))</f>
        <v>City, State:  TAMPA,  FL</v>
      </c>
      <c r="G2" s="60"/>
      <c r="H2" s="59"/>
      <c r="I2" s="59" t="s">
        <v>217</v>
      </c>
      <c r="J2" s="59"/>
      <c r="K2" s="59" t="str">
        <f>VLOOKUP($A$2,'Store Database'!$A:$BX,12,FALSE)</f>
        <v>O</v>
      </c>
      <c r="L2" s="59"/>
      <c r="M2" s="59"/>
      <c r="N2" s="54"/>
    </row>
    <row r="3" spans="1:14" ht="18.75" customHeight="1" x14ac:dyDescent="0.3">
      <c r="A3" s="61" t="s">
        <v>236</v>
      </c>
      <c r="B3" s="62">
        <f>VLOOKUP($A$2,'Store Database'!$A:$BX,13,FALSE)</f>
        <v>46435</v>
      </c>
      <c r="C3" s="63" t="s">
        <v>270</v>
      </c>
      <c r="D3" s="62">
        <f>VLOOKUP($A$2,'Store Database'!$A:$BX,14,FALSE)</f>
        <v>37024</v>
      </c>
      <c r="E3" s="64"/>
      <c r="F3" s="64" t="str">
        <f>"Store Manager:  "&amp;UPPER(VLOOKUP($A$2,'Store Database'!$A:$BX,5,FALSE))</f>
        <v>Store Manager:  HOLLY BYRD</v>
      </c>
      <c r="G3" s="21"/>
      <c r="H3" s="64"/>
      <c r="I3" s="65" t="s">
        <v>271</v>
      </c>
      <c r="J3" s="66">
        <f>VLOOKUP($A$2,'Store Database'!$A:$BX,8,FALSE)</f>
        <v>8876</v>
      </c>
      <c r="K3" s="65" t="s">
        <v>282</v>
      </c>
      <c r="L3" s="65"/>
      <c r="M3" s="65"/>
      <c r="N3" s="34"/>
    </row>
    <row r="4" spans="1:14" ht="18.75" customHeight="1" x14ac:dyDescent="0.3">
      <c r="A4" s="67" t="str">
        <f>"Management Co:  "&amp;VLOOKUP($A$2,'Store Database'!$A:$BX,7,FALSE)</f>
        <v>Management Co:  THE OUTLET RESOURCE GROUP</v>
      </c>
      <c r="B4" s="59"/>
      <c r="C4" s="59"/>
      <c r="D4" s="59"/>
      <c r="E4" s="59"/>
      <c r="F4" s="59" t="str">
        <f>"Regional Manager:  "&amp;UPPER(VLOOKUP($A$2,'Store Database'!$A:$BX,4,FALSE))</f>
        <v>Regional Manager:  MICHAEL BROWN</v>
      </c>
      <c r="G4" s="60"/>
      <c r="H4" s="59"/>
      <c r="I4" s="59" t="s">
        <v>8</v>
      </c>
      <c r="J4" s="68" t="str">
        <f>UPPER(VLOOKUP($A$2,'Store Database'!$A:$BX,11,FALSE))</f>
        <v>OLD</v>
      </c>
      <c r="K4" s="79">
        <f>VLOOKUP(A2,'Store Database'!A:CD,82,FALSE)</f>
        <v>1.3</v>
      </c>
      <c r="L4" s="79"/>
      <c r="M4" s="79"/>
      <c r="N4" s="54"/>
    </row>
    <row r="5" spans="1:14" ht="21" x14ac:dyDescent="0.35">
      <c r="A5" s="101" t="s">
        <v>273</v>
      </c>
      <c r="B5" s="102"/>
      <c r="C5" s="102"/>
      <c r="D5" s="102"/>
      <c r="E5" s="103"/>
      <c r="F5" s="21"/>
      <c r="G5" s="21"/>
      <c r="H5" s="21"/>
      <c r="I5" s="21"/>
      <c r="J5" s="21"/>
      <c r="K5" s="21"/>
      <c r="L5" s="21"/>
      <c r="M5" s="21"/>
      <c r="N5" s="34"/>
    </row>
    <row r="6" spans="1:14" ht="18.75" x14ac:dyDescent="0.3">
      <c r="A6" s="22" t="s">
        <v>224</v>
      </c>
      <c r="B6" s="23" t="s">
        <v>225</v>
      </c>
      <c r="C6" s="25" t="s">
        <v>226</v>
      </c>
      <c r="D6" s="23" t="s">
        <v>227</v>
      </c>
      <c r="E6" s="24" t="s">
        <v>312</v>
      </c>
      <c r="F6" s="21"/>
      <c r="G6" s="21"/>
      <c r="H6" s="21"/>
      <c r="I6" s="21"/>
      <c r="J6" s="21"/>
      <c r="K6" s="21"/>
      <c r="L6" s="21"/>
      <c r="M6" s="21"/>
      <c r="N6" s="34"/>
    </row>
    <row r="7" spans="1:14" ht="18.75" x14ac:dyDescent="0.3">
      <c r="A7" s="28">
        <f>VLOOKUP($A$2,'Store Database'!$A:$CC,19,FALSE)</f>
        <v>1100787.3500000001</v>
      </c>
      <c r="B7" s="29">
        <f>VLOOKUP($A$2,'Store Database'!$A:$CC,20,FALSE)</f>
        <v>847126.82999999903</v>
      </c>
      <c r="C7" s="30">
        <f>VLOOKUP($A$2,'Store Database'!$A:$CC,21,FALSE)</f>
        <v>253660.52</v>
      </c>
      <c r="D7" s="32">
        <f>VLOOKUP($A$2,'Store Database'!$A:$CC,22,FALSE)</f>
        <v>29.943629574334299</v>
      </c>
      <c r="E7" s="52">
        <f>VLOOKUP($A$2,'Store Database'!$A:$DA,23,FALSE)</f>
        <v>1</v>
      </c>
      <c r="F7" s="21"/>
      <c r="G7" s="21"/>
      <c r="H7" s="21"/>
      <c r="I7" s="21"/>
      <c r="J7" s="21"/>
      <c r="K7" s="21"/>
      <c r="L7" s="21"/>
      <c r="M7" s="21"/>
      <c r="N7" s="34"/>
    </row>
    <row r="8" spans="1:14" ht="18.75" x14ac:dyDescent="0.3">
      <c r="A8" s="69" t="s">
        <v>34</v>
      </c>
      <c r="B8" s="26" t="s">
        <v>275</v>
      </c>
      <c r="C8" s="26" t="s">
        <v>276</v>
      </c>
      <c r="D8" s="26" t="s">
        <v>277</v>
      </c>
      <c r="E8" s="31"/>
      <c r="F8" s="21"/>
      <c r="G8" s="21"/>
      <c r="H8" s="21"/>
      <c r="I8" s="21"/>
      <c r="J8" s="21"/>
      <c r="K8" s="21"/>
      <c r="L8" s="21"/>
      <c r="M8" s="21"/>
      <c r="N8" s="34"/>
    </row>
    <row r="9" spans="1:14" ht="18.75" x14ac:dyDescent="0.3">
      <c r="A9" s="70">
        <f>VLOOKUP($A$2,'Store Database'!$A:$CC,44,FALSE)</f>
        <v>2.47486082</v>
      </c>
      <c r="B9" s="29">
        <f>VLOOKUP($A$2,'Store Database'!$A:$CC,78,FALSE)</f>
        <v>2303585.21</v>
      </c>
      <c r="C9" s="30">
        <f>VLOOKUP($A$2,'Store Database'!$A:$CC,79,FALSE)</f>
        <v>2186929.4900000002</v>
      </c>
      <c r="D9" s="32">
        <f>VLOOKUP($A$2,'Store Database'!$A:$CC,81,FALSE)</f>
        <v>5.3342241043171317</v>
      </c>
      <c r="E9" s="52">
        <f>VLOOKUP($A$2,'Store Database'!$A:$DA,84,FALSE)</f>
        <v>9</v>
      </c>
      <c r="F9" s="21"/>
      <c r="G9" s="21"/>
      <c r="H9" s="21"/>
      <c r="I9" s="21"/>
      <c r="J9" s="21"/>
      <c r="K9" s="21"/>
      <c r="L9" s="21"/>
      <c r="M9" s="21"/>
      <c r="N9" s="34"/>
    </row>
    <row r="10" spans="1:14" ht="21" x14ac:dyDescent="0.35">
      <c r="A10" s="96" t="s">
        <v>283</v>
      </c>
      <c r="B10" s="97"/>
      <c r="C10" s="97"/>
      <c r="D10" s="97"/>
      <c r="E10" s="95"/>
      <c r="F10" s="21"/>
      <c r="G10" s="21"/>
      <c r="H10" s="21"/>
      <c r="I10" s="21"/>
      <c r="J10" s="21"/>
      <c r="K10" s="21"/>
      <c r="L10" s="21"/>
      <c r="M10" s="21"/>
      <c r="N10" s="34"/>
    </row>
    <row r="11" spans="1:14" ht="18.75" customHeight="1" x14ac:dyDescent="0.3">
      <c r="A11" s="22" t="s">
        <v>224</v>
      </c>
      <c r="B11" s="23" t="s">
        <v>225</v>
      </c>
      <c r="C11" s="25" t="s">
        <v>226</v>
      </c>
      <c r="D11" s="23" t="s">
        <v>227</v>
      </c>
      <c r="E11" s="24" t="s">
        <v>312</v>
      </c>
      <c r="F11" s="21"/>
      <c r="G11" s="21"/>
      <c r="H11" s="21"/>
      <c r="I11" s="21"/>
      <c r="J11" s="21"/>
      <c r="K11" s="21"/>
      <c r="L11" s="21"/>
      <c r="M11" s="21"/>
      <c r="N11" s="34"/>
    </row>
    <row r="12" spans="1:14" ht="18.75" customHeight="1" x14ac:dyDescent="0.3">
      <c r="A12" s="98" t="s">
        <v>284</v>
      </c>
      <c r="B12" s="99"/>
      <c r="C12" s="99"/>
      <c r="D12" s="99"/>
      <c r="E12" s="100"/>
      <c r="F12" s="21"/>
      <c r="G12" s="21"/>
      <c r="H12" s="21"/>
      <c r="I12" s="21"/>
      <c r="J12" s="21"/>
      <c r="K12" s="21"/>
      <c r="L12" s="21"/>
      <c r="M12" s="21"/>
      <c r="N12" s="34"/>
    </row>
    <row r="13" spans="1:14" ht="18.75" customHeight="1" x14ac:dyDescent="0.3">
      <c r="A13" s="38">
        <f>VLOOKUP($A$2,'Store Database'!$A:$CC,24,FALSE)</f>
        <v>62550</v>
      </c>
      <c r="B13" s="39">
        <f>VLOOKUP($A$2,'Store Database'!$A:$CC,25,FALSE)</f>
        <v>46250</v>
      </c>
      <c r="C13" s="40">
        <f>VLOOKUP($A$2,'Store Database'!$A:$CC,26,FALSE)</f>
        <v>16300</v>
      </c>
      <c r="D13" s="41">
        <f>VLOOKUP($A$2,'Store Database'!$A:$CC,27,FALSE)</f>
        <v>35.243243243243199</v>
      </c>
      <c r="E13" s="53">
        <f>VLOOKUP($A$2,'Store Database'!$A:$DA,28,FALSE)</f>
        <v>1</v>
      </c>
      <c r="F13" s="21"/>
      <c r="G13" s="21"/>
      <c r="H13" s="21"/>
      <c r="I13" s="21"/>
      <c r="J13" s="21"/>
      <c r="K13" s="21"/>
      <c r="L13" s="21"/>
      <c r="M13" s="21"/>
      <c r="N13" s="34"/>
    </row>
    <row r="14" spans="1:14" ht="18.75" customHeight="1" x14ac:dyDescent="0.3">
      <c r="A14" s="98" t="s">
        <v>279</v>
      </c>
      <c r="B14" s="99"/>
      <c r="C14" s="99"/>
      <c r="D14" s="99"/>
      <c r="E14" s="100"/>
      <c r="F14" s="21"/>
      <c r="G14" s="21"/>
      <c r="H14" s="21"/>
      <c r="I14" s="21"/>
      <c r="J14" s="21"/>
      <c r="K14" s="21"/>
      <c r="L14" s="21"/>
      <c r="M14" s="21"/>
      <c r="N14" s="34"/>
    </row>
    <row r="15" spans="1:14" ht="18.75" x14ac:dyDescent="0.3">
      <c r="A15" s="42">
        <f>VLOOKUP($A$2,'Store Database'!$A:$CC,29,FALSE)</f>
        <v>22.1087130295763</v>
      </c>
      <c r="B15" s="43">
        <f>VLOOKUP($A$2,'Store Database'!$A:$CC,30,FALSE)</f>
        <v>24.704864864864899</v>
      </c>
      <c r="C15" s="44">
        <f>VLOOKUP($A$2,'Store Database'!$A:$CC,31,FALSE)</f>
        <v>-2.59615183528852</v>
      </c>
      <c r="D15" s="41">
        <f>VLOOKUP($A$2,'Store Database'!$A:$CC,32,FALSE)*100</f>
        <v>-10.508666408375101</v>
      </c>
      <c r="E15" s="53">
        <f>VLOOKUP($A$2,'Store Database'!$A:$DA,33,FALSE)</f>
        <v>7</v>
      </c>
      <c r="F15" s="21"/>
      <c r="G15" s="21"/>
      <c r="H15" s="21"/>
      <c r="I15" s="21"/>
      <c r="J15" s="21"/>
      <c r="K15" s="21"/>
      <c r="L15" s="21"/>
      <c r="M15" s="21"/>
      <c r="N15" s="34"/>
    </row>
    <row r="16" spans="1:14" ht="18.75" x14ac:dyDescent="0.3">
      <c r="A16" s="98" t="s">
        <v>281</v>
      </c>
      <c r="B16" s="99"/>
      <c r="C16" s="99"/>
      <c r="D16" s="99"/>
      <c r="E16" s="100"/>
      <c r="F16" s="21"/>
      <c r="G16" s="21"/>
      <c r="H16" s="21"/>
      <c r="I16" s="21"/>
      <c r="J16" s="21"/>
      <c r="K16" s="21"/>
      <c r="L16" s="21"/>
      <c r="M16" s="21"/>
      <c r="N16" s="34"/>
    </row>
    <row r="17" spans="1:14" ht="18.75" x14ac:dyDescent="0.3">
      <c r="A17" s="42">
        <f>VLOOKUP($A$2,'Store Database'!$A:$CC,39,FALSE)</f>
        <v>41.372095689104398</v>
      </c>
      <c r="B17" s="43">
        <f>VLOOKUP($A$2,'Store Database'!$A:$CC,40,FALSE)</f>
        <v>38.898284048121901</v>
      </c>
      <c r="C17" s="44">
        <f>VLOOKUP($A$2,'Store Database'!$A:$CC,41,FALSE)</f>
        <v>2.47381164098244</v>
      </c>
      <c r="D17" s="41">
        <f>VLOOKUP($A$2,'Store Database'!$A:$CC,42,FALSE)</f>
        <v>6.3596934968186103</v>
      </c>
      <c r="E17" s="53">
        <f>VLOOKUP($A$2,'Store Database'!$A:$DA,43,FALSE)</f>
        <v>15</v>
      </c>
      <c r="F17" s="21"/>
      <c r="G17" s="21"/>
      <c r="H17" s="21"/>
      <c r="I17" s="21"/>
      <c r="J17" s="21"/>
      <c r="K17" s="21"/>
      <c r="L17" s="21"/>
      <c r="M17" s="21"/>
      <c r="N17" s="34"/>
    </row>
    <row r="18" spans="1:14" ht="18.75" x14ac:dyDescent="0.3">
      <c r="A18" s="98" t="s">
        <v>285</v>
      </c>
      <c r="B18" s="99"/>
      <c r="C18" s="99"/>
      <c r="D18" s="99"/>
      <c r="E18" s="100"/>
      <c r="F18" s="21"/>
      <c r="G18" s="21"/>
      <c r="H18" s="21"/>
      <c r="I18" s="21"/>
      <c r="J18" s="21"/>
      <c r="K18" s="21"/>
      <c r="L18" s="21"/>
      <c r="M18" s="21"/>
      <c r="N18" s="34"/>
    </row>
    <row r="19" spans="1:14" ht="18.75" x14ac:dyDescent="0.3">
      <c r="A19" s="42">
        <f>VLOOKUP($A$2,'Store Database'!$A:$CC,34,FALSE)</f>
        <v>1.9240002892472301</v>
      </c>
      <c r="B19" s="43">
        <f>VLOOKUP($A$2,'Store Database'!$A:$CC,35,FALSE)</f>
        <v>1.9060038508664501</v>
      </c>
      <c r="C19" s="44">
        <f>VLOOKUP($A$2,'Store Database'!$A:$CC,36,FALSE)</f>
        <v>1.7996438380789102E-2</v>
      </c>
      <c r="D19" s="41">
        <f>VLOOKUP($A$2,'Store Database'!$A:$CC,37,FALSE)</f>
        <v>0.94419737780740498</v>
      </c>
      <c r="E19" s="53">
        <f>VLOOKUP($A$2,'Store Database'!$A:$DA,38,FALSE)</f>
        <v>3</v>
      </c>
      <c r="F19" s="21"/>
      <c r="G19" s="21"/>
      <c r="H19" s="21"/>
      <c r="I19" s="21"/>
      <c r="J19" s="21"/>
      <c r="K19" s="21"/>
      <c r="L19" s="21"/>
      <c r="M19" s="21"/>
      <c r="N19" s="34"/>
    </row>
    <row r="20" spans="1:14" ht="21" x14ac:dyDescent="0.35">
      <c r="A20" s="96" t="s">
        <v>313</v>
      </c>
      <c r="B20" s="97"/>
      <c r="C20" s="97"/>
      <c r="D20" s="97"/>
      <c r="E20" s="95"/>
      <c r="F20" s="21"/>
      <c r="G20" s="21"/>
      <c r="H20" s="21"/>
      <c r="I20" s="21"/>
      <c r="J20" s="21"/>
      <c r="K20" s="21"/>
      <c r="L20" s="21"/>
      <c r="M20" s="21"/>
      <c r="N20" s="34"/>
    </row>
    <row r="21" spans="1:14" ht="18.75" x14ac:dyDescent="0.3">
      <c r="A21" s="58" t="s">
        <v>286</v>
      </c>
      <c r="B21" s="73" t="s">
        <v>222</v>
      </c>
      <c r="C21" s="58" t="s">
        <v>287</v>
      </c>
      <c r="D21" s="73" t="s">
        <v>222</v>
      </c>
      <c r="E21" s="34"/>
      <c r="F21" s="21"/>
      <c r="G21" s="21"/>
      <c r="H21" s="21"/>
      <c r="I21" s="21"/>
      <c r="J21" s="21"/>
      <c r="K21" s="21"/>
      <c r="L21" s="21"/>
      <c r="M21" s="21"/>
      <c r="N21" s="34"/>
    </row>
    <row r="22" spans="1:14" ht="18.75" x14ac:dyDescent="0.3">
      <c r="A22" s="44">
        <f>VLOOKUP($A$2,'Store Database'!$A:$CC,64,FALSE)</f>
        <v>63.128208836502999</v>
      </c>
      <c r="B22" s="78">
        <f>VLOOKUP($A$2,'Store Database'!$A:$CC,65,FALSE)</f>
        <v>23</v>
      </c>
      <c r="C22" s="41">
        <f>VLOOKUP($A$2,'Store Database'!$A:$CC,66,FALSE)</f>
        <v>65.718536670750893</v>
      </c>
      <c r="D22" s="78">
        <f>VLOOKUP($A$2,'Store Database'!$A:$CG,85,FALSE)</f>
        <v>14</v>
      </c>
      <c r="E22" s="53"/>
      <c r="F22" s="21"/>
      <c r="G22" s="21"/>
      <c r="H22" s="21"/>
      <c r="I22" s="21"/>
      <c r="J22" s="21"/>
      <c r="K22" s="21"/>
      <c r="L22" s="21"/>
      <c r="M22" s="21"/>
      <c r="N22" s="34"/>
    </row>
    <row r="23" spans="1:14" ht="18.75" x14ac:dyDescent="0.3">
      <c r="A23" s="72" t="s">
        <v>310</v>
      </c>
      <c r="B23" s="73" t="s">
        <v>222</v>
      </c>
      <c r="C23" s="73" t="s">
        <v>48</v>
      </c>
      <c r="D23" s="73" t="s">
        <v>222</v>
      </c>
      <c r="E23" s="73"/>
      <c r="F23" s="21"/>
      <c r="G23" s="21"/>
      <c r="H23" s="21"/>
      <c r="I23" s="21"/>
      <c r="J23" s="21"/>
      <c r="K23" s="21"/>
      <c r="L23" s="21"/>
      <c r="M23" s="21"/>
      <c r="N23" s="34"/>
    </row>
    <row r="24" spans="1:14" ht="18.75" x14ac:dyDescent="0.3">
      <c r="A24" s="74">
        <f>VLOOKUP($A$2,'Store Database'!$A:$BX,56,FALSE)</f>
        <v>0.91044776119403004</v>
      </c>
      <c r="B24" s="75">
        <f>VLOOKUP($A$2,'Store Database'!$A:$BX,57,FALSE)</f>
        <v>38</v>
      </c>
      <c r="C24" s="74">
        <f>VLOOKUP($A2,'Store Database'!$A:$BX,58,FALSE)</f>
        <v>0.929824561403509</v>
      </c>
      <c r="D24" s="75">
        <f>VLOOKUP($A2,'Store Database'!$A:$BX,59,FALSE)</f>
        <v>26</v>
      </c>
      <c r="E24" s="53"/>
      <c r="F24" s="21"/>
      <c r="G24" s="21"/>
      <c r="H24" s="21"/>
      <c r="I24" s="21"/>
      <c r="J24" s="21"/>
      <c r="K24" s="21"/>
      <c r="L24" s="21"/>
      <c r="M24" s="21"/>
      <c r="N24" s="34"/>
    </row>
    <row r="25" spans="1:14" ht="18.75" x14ac:dyDescent="0.3">
      <c r="A25" s="57" t="s">
        <v>278</v>
      </c>
      <c r="B25" s="73" t="s">
        <v>222</v>
      </c>
      <c r="C25" s="58" t="s">
        <v>311</v>
      </c>
      <c r="D25" s="73" t="s">
        <v>222</v>
      </c>
      <c r="F25" s="21"/>
      <c r="G25" s="21"/>
      <c r="H25" s="21"/>
      <c r="I25" s="21"/>
      <c r="J25" s="21"/>
      <c r="K25" s="21"/>
      <c r="L25" s="21"/>
      <c r="M25" s="21"/>
      <c r="N25" s="34"/>
    </row>
    <row r="26" spans="1:14" ht="18.75" x14ac:dyDescent="0.3">
      <c r="A26" s="77">
        <f>VLOOKUP($A$2,'Store Database'!$A:$BX,67,FALSE)*100</f>
        <v>92.81</v>
      </c>
      <c r="B26" s="75">
        <f>VLOOKUP($A$2,'Store Database'!$A:$BX,68,FALSE)</f>
        <v>9</v>
      </c>
      <c r="C26" s="45">
        <f>VLOOKUP($A$2,'Store Database'!$A:$CC,60,FALSE)</f>
        <v>1.7359265620194499</v>
      </c>
      <c r="D26" s="75">
        <f>VLOOKUP($A$2,'Store Database'!$A:$BX,61,FALSE)</f>
        <v>30</v>
      </c>
      <c r="E26" s="53"/>
      <c r="F26" s="21"/>
      <c r="G26" s="21"/>
      <c r="H26" s="21"/>
      <c r="I26" s="21"/>
      <c r="J26" s="21"/>
      <c r="K26" s="21"/>
      <c r="L26" s="21"/>
      <c r="M26" s="21"/>
      <c r="N26" s="34"/>
    </row>
    <row r="27" spans="1:14" ht="21" x14ac:dyDescent="0.35">
      <c r="A27" s="93" t="s">
        <v>288</v>
      </c>
      <c r="B27" s="94"/>
      <c r="C27" s="94"/>
      <c r="D27" s="94"/>
      <c r="E27" s="95"/>
      <c r="F27" s="21"/>
      <c r="G27" s="21"/>
      <c r="H27" s="21"/>
      <c r="I27" s="21"/>
      <c r="J27" s="21"/>
      <c r="K27" s="21"/>
      <c r="L27" s="21"/>
      <c r="M27" s="21"/>
      <c r="N27" s="34"/>
    </row>
    <row r="28" spans="1:14" ht="18.75" x14ac:dyDescent="0.3">
      <c r="A28" s="33"/>
      <c r="B28" s="48" t="s">
        <v>224</v>
      </c>
      <c r="C28" s="48" t="s">
        <v>225</v>
      </c>
      <c r="D28" s="48" t="s">
        <v>289</v>
      </c>
      <c r="E28" s="34"/>
      <c r="F28" s="21"/>
      <c r="G28" s="21"/>
      <c r="H28" s="21"/>
      <c r="I28" s="21"/>
      <c r="J28" s="21"/>
      <c r="K28" s="21"/>
      <c r="L28" s="21"/>
      <c r="M28" s="21"/>
      <c r="N28" s="34"/>
    </row>
    <row r="29" spans="1:14" ht="18.75" x14ac:dyDescent="0.3">
      <c r="A29" s="37" t="s">
        <v>288</v>
      </c>
      <c r="B29" s="46">
        <f>VLOOKUP($A$2,'Store Database'!$A:$CC,69,FALSE)*100</f>
        <v>-6.7577270128418604E-2</v>
      </c>
      <c r="C29" s="46">
        <f>VLOOKUP($A$2,'Store Database'!$A:$CC,71,FALSE)*100</f>
        <v>-0.15124337061545001</v>
      </c>
      <c r="D29" s="46">
        <f>('Store Database'!BV43/'Store Database'!S43)*100</f>
        <v>-0.65995955370828974</v>
      </c>
      <c r="E29" s="49"/>
      <c r="F29" s="21"/>
      <c r="G29" s="21"/>
      <c r="H29" s="21"/>
      <c r="I29" s="21"/>
      <c r="J29" s="21"/>
      <c r="K29" s="21"/>
      <c r="L29" s="21"/>
      <c r="M29" s="21"/>
      <c r="N29" s="34"/>
    </row>
    <row r="30" spans="1:14" ht="18.75" x14ac:dyDescent="0.3">
      <c r="A30" s="57" t="s">
        <v>291</v>
      </c>
      <c r="B30" s="47">
        <f>VLOOKUP($A$2,'Store Database'!$A:$CC,74,FALSE)</f>
        <v>-1208.72</v>
      </c>
      <c r="C30" s="47">
        <f>VLOOKUP($A$2,'Store Database'!$A:$CE,83,FALSE)</f>
        <v>-1671.66</v>
      </c>
      <c r="D30" s="47">
        <f>'Store Database'!BV43</f>
        <v>-248788.9899999999</v>
      </c>
      <c r="E30" s="34"/>
      <c r="F30" s="21"/>
      <c r="G30" s="21"/>
      <c r="H30" s="21"/>
      <c r="I30" s="21"/>
      <c r="J30" s="21"/>
      <c r="K30" s="21"/>
      <c r="L30" s="21"/>
      <c r="M30" s="21"/>
      <c r="N30" s="34"/>
    </row>
    <row r="31" spans="1:14" ht="18.75" x14ac:dyDescent="0.3">
      <c r="A31" s="50" t="s">
        <v>290</v>
      </c>
      <c r="B31" s="51">
        <f>VLOOKUP($A$2,'Store Database'!$A:$CC,71,FALSE)*100</f>
        <v>-0.15124337061545001</v>
      </c>
      <c r="C31" s="51">
        <f>VLOOKUP($A$2,'Store Database'!$A:$CE,72,FALSE)*100</f>
        <v>-0.10980504091003601</v>
      </c>
      <c r="D31" s="51">
        <v>-0.86</v>
      </c>
      <c r="E31" s="56"/>
      <c r="F31" s="35"/>
      <c r="G31" s="35"/>
      <c r="H31" s="35"/>
      <c r="I31" s="35"/>
      <c r="J31" s="35"/>
      <c r="K31" s="35"/>
      <c r="L31" s="35"/>
      <c r="M31" s="35"/>
      <c r="N31" s="36"/>
    </row>
  </sheetData>
  <mergeCells count="9">
    <mergeCell ref="A27:E27"/>
    <mergeCell ref="A20:E20"/>
    <mergeCell ref="A1:N1"/>
    <mergeCell ref="A12:E12"/>
    <mergeCell ref="A14:E14"/>
    <mergeCell ref="A16:E16"/>
    <mergeCell ref="A18:E18"/>
    <mergeCell ref="A5:E5"/>
    <mergeCell ref="A10:E10"/>
  </mergeCells>
  <printOptions horizontalCentered="1" verticalCentered="1"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9C3A-A5E4-4A85-A56A-DC19ED24D77E}">
  <dimension ref="A1:D9"/>
  <sheetViews>
    <sheetView workbookViewId="0">
      <selection activeCell="F1" sqref="F1"/>
    </sheetView>
  </sheetViews>
  <sheetFormatPr defaultRowHeight="15" x14ac:dyDescent="0.25"/>
  <cols>
    <col min="1" max="1" width="13.85546875" bestFit="1" customWidth="1"/>
    <col min="2" max="2" width="6.5703125" bestFit="1" customWidth="1"/>
    <col min="3" max="3" width="9" bestFit="1" customWidth="1"/>
    <col min="4" max="4" width="8" bestFit="1" customWidth="1"/>
    <col min="5" max="6" width="11.28515625" bestFit="1" customWidth="1"/>
  </cols>
  <sheetData>
    <row r="1" spans="1:4" ht="15" customHeight="1" x14ac:dyDescent="0.25">
      <c r="A1" s="104" t="s">
        <v>346</v>
      </c>
      <c r="B1" s="104"/>
      <c r="C1" s="104"/>
      <c r="D1" s="104"/>
    </row>
    <row r="2" spans="1:4" ht="24" customHeight="1" x14ac:dyDescent="0.25">
      <c r="A2" s="104"/>
      <c r="B2" s="104"/>
      <c r="C2" s="104"/>
      <c r="D2" s="104"/>
    </row>
    <row r="3" spans="1:4" x14ac:dyDescent="0.25">
      <c r="A3" s="86" t="s">
        <v>344</v>
      </c>
      <c r="B3" t="s">
        <v>345</v>
      </c>
    </row>
    <row r="4" spans="1:4" x14ac:dyDescent="0.25">
      <c r="A4" s="85" t="s">
        <v>330</v>
      </c>
      <c r="B4" s="84">
        <v>2</v>
      </c>
    </row>
    <row r="5" spans="1:4" x14ac:dyDescent="0.25">
      <c r="A5" s="85" t="s">
        <v>340</v>
      </c>
      <c r="B5" s="84">
        <v>3</v>
      </c>
    </row>
    <row r="6" spans="1:4" x14ac:dyDescent="0.25">
      <c r="A6" s="85" t="s">
        <v>337</v>
      </c>
      <c r="B6" s="84">
        <v>12</v>
      </c>
    </row>
    <row r="7" spans="1:4" x14ac:dyDescent="0.25">
      <c r="A7" s="85" t="s">
        <v>333</v>
      </c>
      <c r="B7" s="84">
        <v>21</v>
      </c>
    </row>
    <row r="8" spans="1:4" x14ac:dyDescent="0.25">
      <c r="A8" s="85" t="s">
        <v>334</v>
      </c>
      <c r="B8" s="84">
        <v>2</v>
      </c>
    </row>
    <row r="9" spans="1:4" x14ac:dyDescent="0.25">
      <c r="A9" s="55" t="s">
        <v>343</v>
      </c>
      <c r="B9" s="84">
        <v>40</v>
      </c>
    </row>
  </sheetData>
  <mergeCells count="1">
    <mergeCell ref="A1:D2"/>
  </mergeCells>
  <pageMargins left="0.7" right="0.7" top="0.75" bottom="0.75" header="0.3" footer="0.3"/>
  <pageSetup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760C-BD37-4C7F-B268-E22F27C16FEF}">
  <dimension ref="A1:CG43"/>
  <sheetViews>
    <sheetView topLeftCell="BV7" workbookViewId="0">
      <selection activeCell="BY3" sqref="BY3:BY43"/>
    </sheetView>
  </sheetViews>
  <sheetFormatPr defaultRowHeight="15" x14ac:dyDescent="0.25"/>
  <cols>
    <col min="4" max="4" width="17" bestFit="1" customWidth="1"/>
    <col min="5" max="5" width="19" bestFit="1" customWidth="1"/>
    <col min="6" max="6" width="31.5703125" bestFit="1" customWidth="1"/>
    <col min="7" max="7" width="31.5703125" customWidth="1"/>
    <col min="8" max="8" width="26.7109375" bestFit="1" customWidth="1"/>
    <col min="9" max="9" width="14" bestFit="1" customWidth="1"/>
    <col min="11" max="11" width="11.7109375" bestFit="1" customWidth="1"/>
    <col min="12" max="12" width="11.7109375" customWidth="1"/>
    <col min="13" max="13" width="19" bestFit="1" customWidth="1"/>
    <col min="14" max="14" width="12.28515625" bestFit="1" customWidth="1"/>
    <col min="15" max="15" width="12.28515625" customWidth="1"/>
    <col min="16" max="16" width="9.42578125" bestFit="1" customWidth="1"/>
    <col min="17" max="17" width="14.28515625" bestFit="1" customWidth="1"/>
    <col min="18" max="18" width="9.42578125" bestFit="1" customWidth="1"/>
    <col min="19" max="20" width="9.85546875" bestFit="1" customWidth="1"/>
    <col min="21" max="22" width="9.42578125" bestFit="1" customWidth="1"/>
    <col min="24" max="27" width="9.42578125" bestFit="1" customWidth="1"/>
    <col min="28" max="28" width="9.42578125" customWidth="1"/>
    <col min="29" max="32" width="9.42578125" bestFit="1" customWidth="1"/>
    <col min="33" max="33" width="9.42578125" customWidth="1"/>
    <col min="34" max="37" width="9.42578125" bestFit="1" customWidth="1"/>
    <col min="38" max="38" width="9.42578125" customWidth="1"/>
    <col min="39" max="42" width="9.42578125" bestFit="1" customWidth="1"/>
    <col min="43" max="43" width="9.42578125" customWidth="1"/>
    <col min="44" max="45" width="9.42578125" bestFit="1" customWidth="1"/>
    <col min="46" max="46" width="4.42578125" bestFit="1" customWidth="1"/>
    <col min="47" max="56" width="9.42578125" bestFit="1" customWidth="1"/>
    <col min="57" max="57" width="9.42578125" customWidth="1"/>
    <col min="58" max="58" width="9.42578125" bestFit="1" customWidth="1"/>
    <col min="59" max="59" width="9.42578125" customWidth="1"/>
    <col min="60" max="60" width="9.42578125" bestFit="1" customWidth="1"/>
    <col min="61" max="61" width="9.42578125" customWidth="1"/>
    <col min="62" max="62" width="9.42578125" bestFit="1" customWidth="1"/>
    <col min="63" max="63" width="9.42578125" customWidth="1"/>
    <col min="64" max="64" width="9.42578125" bestFit="1" customWidth="1"/>
    <col min="65" max="65" width="9.42578125" customWidth="1"/>
    <col min="66" max="67" width="9.42578125" bestFit="1" customWidth="1"/>
    <col min="68" max="68" width="9.42578125" customWidth="1"/>
    <col min="69" max="69" width="11.5703125" bestFit="1" customWidth="1"/>
    <col min="70" max="70" width="11.5703125" customWidth="1"/>
    <col min="71" max="73" width="9.42578125" bestFit="1" customWidth="1"/>
    <col min="74" max="74" width="13.42578125" bestFit="1" customWidth="1"/>
    <col min="75" max="75" width="13.42578125" customWidth="1"/>
    <col min="76" max="76" width="9.42578125" bestFit="1" customWidth="1"/>
    <col min="77" max="77" width="9.42578125" customWidth="1"/>
    <col min="78" max="78" width="14.28515625" bestFit="1" customWidth="1"/>
    <col min="79" max="79" width="10.5703125" bestFit="1" customWidth="1"/>
  </cols>
  <sheetData>
    <row r="1" spans="1:85" x14ac:dyDescent="0.25">
      <c r="A1">
        <v>1</v>
      </c>
      <c r="B1">
        <v>3</v>
      </c>
      <c r="C1">
        <v>2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</row>
    <row r="2" spans="1:85" x14ac:dyDescent="0.25"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237</v>
      </c>
      <c r="H2" t="s">
        <v>5</v>
      </c>
      <c r="I2" t="s">
        <v>6</v>
      </c>
      <c r="J2" t="s">
        <v>7</v>
      </c>
      <c r="K2" t="s">
        <v>8</v>
      </c>
      <c r="L2" t="s">
        <v>217</v>
      </c>
      <c r="M2" t="s">
        <v>9</v>
      </c>
      <c r="N2" t="s">
        <v>210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215</v>
      </c>
      <c r="X2" t="s">
        <v>18</v>
      </c>
      <c r="Y2" t="s">
        <v>19</v>
      </c>
      <c r="Z2" t="s">
        <v>20</v>
      </c>
      <c r="AA2" t="s">
        <v>21</v>
      </c>
      <c r="AB2" t="s">
        <v>216</v>
      </c>
      <c r="AC2" t="s">
        <v>22</v>
      </c>
      <c r="AD2" t="s">
        <v>23</v>
      </c>
      <c r="AE2" t="s">
        <v>24</v>
      </c>
      <c r="AF2" t="s">
        <v>25</v>
      </c>
      <c r="AG2" t="s">
        <v>221</v>
      </c>
      <c r="AH2" t="s">
        <v>26</v>
      </c>
      <c r="AI2" t="s">
        <v>27</v>
      </c>
      <c r="AJ2" t="s">
        <v>28</v>
      </c>
      <c r="AK2" t="s">
        <v>29</v>
      </c>
      <c r="AL2" t="s">
        <v>222</v>
      </c>
      <c r="AM2" t="s">
        <v>30</v>
      </c>
      <c r="AN2" t="s">
        <v>31</v>
      </c>
      <c r="AO2" t="s">
        <v>32</v>
      </c>
      <c r="AP2" t="s">
        <v>33</v>
      </c>
      <c r="AQ2" t="s">
        <v>222</v>
      </c>
      <c r="AR2" t="s">
        <v>34</v>
      </c>
      <c r="AS2" t="s">
        <v>35</v>
      </c>
      <c r="AT2" t="s">
        <v>36</v>
      </c>
      <c r="AU2" t="s">
        <v>37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 t="s">
        <v>43</v>
      </c>
      <c r="BB2" t="s">
        <v>44</v>
      </c>
      <c r="BC2" t="s">
        <v>45</v>
      </c>
      <c r="BD2" t="s">
        <v>46</v>
      </c>
      <c r="BF2" t="s">
        <v>47</v>
      </c>
      <c r="BH2" t="s">
        <v>48</v>
      </c>
      <c r="BJ2" t="s">
        <v>49</v>
      </c>
      <c r="BL2" t="s">
        <v>50</v>
      </c>
      <c r="BN2" t="s">
        <v>51</v>
      </c>
      <c r="BO2" t="s">
        <v>52</v>
      </c>
      <c r="BQ2" t="s">
        <v>53</v>
      </c>
      <c r="BS2" t="s">
        <v>54</v>
      </c>
      <c r="BT2" t="s">
        <v>55</v>
      </c>
      <c r="BU2" t="s">
        <v>56</v>
      </c>
      <c r="BV2" t="s">
        <v>57</v>
      </c>
      <c r="BX2" t="s">
        <v>223</v>
      </c>
      <c r="BY2" t="s">
        <v>231</v>
      </c>
      <c r="BZ2" s="105" t="s">
        <v>274</v>
      </c>
      <c r="CA2" s="105"/>
      <c r="CB2" s="105"/>
      <c r="CC2" s="105"/>
      <c r="CD2" t="s">
        <v>280</v>
      </c>
      <c r="CE2" t="s">
        <v>292</v>
      </c>
      <c r="CF2" t="s">
        <v>315</v>
      </c>
      <c r="CG2" t="s">
        <v>314</v>
      </c>
    </row>
    <row r="3" spans="1:85" x14ac:dyDescent="0.25">
      <c r="A3">
        <v>23</v>
      </c>
      <c r="B3">
        <v>4</v>
      </c>
      <c r="C3" t="s">
        <v>61</v>
      </c>
      <c r="D3" t="s">
        <v>235</v>
      </c>
      <c r="E3" t="s">
        <v>69</v>
      </c>
      <c r="F3" t="s">
        <v>109</v>
      </c>
      <c r="G3" t="s">
        <v>238</v>
      </c>
      <c r="H3" s="1">
        <v>5678</v>
      </c>
      <c r="I3" t="s">
        <v>149</v>
      </c>
      <c r="J3" t="s">
        <v>198</v>
      </c>
      <c r="K3" t="s">
        <v>212</v>
      </c>
      <c r="L3" t="s">
        <v>220</v>
      </c>
      <c r="M3" s="2">
        <v>45909</v>
      </c>
      <c r="N3" s="2">
        <v>37952</v>
      </c>
      <c r="O3" s="2">
        <v>45106</v>
      </c>
      <c r="P3" s="3">
        <v>88.02</v>
      </c>
      <c r="Q3" s="4">
        <v>45106</v>
      </c>
      <c r="R3" s="3">
        <v>99.03</v>
      </c>
      <c r="S3" s="5">
        <v>749544.91</v>
      </c>
      <c r="T3" s="5">
        <v>710565.56</v>
      </c>
      <c r="U3" s="5">
        <v>38979.35</v>
      </c>
      <c r="V3" s="6">
        <v>5.4856796042859797</v>
      </c>
      <c r="W3">
        <f t="shared" ref="W3:W42" si="0">RANK(V3,$V$3:$V$42,0)</f>
        <v>8</v>
      </c>
      <c r="X3" s="7">
        <v>24855</v>
      </c>
      <c r="Y3" s="7">
        <v>30594</v>
      </c>
      <c r="Z3" s="7">
        <v>-5739</v>
      </c>
      <c r="AA3" s="7">
        <v>-18.758580113747801</v>
      </c>
      <c r="AB3">
        <f t="shared" ref="AB3:AB42" si="1">RANK(AA3,$AA$3:$AA$42,0)</f>
        <v>39</v>
      </c>
      <c r="AC3" s="6">
        <v>42.675518004425697</v>
      </c>
      <c r="AD3" s="6">
        <v>33.853043080342601</v>
      </c>
      <c r="AE3" s="7">
        <v>8.8224749240831208</v>
      </c>
      <c r="AF3" s="8">
        <v>0.26061098564004898</v>
      </c>
      <c r="AG3" s="15">
        <f>RANK($AF3,$AF$3:$AF$3,0)</f>
        <v>1</v>
      </c>
      <c r="AH3" s="6">
        <v>1.6378806448571701</v>
      </c>
      <c r="AI3" s="6">
        <v>1.69682340446075</v>
      </c>
      <c r="AJ3" s="6">
        <v>-5.8942759603581203E-2</v>
      </c>
      <c r="AK3" s="9">
        <v>-3.47371208156533</v>
      </c>
      <c r="AL3" s="15">
        <f>RANK($AK3,$AK$3:$AK$42,0)</f>
        <v>25</v>
      </c>
      <c r="AM3" s="6">
        <v>43.144241639325401</v>
      </c>
      <c r="AN3" s="9">
        <v>40.432773415272599</v>
      </c>
      <c r="AO3" s="6">
        <v>2.7114682240528598</v>
      </c>
      <c r="AP3" s="6">
        <v>6.70611485441328</v>
      </c>
      <c r="AQ3" s="15">
        <f>RANK($AP3,$AP$3:$AP$42,0)</f>
        <v>14</v>
      </c>
      <c r="AR3" s="10">
        <v>1.56980673</v>
      </c>
      <c r="AS3" s="10">
        <v>44.108672697934502</v>
      </c>
      <c r="AT3" s="10">
        <v>10.4595453200377</v>
      </c>
      <c r="AU3" s="10">
        <v>9.0315024632694598</v>
      </c>
      <c r="AV3" s="10">
        <v>1.5486987352983199</v>
      </c>
      <c r="AW3" s="10">
        <v>1.6646499085820501</v>
      </c>
      <c r="AX3" s="10">
        <v>108826.15</v>
      </c>
      <c r="AY3" s="10">
        <v>102973.45</v>
      </c>
      <c r="AZ3" s="10">
        <v>315675.36</v>
      </c>
      <c r="BA3" s="10">
        <v>302405.59999999998</v>
      </c>
      <c r="BB3" s="10">
        <v>57874.555952705603</v>
      </c>
      <c r="BC3" s="10">
        <v>9.6349160303684194</v>
      </c>
      <c r="BD3" s="11">
        <v>0.99199999999999999</v>
      </c>
      <c r="BE3" s="15">
        <f>RANK($BD3,$BD$3:$BD$42,0)</f>
        <v>3</v>
      </c>
      <c r="BF3" s="11">
        <v>0.97217068645640103</v>
      </c>
      <c r="BG3" s="15">
        <f>RANK($BF3,$BF$3:$BF$42,0)</f>
        <v>9</v>
      </c>
      <c r="BH3" s="12">
        <v>2.8811815959099798</v>
      </c>
      <c r="BI3" s="15">
        <f>RANK($BH3,$BH$3:$BH$42,0)</f>
        <v>8</v>
      </c>
      <c r="BJ3" s="9">
        <v>3.13582746678575</v>
      </c>
      <c r="BK3" s="76">
        <f>RANK($BJ3,$BJ$3:$BJ$42,0)</f>
        <v>8</v>
      </c>
      <c r="BL3" s="13">
        <v>63.2412557744886</v>
      </c>
      <c r="BM3" s="15">
        <f>RANK($BL3,$BL$3:$BL$42,0)</f>
        <v>22</v>
      </c>
      <c r="BN3" s="13">
        <v>59.418750603456601</v>
      </c>
      <c r="BO3" s="14">
        <v>0.96079999999999999</v>
      </c>
      <c r="BP3" s="15">
        <f>RANK($BO3,$BO$3:$BO$42,0)</f>
        <v>7</v>
      </c>
      <c r="BQ3" s="8">
        <v>-2.0852505954548702E-3</v>
      </c>
      <c r="BR3" s="15">
        <f>RANK($BQ3,$BQ$3:$BQ$42,0)</f>
        <v>3</v>
      </c>
      <c r="BS3" s="8">
        <v>-5.7839588300616302E-3</v>
      </c>
      <c r="BT3" s="8">
        <v>-2.8745042108284098E-3</v>
      </c>
      <c r="BU3" s="8">
        <v>-2.0852505954548702E-3</v>
      </c>
      <c r="BV3" s="6">
        <v>-2154.5700000000002</v>
      </c>
      <c r="BW3" s="15">
        <f>RANK($BV3,$BV$3:$BV$42,0)</f>
        <v>6</v>
      </c>
      <c r="BX3" s="7">
        <v>3023.43</v>
      </c>
      <c r="BY3">
        <v>18</v>
      </c>
      <c r="BZ3" s="18">
        <v>1532089.24</v>
      </c>
      <c r="CA3" s="18">
        <v>1534521.07</v>
      </c>
      <c r="CB3" s="19">
        <f>BZ3-CA3</f>
        <v>-2431.8300000000745</v>
      </c>
      <c r="CC3" s="20">
        <f>CB3/CA3*100</f>
        <v>-0.15847485235247205</v>
      </c>
      <c r="CD3" s="27">
        <v>2</v>
      </c>
      <c r="CE3" s="16">
        <v>-1961.16</v>
      </c>
      <c r="CF3">
        <f>RANK(CC3,CC3:CC42)</f>
        <v>22</v>
      </c>
      <c r="CG3" s="16">
        <f>RANK($BN3,$BN$3:$BN$42,0)</f>
        <v>23</v>
      </c>
    </row>
    <row r="4" spans="1:85" x14ac:dyDescent="0.25">
      <c r="A4">
        <v>20</v>
      </c>
      <c r="B4">
        <v>2</v>
      </c>
      <c r="C4" t="s">
        <v>59</v>
      </c>
      <c r="D4" t="s">
        <v>233</v>
      </c>
      <c r="E4" t="s">
        <v>67</v>
      </c>
      <c r="F4" t="s">
        <v>107</v>
      </c>
      <c r="G4" t="s">
        <v>239</v>
      </c>
      <c r="H4" s="1">
        <v>9231</v>
      </c>
      <c r="I4" t="s">
        <v>147</v>
      </c>
      <c r="J4" t="s">
        <v>183</v>
      </c>
      <c r="K4" t="s">
        <v>214</v>
      </c>
      <c r="L4" t="s">
        <v>219</v>
      </c>
      <c r="M4" s="2">
        <v>46039</v>
      </c>
      <c r="N4" s="2">
        <v>45084</v>
      </c>
      <c r="O4" s="2">
        <v>44967</v>
      </c>
      <c r="P4" s="3">
        <v>79.31</v>
      </c>
      <c r="Q4" s="4">
        <v>44967</v>
      </c>
      <c r="R4" s="3">
        <v>81.61</v>
      </c>
      <c r="S4" s="5">
        <v>776934.71</v>
      </c>
      <c r="T4" s="5">
        <v>708020.49</v>
      </c>
      <c r="U4" s="5">
        <v>68914.22</v>
      </c>
      <c r="V4" s="6">
        <v>9.7333652024675494</v>
      </c>
      <c r="W4">
        <f t="shared" si="0"/>
        <v>5</v>
      </c>
      <c r="X4" s="7">
        <v>66451</v>
      </c>
      <c r="Y4" s="7">
        <v>67405</v>
      </c>
      <c r="Z4" s="7">
        <v>-954</v>
      </c>
      <c r="AA4" s="7">
        <v>-1.41532527260589</v>
      </c>
      <c r="AB4">
        <f t="shared" si="1"/>
        <v>11</v>
      </c>
      <c r="AC4" s="6">
        <v>17.299965388030301</v>
      </c>
      <c r="AD4" s="6">
        <v>15.711000667606299</v>
      </c>
      <c r="AE4" s="7">
        <v>1.58896472042401</v>
      </c>
      <c r="AF4" s="8">
        <v>0.10113707930139799</v>
      </c>
      <c r="AG4" s="15">
        <f>RANK($AF4,$AF$4:$AF$9,0)</f>
        <v>1</v>
      </c>
      <c r="AH4" s="6">
        <v>1.6484864300626301</v>
      </c>
      <c r="AI4" s="6">
        <v>1.6058545797922601</v>
      </c>
      <c r="AJ4" s="6">
        <v>4.2631850270373799E-2</v>
      </c>
      <c r="AK4" s="9">
        <v>2.6547765163075301</v>
      </c>
      <c r="AL4" s="15">
        <f t="shared" ref="AL4:AL42" si="2">RANK($AK4,$AK$3:$AK$42,0)</f>
        <v>2</v>
      </c>
      <c r="AM4" s="6">
        <v>40.997029708194802</v>
      </c>
      <c r="AN4" s="9">
        <v>41.633569916500001</v>
      </c>
      <c r="AO4" s="6">
        <v>-0.63654020830522695</v>
      </c>
      <c r="AP4" s="6">
        <v>-1.52891094754033</v>
      </c>
      <c r="AQ4" s="15">
        <f t="shared" ref="AQ4:AQ42" si="3">RANK($AP4,$AP$3:$AP$42,0)</f>
        <v>40</v>
      </c>
      <c r="AR4" s="10">
        <v>1.8343433099999999</v>
      </c>
      <c r="AS4" s="10">
        <v>43.590088439090898</v>
      </c>
      <c r="AT4" s="10">
        <v>10.8019221093731</v>
      </c>
      <c r="AU4" s="10">
        <v>22.157861011659499</v>
      </c>
      <c r="AV4" s="10">
        <v>1.53799444839925</v>
      </c>
      <c r="AW4" s="10">
        <v>-0.49927356546315899</v>
      </c>
      <c r="AX4" s="10">
        <v>26838.21</v>
      </c>
      <c r="AY4" s="10">
        <v>24564.11</v>
      </c>
      <c r="AZ4" s="10">
        <v>285863.86</v>
      </c>
      <c r="BA4" s="10">
        <v>281365.21000000002</v>
      </c>
      <c r="BB4" s="10">
        <v>-21274.157085959101</v>
      </c>
      <c r="BC4" s="10">
        <v>-3.4845790801495098</v>
      </c>
      <c r="BD4" s="11">
        <v>0.96992481203007497</v>
      </c>
      <c r="BE4" s="15">
        <f t="shared" ref="BE4:BE42" si="4">RANK($BD4,$BD$3:$BD$42,0)</f>
        <v>19</v>
      </c>
      <c r="BF4" s="11">
        <v>0.91534988713318299</v>
      </c>
      <c r="BG4" s="15">
        <f t="shared" ref="BG4:BG42" si="5">RANK($BF4,$BF$3:$BF$42,0)</f>
        <v>30</v>
      </c>
      <c r="BH4" s="12">
        <v>2.4367581672338998</v>
      </c>
      <c r="BI4" s="15">
        <f t="shared" ref="BI4:BI42" si="6">RANK($BH4,$BH$3:$BH$42,0)</f>
        <v>17</v>
      </c>
      <c r="BJ4" s="9">
        <v>1.95555074966827</v>
      </c>
      <c r="BK4" s="76">
        <f t="shared" ref="BK4:BK42" si="7">RANK($BJ4,$BJ$3:$BJ$42,0)</f>
        <v>27</v>
      </c>
      <c r="BL4" s="13">
        <v>57.854906054279802</v>
      </c>
      <c r="BM4" s="15">
        <f t="shared" ref="BM4:BM42" si="8">RANK($BL4,$BL$3:$BL$42,0)</f>
        <v>26</v>
      </c>
      <c r="BN4" s="13">
        <v>59.641170915958497</v>
      </c>
      <c r="BO4" s="14">
        <v>0.83120000000000005</v>
      </c>
      <c r="BP4" s="15">
        <f t="shared" ref="BP4:BP42" si="9">RANK($BO4,$BO$3:$BO$42,0)</f>
        <v>24</v>
      </c>
      <c r="BQ4" s="8">
        <v>-8.6175771182538507E-3</v>
      </c>
      <c r="BR4" s="15">
        <f t="shared" ref="BR4:BR42" si="10">RANK($BQ4,$BQ$3:$BQ$42,0)</f>
        <v>34</v>
      </c>
      <c r="BS4" s="8">
        <v>-2.84233742544714E-2</v>
      </c>
      <c r="BT4" s="8">
        <v>-1.5417009751051E-2</v>
      </c>
      <c r="BU4" s="8">
        <v>-8.6175771182538507E-3</v>
      </c>
      <c r="BV4" s="6">
        <v>-11978.01</v>
      </c>
      <c r="BW4" s="15">
        <f t="shared" ref="BW4:BW42" si="11">RANK($BV4,$BV$3:$BV$42,0)</f>
        <v>37</v>
      </c>
      <c r="BX4" s="7">
        <v>3241.39</v>
      </c>
      <c r="BY4">
        <v>15</v>
      </c>
      <c r="BZ4" s="18">
        <v>1778707.61</v>
      </c>
      <c r="CA4" s="18">
        <v>1886128.15</v>
      </c>
      <c r="CB4" s="19">
        <f t="shared" ref="CB4:CB42" si="12">BZ4-CA4</f>
        <v>-107420.5399999998</v>
      </c>
      <c r="CC4" s="20">
        <f t="shared" ref="CC4:CC42" si="13">CB4/CA4*100</f>
        <v>-5.6952938218964499</v>
      </c>
      <c r="CD4" s="27">
        <v>2</v>
      </c>
      <c r="CE4" s="16">
        <v>-7424.98</v>
      </c>
      <c r="CF4">
        <f t="shared" ref="CF4:CF42" si="14">RANK(CC4,CC4:CC43)</f>
        <v>33</v>
      </c>
      <c r="CG4" s="16">
        <f t="shared" ref="CG4:CG42" si="15">RANK($BN4,$BN$3:$BN$42,0)</f>
        <v>22</v>
      </c>
    </row>
    <row r="5" spans="1:85" x14ac:dyDescent="0.25">
      <c r="A5">
        <v>22</v>
      </c>
      <c r="B5">
        <v>3</v>
      </c>
      <c r="C5" t="s">
        <v>60</v>
      </c>
      <c r="D5" t="s">
        <v>234</v>
      </c>
      <c r="E5" t="s">
        <v>68</v>
      </c>
      <c r="F5" t="s">
        <v>108</v>
      </c>
      <c r="G5" t="s">
        <v>240</v>
      </c>
      <c r="H5" s="1">
        <v>7845</v>
      </c>
      <c r="I5" t="s">
        <v>148</v>
      </c>
      <c r="J5" t="s">
        <v>185</v>
      </c>
      <c r="K5" t="s">
        <v>214</v>
      </c>
      <c r="L5" t="s">
        <v>219</v>
      </c>
      <c r="M5" s="2">
        <v>45440</v>
      </c>
      <c r="N5" s="2">
        <v>45084</v>
      </c>
      <c r="O5" s="2">
        <v>44964</v>
      </c>
      <c r="P5" s="3">
        <v>89.7</v>
      </c>
      <c r="Q5" s="4">
        <v>44964</v>
      </c>
      <c r="R5" s="3">
        <v>99.72</v>
      </c>
      <c r="S5" s="5">
        <v>1053453.21</v>
      </c>
      <c r="T5" s="5">
        <v>1002980.47</v>
      </c>
      <c r="U5" s="5">
        <v>50472.74</v>
      </c>
      <c r="V5" s="6">
        <v>5.0322754539776096</v>
      </c>
      <c r="W5">
        <f t="shared" si="0"/>
        <v>11</v>
      </c>
      <c r="X5" s="7">
        <v>98084</v>
      </c>
      <c r="Y5" s="7">
        <v>100670</v>
      </c>
      <c r="Z5" s="7">
        <v>-2586</v>
      </c>
      <c r="AA5" s="7">
        <v>-2.5687891129432798</v>
      </c>
      <c r="AB5">
        <f t="shared" si="1"/>
        <v>13</v>
      </c>
      <c r="AC5" s="6">
        <v>15.3470494678031</v>
      </c>
      <c r="AD5" s="6">
        <v>14.6438859640409</v>
      </c>
      <c r="AE5" s="7">
        <v>0.70316350376218195</v>
      </c>
      <c r="AF5" s="8">
        <v>4.80175484491513E-2</v>
      </c>
      <c r="AG5" s="15">
        <f t="shared" ref="AG5:AG9" si="16">RANK($AF5,$AF$4:$AF$9,0)</f>
        <v>2</v>
      </c>
      <c r="AH5" s="6">
        <v>1.5217564605062099</v>
      </c>
      <c r="AI5" s="6">
        <v>1.5907610907610901</v>
      </c>
      <c r="AJ5" s="6">
        <v>-6.9004630254879198E-2</v>
      </c>
      <c r="AK5" s="9">
        <v>-4.3378374449594004</v>
      </c>
      <c r="AL5" s="15">
        <f t="shared" si="2"/>
        <v>31</v>
      </c>
      <c r="AM5" s="6">
        <v>45.988266032217197</v>
      </c>
      <c r="AN5" s="9">
        <v>42.769198328429503</v>
      </c>
      <c r="AO5" s="6">
        <v>3.2190677037877</v>
      </c>
      <c r="AP5" s="6">
        <v>7.5266028581319597</v>
      </c>
      <c r="AQ5" s="15">
        <f t="shared" si="3"/>
        <v>8</v>
      </c>
      <c r="AR5" s="10">
        <v>2.4711554900000001</v>
      </c>
      <c r="AS5" s="10">
        <v>44.612859984341398</v>
      </c>
      <c r="AT5" s="10">
        <v>10.2495422287091</v>
      </c>
      <c r="AU5" s="10">
        <v>9.1353869054425001</v>
      </c>
      <c r="AV5" s="10">
        <v>1.9776662775974101</v>
      </c>
      <c r="AW5" s="10">
        <v>7.2155989029991696</v>
      </c>
      <c r="AX5" s="10">
        <v>107492.73</v>
      </c>
      <c r="AY5" s="10">
        <v>103100.81</v>
      </c>
      <c r="AZ5" s="10">
        <v>401524.92</v>
      </c>
      <c r="BA5" s="10">
        <v>390284.85</v>
      </c>
      <c r="BB5" s="10">
        <v>39406.459840432501</v>
      </c>
      <c r="BC5" s="10">
        <v>4.6450742866597796</v>
      </c>
      <c r="BD5" s="11">
        <v>0.96464646464646497</v>
      </c>
      <c r="BE5" s="15">
        <f t="shared" si="4"/>
        <v>22</v>
      </c>
      <c r="BF5" s="11">
        <v>0.90888382687927105</v>
      </c>
      <c r="BG5" s="15">
        <f t="shared" si="5"/>
        <v>31</v>
      </c>
      <c r="BH5" s="12">
        <v>2.43826301502276</v>
      </c>
      <c r="BI5" s="15">
        <f t="shared" si="6"/>
        <v>16</v>
      </c>
      <c r="BJ5" s="9">
        <v>2.6607457271824999</v>
      </c>
      <c r="BK5" s="76">
        <f t="shared" si="7"/>
        <v>15</v>
      </c>
      <c r="BL5" s="13">
        <v>75.931707965189702</v>
      </c>
      <c r="BM5" s="15">
        <f t="shared" si="8"/>
        <v>12</v>
      </c>
      <c r="BN5" s="13">
        <v>59.971509971510002</v>
      </c>
      <c r="BO5" s="14">
        <v>0.8085</v>
      </c>
      <c r="BP5" s="15">
        <f t="shared" si="9"/>
        <v>27</v>
      </c>
      <c r="BQ5" s="8">
        <v>-4.1103951609119099E-3</v>
      </c>
      <c r="BR5" s="15">
        <f t="shared" si="10"/>
        <v>19</v>
      </c>
      <c r="BS5" s="8">
        <v>-3.0980671213387701E-3</v>
      </c>
      <c r="BT5" s="8">
        <v>-4.7596133861512397E-3</v>
      </c>
      <c r="BU5" s="8">
        <v>-4.1103951609118899E-3</v>
      </c>
      <c r="BV5" s="6">
        <v>-5014.0299999999897</v>
      </c>
      <c r="BW5" s="15">
        <f t="shared" si="11"/>
        <v>17</v>
      </c>
      <c r="BX5" s="7">
        <v>1416.24</v>
      </c>
      <c r="BY5">
        <v>17</v>
      </c>
      <c r="BZ5" s="18">
        <v>2446745.29</v>
      </c>
      <c r="CA5" s="18">
        <v>2253365.7599999998</v>
      </c>
      <c r="CB5" s="19">
        <f t="shared" si="12"/>
        <v>193379.53000000026</v>
      </c>
      <c r="CC5" s="20">
        <f t="shared" si="13"/>
        <v>8.5818083079419942</v>
      </c>
      <c r="CD5" s="27">
        <v>2</v>
      </c>
      <c r="CE5" s="16">
        <v>-11642.29</v>
      </c>
      <c r="CF5">
        <f t="shared" si="14"/>
        <v>7</v>
      </c>
      <c r="CG5" s="16">
        <f t="shared" si="15"/>
        <v>21</v>
      </c>
    </row>
    <row r="6" spans="1:85" x14ac:dyDescent="0.25">
      <c r="A6">
        <v>27</v>
      </c>
      <c r="B6">
        <v>3</v>
      </c>
      <c r="C6" t="s">
        <v>60</v>
      </c>
      <c r="D6" t="s">
        <v>234</v>
      </c>
      <c r="E6" t="s">
        <v>72</v>
      </c>
      <c r="F6" t="s">
        <v>112</v>
      </c>
      <c r="G6" t="s">
        <v>241</v>
      </c>
      <c r="H6" s="1">
        <v>5234</v>
      </c>
      <c r="I6" t="s">
        <v>152</v>
      </c>
      <c r="J6" t="s">
        <v>208</v>
      </c>
      <c r="K6" t="s">
        <v>212</v>
      </c>
      <c r="L6" t="s">
        <v>219</v>
      </c>
      <c r="M6" s="2">
        <v>45460</v>
      </c>
      <c r="N6" s="2">
        <v>39691</v>
      </c>
      <c r="O6" s="2">
        <v>44958</v>
      </c>
      <c r="P6" s="3">
        <v>98.76</v>
      </c>
      <c r="Q6" s="4">
        <v>44958</v>
      </c>
      <c r="R6" s="3">
        <v>99.7</v>
      </c>
      <c r="S6" s="5">
        <v>1086674.73</v>
      </c>
      <c r="T6" s="5">
        <v>988033.97</v>
      </c>
      <c r="U6" s="5">
        <v>98640.76</v>
      </c>
      <c r="V6" s="6">
        <v>9.9835393311426994</v>
      </c>
      <c r="W6">
        <f t="shared" si="0"/>
        <v>4</v>
      </c>
      <c r="X6" s="7">
        <v>113969</v>
      </c>
      <c r="Y6" s="7">
        <v>109728</v>
      </c>
      <c r="Z6" s="7">
        <v>4241</v>
      </c>
      <c r="AA6" s="7">
        <v>3.8650116652085198</v>
      </c>
      <c r="AB6">
        <f t="shared" si="1"/>
        <v>5</v>
      </c>
      <c r="AC6" s="6">
        <v>13.580008598829499</v>
      </c>
      <c r="AD6" s="6">
        <v>13.1935331000292</v>
      </c>
      <c r="AE6" s="7">
        <v>0.38647549880034598</v>
      </c>
      <c r="AF6" s="8">
        <v>2.9292797908658099E-2</v>
      </c>
      <c r="AG6" s="15">
        <f t="shared" si="16"/>
        <v>3</v>
      </c>
      <c r="AH6" s="6">
        <v>1.5832525683272001</v>
      </c>
      <c r="AI6" s="6">
        <v>1.6529667748843</v>
      </c>
      <c r="AJ6" s="6">
        <v>-6.97142065571041E-2</v>
      </c>
      <c r="AK6" s="9">
        <v>-4.2175201350906697</v>
      </c>
      <c r="AL6" s="15">
        <f t="shared" si="2"/>
        <v>29</v>
      </c>
      <c r="AM6" s="6">
        <v>44.346830313418302</v>
      </c>
      <c r="AN6" s="9">
        <v>41.2885068951107</v>
      </c>
      <c r="AO6" s="6">
        <v>3.0583234183074999</v>
      </c>
      <c r="AP6" s="6">
        <v>7.4072027503364604</v>
      </c>
      <c r="AQ6" s="15">
        <f t="shared" si="3"/>
        <v>9</v>
      </c>
      <c r="AR6" s="10">
        <v>2.4261424300000001</v>
      </c>
      <c r="AS6" s="10">
        <v>46.158564218042997</v>
      </c>
      <c r="AT6" s="10">
        <v>10.8440618811987</v>
      </c>
      <c r="AU6" s="10">
        <v>13.728891489960001</v>
      </c>
      <c r="AV6" s="10">
        <v>1.5431585350894499</v>
      </c>
      <c r="AW6" s="10">
        <v>1.6089995976540701</v>
      </c>
      <c r="AX6" s="10">
        <v>133398.98000000001</v>
      </c>
      <c r="AY6" s="10">
        <v>130949.85</v>
      </c>
      <c r="AZ6" s="10">
        <v>456599.87</v>
      </c>
      <c r="BA6" s="10">
        <v>452475.54</v>
      </c>
      <c r="BB6" s="10">
        <v>66253.410227184999</v>
      </c>
      <c r="BC6" s="10">
        <v>7.6887193582222597</v>
      </c>
      <c r="BD6" s="11">
        <v>0.95454545454545503</v>
      </c>
      <c r="BE6" s="15">
        <f t="shared" si="4"/>
        <v>29</v>
      </c>
      <c r="BF6" s="11">
        <v>0.95968234575442901</v>
      </c>
      <c r="BG6" s="15">
        <f t="shared" si="5"/>
        <v>16</v>
      </c>
      <c r="BH6" s="12">
        <v>1.38687866607517</v>
      </c>
      <c r="BI6" s="15">
        <f t="shared" si="6"/>
        <v>38</v>
      </c>
      <c r="BJ6" s="9">
        <v>1.18628714759676</v>
      </c>
      <c r="BK6" s="76">
        <f t="shared" si="7"/>
        <v>38</v>
      </c>
      <c r="BL6" s="13">
        <v>67.009110292692398</v>
      </c>
      <c r="BM6" s="15">
        <f t="shared" si="8"/>
        <v>17</v>
      </c>
      <c r="BN6" s="13">
        <v>48.2972991641915</v>
      </c>
      <c r="BO6" s="14">
        <v>0.85489999999999999</v>
      </c>
      <c r="BP6" s="15">
        <f t="shared" si="9"/>
        <v>19</v>
      </c>
      <c r="BQ6" s="8">
        <v>-5.3326130945195597E-3</v>
      </c>
      <c r="BR6" s="15">
        <f t="shared" si="10"/>
        <v>23</v>
      </c>
      <c r="BS6" s="8">
        <v>-8.0327802009846107E-3</v>
      </c>
      <c r="BT6" s="8">
        <v>-6.7953452823919002E-3</v>
      </c>
      <c r="BU6" s="8">
        <v>-5.3326130945195597E-3</v>
      </c>
      <c r="BV6" s="6">
        <v>-7384.3299999999899</v>
      </c>
      <c r="BW6" s="15">
        <f t="shared" si="11"/>
        <v>28</v>
      </c>
      <c r="BX6" s="7">
        <v>2125.34</v>
      </c>
      <c r="BY6">
        <v>30</v>
      </c>
      <c r="BZ6" s="18">
        <v>2360143.1</v>
      </c>
      <c r="CA6" s="18">
        <v>1590827.82</v>
      </c>
      <c r="CB6" s="19">
        <f t="shared" si="12"/>
        <v>769315.28</v>
      </c>
      <c r="CC6" s="20">
        <f t="shared" si="13"/>
        <v>48.359430877943787</v>
      </c>
      <c r="CD6" s="27">
        <v>1.6</v>
      </c>
      <c r="CE6" s="16">
        <v>-10103.59</v>
      </c>
      <c r="CF6">
        <f t="shared" si="14"/>
        <v>2</v>
      </c>
      <c r="CG6" s="16">
        <f t="shared" si="15"/>
        <v>32</v>
      </c>
    </row>
    <row r="7" spans="1:85" x14ac:dyDescent="0.25">
      <c r="A7">
        <v>36</v>
      </c>
      <c r="B7">
        <v>3</v>
      </c>
      <c r="C7" t="s">
        <v>60</v>
      </c>
      <c r="D7" t="s">
        <v>234</v>
      </c>
      <c r="E7" t="s">
        <v>76</v>
      </c>
      <c r="F7" t="s">
        <v>116</v>
      </c>
      <c r="G7" t="s">
        <v>242</v>
      </c>
      <c r="H7" s="1">
        <v>8123</v>
      </c>
      <c r="I7" t="s">
        <v>155</v>
      </c>
      <c r="J7" t="s">
        <v>193</v>
      </c>
      <c r="K7" t="s">
        <v>212</v>
      </c>
      <c r="L7" t="s">
        <v>219</v>
      </c>
      <c r="M7" s="2">
        <v>45565</v>
      </c>
      <c r="N7" s="2">
        <v>41993</v>
      </c>
      <c r="O7" s="2">
        <v>44964</v>
      </c>
      <c r="P7" s="3">
        <v>69.010000000000005</v>
      </c>
      <c r="Q7" s="4">
        <v>44964</v>
      </c>
      <c r="R7" s="3">
        <v>86.3</v>
      </c>
      <c r="S7" s="5">
        <v>1128686.78</v>
      </c>
      <c r="T7" s="5">
        <v>1230920.1000000001</v>
      </c>
      <c r="U7" s="5">
        <v>-102233.32</v>
      </c>
      <c r="V7" s="6">
        <v>-8.3054391588861396</v>
      </c>
      <c r="W7">
        <f t="shared" si="0"/>
        <v>33</v>
      </c>
      <c r="X7" s="7">
        <v>100368</v>
      </c>
      <c r="Y7" s="7">
        <v>103527</v>
      </c>
      <c r="Z7" s="7">
        <v>-3159</v>
      </c>
      <c r="AA7" s="7">
        <v>-3.0513779014170201</v>
      </c>
      <c r="AB7">
        <f t="shared" si="1"/>
        <v>16</v>
      </c>
      <c r="AC7" s="6">
        <v>16.154551251394899</v>
      </c>
      <c r="AD7" s="6">
        <v>17.2843799202141</v>
      </c>
      <c r="AE7" s="7">
        <v>-1.1298286688191801</v>
      </c>
      <c r="AF7" s="8">
        <v>-6.5367035093798806E-2</v>
      </c>
      <c r="AG7" s="15">
        <f t="shared" si="16"/>
        <v>6</v>
      </c>
      <c r="AH7" s="6">
        <v>1.4723695571728099</v>
      </c>
      <c r="AI7" s="6">
        <v>1.52330390074885</v>
      </c>
      <c r="AJ7" s="6">
        <v>-5.0934343576040798E-2</v>
      </c>
      <c r="AK7" s="9">
        <v>-3.3436757794030099</v>
      </c>
      <c r="AL7" s="15">
        <f t="shared" si="2"/>
        <v>24</v>
      </c>
      <c r="AM7" s="6">
        <v>47.278799480584802</v>
      </c>
      <c r="AN7" s="9">
        <v>45.1581223860885</v>
      </c>
      <c r="AO7" s="6">
        <v>2.1206770944962501</v>
      </c>
      <c r="AP7" s="6">
        <v>4.6961144140695099</v>
      </c>
      <c r="AQ7" s="15">
        <f t="shared" si="3"/>
        <v>26</v>
      </c>
      <c r="AR7" s="10">
        <v>2.6552685199999999</v>
      </c>
      <c r="AS7" s="10">
        <v>46.831665657296597</v>
      </c>
      <c r="AT7" s="10">
        <v>11.1692603531048</v>
      </c>
      <c r="AU7" s="10">
        <v>21.378722058802801</v>
      </c>
      <c r="AV7" s="10">
        <v>1.5452647331111</v>
      </c>
      <c r="AW7" s="10">
        <v>0.36956164670983799</v>
      </c>
      <c r="AX7" s="10">
        <v>81343.3100000001</v>
      </c>
      <c r="AY7" s="10">
        <v>78515.460000000094</v>
      </c>
      <c r="AZ7" s="10">
        <v>427731.31</v>
      </c>
      <c r="BA7" s="10">
        <v>422527.26</v>
      </c>
      <c r="BB7" s="10">
        <v>10877.4398461767</v>
      </c>
      <c r="BC7" s="10">
        <v>1.2074299870363501</v>
      </c>
      <c r="BD7" s="11">
        <v>0.854700854700855</v>
      </c>
      <c r="BE7" s="15">
        <f t="shared" si="4"/>
        <v>40</v>
      </c>
      <c r="BF7" s="11">
        <v>0.80390143737166297</v>
      </c>
      <c r="BG7" s="15">
        <f t="shared" si="5"/>
        <v>40</v>
      </c>
      <c r="BH7" s="12">
        <v>1.12904396736178</v>
      </c>
      <c r="BI7" s="15">
        <f t="shared" si="6"/>
        <v>40</v>
      </c>
      <c r="BJ7" s="9">
        <v>1.7681180118839599</v>
      </c>
      <c r="BK7" s="76">
        <f t="shared" si="7"/>
        <v>31</v>
      </c>
      <c r="BL7" s="13">
        <v>25.6938448254595</v>
      </c>
      <c r="BM7" s="15">
        <f t="shared" si="8"/>
        <v>40</v>
      </c>
      <c r="BN7" s="13">
        <v>34.240527551134498</v>
      </c>
      <c r="BO7" s="14">
        <v>0.91776666666666695</v>
      </c>
      <c r="BP7" s="15">
        <f t="shared" si="9"/>
        <v>12</v>
      </c>
      <c r="BQ7" s="8">
        <v>-2.2949929175410701E-3</v>
      </c>
      <c r="BR7" s="15">
        <f t="shared" si="10"/>
        <v>6</v>
      </c>
      <c r="BS7" s="8">
        <v>-4.0220320610221804E-3</v>
      </c>
      <c r="BT7" s="8">
        <v>-5.1262406032610702E-3</v>
      </c>
      <c r="BU7" s="8">
        <v>-2.2949929175410701E-3</v>
      </c>
      <c r="BV7" s="6">
        <v>-5785.92</v>
      </c>
      <c r="BW7" s="15">
        <f t="shared" si="11"/>
        <v>22</v>
      </c>
      <c r="BX7" s="7">
        <v>452.6</v>
      </c>
      <c r="BY7">
        <v>42</v>
      </c>
      <c r="BZ7" s="18">
        <v>2716627.12</v>
      </c>
      <c r="CA7" s="18">
        <v>2443250.87</v>
      </c>
      <c r="CB7" s="19">
        <f t="shared" si="12"/>
        <v>273376.25</v>
      </c>
      <c r="CC7" s="20">
        <f t="shared" si="13"/>
        <v>11.189037251831612</v>
      </c>
      <c r="CD7" s="27">
        <v>2.1</v>
      </c>
      <c r="CE7" s="16">
        <v>-5582.97</v>
      </c>
      <c r="CF7">
        <f t="shared" si="14"/>
        <v>3</v>
      </c>
      <c r="CG7" s="16">
        <f t="shared" si="15"/>
        <v>40</v>
      </c>
    </row>
    <row r="8" spans="1:85" x14ac:dyDescent="0.25">
      <c r="A8">
        <v>56</v>
      </c>
      <c r="B8">
        <v>3</v>
      </c>
      <c r="C8" t="s">
        <v>60</v>
      </c>
      <c r="D8" t="s">
        <v>234</v>
      </c>
      <c r="E8" t="s">
        <v>84</v>
      </c>
      <c r="F8" t="s">
        <v>124</v>
      </c>
      <c r="G8" t="s">
        <v>243</v>
      </c>
      <c r="H8" s="1">
        <v>7689</v>
      </c>
      <c r="I8" t="s">
        <v>163</v>
      </c>
      <c r="J8" t="s">
        <v>200</v>
      </c>
      <c r="K8" t="s">
        <v>212</v>
      </c>
      <c r="L8" t="s">
        <v>219</v>
      </c>
      <c r="M8" s="2">
        <v>45323</v>
      </c>
      <c r="N8" s="2">
        <v>40018</v>
      </c>
      <c r="O8" s="2">
        <v>45041</v>
      </c>
      <c r="P8" s="3">
        <v>90.86</v>
      </c>
      <c r="Q8" s="4">
        <v>45041</v>
      </c>
      <c r="R8" s="3">
        <v>98.91</v>
      </c>
      <c r="S8" s="5">
        <v>1464970.22</v>
      </c>
      <c r="T8" s="5">
        <v>1579406.27</v>
      </c>
      <c r="U8" s="5">
        <v>-114436.05</v>
      </c>
      <c r="V8" s="6">
        <v>-7.2455106816816999</v>
      </c>
      <c r="W8">
        <f t="shared" si="0"/>
        <v>30</v>
      </c>
      <c r="X8" s="7">
        <v>98646</v>
      </c>
      <c r="Y8" s="7">
        <v>108217</v>
      </c>
      <c r="Z8" s="7">
        <v>-9571</v>
      </c>
      <c r="AA8" s="7">
        <v>-8.8442666124546108</v>
      </c>
      <c r="AB8">
        <f t="shared" si="1"/>
        <v>28</v>
      </c>
      <c r="AC8" s="6">
        <v>18.576526164264099</v>
      </c>
      <c r="AD8" s="6">
        <v>18.388977702209399</v>
      </c>
      <c r="AE8" s="7">
        <v>0.187548462054689</v>
      </c>
      <c r="AF8" s="8">
        <v>1.0198960762900699E-2</v>
      </c>
      <c r="AG8" s="15">
        <f t="shared" si="16"/>
        <v>5</v>
      </c>
      <c r="AH8" s="6">
        <v>1.7827557980900399</v>
      </c>
      <c r="AI8" s="6">
        <v>1.8405527638190999</v>
      </c>
      <c r="AJ8" s="6">
        <v>-5.7796965729054503E-2</v>
      </c>
      <c r="AK8" s="9">
        <v>-3.14019607941733</v>
      </c>
      <c r="AL8" s="15">
        <f t="shared" si="2"/>
        <v>21</v>
      </c>
      <c r="AM8" s="6">
        <v>44.842824083994003</v>
      </c>
      <c r="AN8" s="9">
        <v>43.121365932235797</v>
      </c>
      <c r="AO8" s="6">
        <v>1.7214581517581999</v>
      </c>
      <c r="AP8" s="6">
        <v>3.99212342777692</v>
      </c>
      <c r="AQ8" s="15">
        <f t="shared" si="3"/>
        <v>29</v>
      </c>
      <c r="AR8" s="10">
        <v>3.4707349999999999</v>
      </c>
      <c r="AS8" s="10">
        <v>44.402478696537997</v>
      </c>
      <c r="AT8" s="10">
        <v>11.099668196824499</v>
      </c>
      <c r="AU8" s="10">
        <v>8.0935099252224294</v>
      </c>
      <c r="AV8" s="10">
        <v>1.52420751693028</v>
      </c>
      <c r="AW8" s="10">
        <v>0.87920281428344804</v>
      </c>
      <c r="AX8" s="10">
        <v>231155.18</v>
      </c>
      <c r="AY8" s="10">
        <v>219854.26</v>
      </c>
      <c r="AZ8" s="10">
        <v>605755.1</v>
      </c>
      <c r="BA8" s="10">
        <v>545797.61</v>
      </c>
      <c r="BB8" s="10">
        <v>128437.935470554</v>
      </c>
      <c r="BC8" s="10">
        <v>10.5486216091982</v>
      </c>
      <c r="BD8" s="11">
        <v>0.98979591836734704</v>
      </c>
      <c r="BE8" s="15">
        <f t="shared" si="4"/>
        <v>5</v>
      </c>
      <c r="BF8" s="11">
        <v>0.98009367681498805</v>
      </c>
      <c r="BG8" s="15">
        <f t="shared" si="5"/>
        <v>7</v>
      </c>
      <c r="BH8" s="12">
        <v>1.5219476611613301</v>
      </c>
      <c r="BI8" s="15">
        <f t="shared" si="6"/>
        <v>34</v>
      </c>
      <c r="BJ8" s="9">
        <v>1.3689384682511101</v>
      </c>
      <c r="BK8" s="76">
        <f t="shared" si="7"/>
        <v>35</v>
      </c>
      <c r="BL8" s="13">
        <v>69.206002728512999</v>
      </c>
      <c r="BM8" s="15">
        <f t="shared" si="8"/>
        <v>16</v>
      </c>
      <c r="BN8" s="13">
        <v>59.180904522613098</v>
      </c>
      <c r="BO8" s="14">
        <v>0.84756666666666702</v>
      </c>
      <c r="BP8" s="15">
        <f t="shared" si="9"/>
        <v>23</v>
      </c>
      <c r="BQ8" s="8">
        <v>-4.2739017495127098E-3</v>
      </c>
      <c r="BR8" s="15">
        <f t="shared" si="10"/>
        <v>20</v>
      </c>
      <c r="BS8" s="8">
        <v>-3.9292358008740898E-3</v>
      </c>
      <c r="BT8" s="8">
        <v>-6.0707650425822204E-3</v>
      </c>
      <c r="BU8" s="8">
        <v>-4.2739017495127003E-3</v>
      </c>
      <c r="BV8" s="6">
        <v>-8893.4899999999907</v>
      </c>
      <c r="BW8" s="15">
        <f t="shared" si="11"/>
        <v>31</v>
      </c>
      <c r="BX8" s="7">
        <v>9765.86</v>
      </c>
      <c r="BY8">
        <v>72</v>
      </c>
      <c r="BZ8" s="18">
        <v>3569532.22</v>
      </c>
      <c r="CA8" s="18">
        <v>3591708.21</v>
      </c>
      <c r="CB8" s="19">
        <f t="shared" si="12"/>
        <v>-22175.989999999758</v>
      </c>
      <c r="CC8" s="20">
        <f t="shared" si="13"/>
        <v>-0.61742181445189714</v>
      </c>
      <c r="CD8" s="27">
        <v>2.6</v>
      </c>
      <c r="CE8" s="16">
        <v>-9601.42</v>
      </c>
      <c r="CF8">
        <f t="shared" si="14"/>
        <v>22</v>
      </c>
      <c r="CG8" s="16">
        <f t="shared" si="15"/>
        <v>24</v>
      </c>
    </row>
    <row r="9" spans="1:85" x14ac:dyDescent="0.25">
      <c r="A9">
        <v>67</v>
      </c>
      <c r="B9">
        <v>3</v>
      </c>
      <c r="C9" t="s">
        <v>60</v>
      </c>
      <c r="D9" t="s">
        <v>234</v>
      </c>
      <c r="E9" t="s">
        <v>88</v>
      </c>
      <c r="F9" t="s">
        <v>128</v>
      </c>
      <c r="G9" t="s">
        <v>244</v>
      </c>
      <c r="H9" s="1">
        <v>9123</v>
      </c>
      <c r="I9" t="s">
        <v>167</v>
      </c>
      <c r="J9" t="s">
        <v>203</v>
      </c>
      <c r="K9" t="s">
        <v>212</v>
      </c>
      <c r="L9" t="s">
        <v>219</v>
      </c>
      <c r="M9" s="2">
        <v>45426</v>
      </c>
      <c r="N9" s="2">
        <v>42622</v>
      </c>
      <c r="O9" s="2">
        <v>44965</v>
      </c>
      <c r="P9" s="3">
        <v>93.98</v>
      </c>
      <c r="Q9" s="4">
        <v>44965</v>
      </c>
      <c r="R9" s="3">
        <v>99.31</v>
      </c>
      <c r="S9" s="5">
        <v>601993.32999999996</v>
      </c>
      <c r="T9" s="5">
        <v>611872.32999999996</v>
      </c>
      <c r="U9" s="5">
        <v>-9879.0000000000091</v>
      </c>
      <c r="V9" s="6">
        <v>-1.6145524998654499</v>
      </c>
      <c r="W9">
        <f t="shared" si="0"/>
        <v>22</v>
      </c>
      <c r="X9" s="7">
        <v>28982</v>
      </c>
      <c r="Y9" s="7">
        <v>31116</v>
      </c>
      <c r="Z9" s="7">
        <v>-2134</v>
      </c>
      <c r="AA9" s="7">
        <v>-6.8582079958863602</v>
      </c>
      <c r="AB9">
        <f t="shared" si="1"/>
        <v>27</v>
      </c>
      <c r="AC9" s="6">
        <v>32.244151542336603</v>
      </c>
      <c r="AD9" s="6">
        <v>31.604319321249498</v>
      </c>
      <c r="AE9" s="7">
        <v>0.63983222108710402</v>
      </c>
      <c r="AF9" s="8">
        <v>2.0245087849650501E-2</v>
      </c>
      <c r="AG9" s="15">
        <f t="shared" si="16"/>
        <v>4</v>
      </c>
      <c r="AH9" s="6">
        <v>1.5568753344034201</v>
      </c>
      <c r="AI9" s="6">
        <v>1.63738051657515</v>
      </c>
      <c r="AJ9" s="6">
        <v>-8.0505182171723103E-2</v>
      </c>
      <c r="AK9" s="9">
        <v>-4.9167057600094699</v>
      </c>
      <c r="AL9" s="15">
        <f t="shared" si="2"/>
        <v>34</v>
      </c>
      <c r="AM9" s="6">
        <v>41.376955804522701</v>
      </c>
      <c r="AN9" s="9">
        <v>37.9997720780027</v>
      </c>
      <c r="AO9" s="6">
        <v>3.3771837265199198</v>
      </c>
      <c r="AP9" s="6">
        <v>8.8873789021352998</v>
      </c>
      <c r="AQ9" s="15">
        <f t="shared" si="3"/>
        <v>3</v>
      </c>
      <c r="AR9" s="10">
        <v>1.3036689699999999</v>
      </c>
      <c r="AS9" s="10">
        <v>44.084961989118398</v>
      </c>
      <c r="AT9" s="10">
        <v>15.4351331276943</v>
      </c>
      <c r="AU9" s="10">
        <v>10.928929624777</v>
      </c>
      <c r="AV9" s="10">
        <v>1.53659138790156</v>
      </c>
      <c r="AW9" s="10">
        <v>0.87486998554909601</v>
      </c>
      <c r="AX9" s="10">
        <v>58187.7</v>
      </c>
      <c r="AY9" s="10">
        <v>58220.45</v>
      </c>
      <c r="AZ9" s="10">
        <v>183198.51</v>
      </c>
      <c r="BA9" s="10">
        <v>182639.02</v>
      </c>
      <c r="BB9" s="10">
        <v>21438.066351032699</v>
      </c>
      <c r="BC9" s="10">
        <v>4.3759454039800101</v>
      </c>
      <c r="BD9" s="11">
        <v>0.98</v>
      </c>
      <c r="BE9" s="15">
        <f t="shared" si="4"/>
        <v>9</v>
      </c>
      <c r="BF9" s="11">
        <v>0.97132616487455203</v>
      </c>
      <c r="BG9" s="15">
        <f t="shared" si="5"/>
        <v>10</v>
      </c>
      <c r="BH9" s="12">
        <v>3.9272926827943402</v>
      </c>
      <c r="BI9" s="15">
        <f t="shared" si="6"/>
        <v>1</v>
      </c>
      <c r="BJ9" s="9">
        <v>4.7085181969251604</v>
      </c>
      <c r="BK9" s="76">
        <f t="shared" si="7"/>
        <v>1</v>
      </c>
      <c r="BL9" s="13">
        <v>94.949170679507802</v>
      </c>
      <c r="BM9" s="15">
        <f t="shared" si="8"/>
        <v>1</v>
      </c>
      <c r="BN9" s="13">
        <v>94.5596908684157</v>
      </c>
      <c r="BO9" s="14">
        <v>1</v>
      </c>
      <c r="BP9" s="15">
        <f t="shared" si="9"/>
        <v>1</v>
      </c>
      <c r="BQ9" s="8">
        <v>-2.6358574498847099E-3</v>
      </c>
      <c r="BR9" s="15">
        <f t="shared" si="10"/>
        <v>9</v>
      </c>
      <c r="BS9" s="8">
        <v>-8.4729022476276396E-4</v>
      </c>
      <c r="BT9" s="8">
        <v>-1.4398332287169999E-3</v>
      </c>
      <c r="BU9" s="8">
        <v>-2.6358574498847099E-3</v>
      </c>
      <c r="BV9" s="6">
        <v>-866.77</v>
      </c>
      <c r="BW9" s="15">
        <f t="shared" si="11"/>
        <v>2</v>
      </c>
      <c r="BX9" s="7">
        <v>3461.28</v>
      </c>
      <c r="BY9">
        <v>79</v>
      </c>
      <c r="BZ9" s="18">
        <v>1302540.0900000001</v>
      </c>
      <c r="CA9" s="18">
        <v>1352016.28</v>
      </c>
      <c r="CB9" s="19">
        <f t="shared" si="12"/>
        <v>-49476.189999999944</v>
      </c>
      <c r="CC9" s="20">
        <f t="shared" si="13"/>
        <v>-3.6594374440520752</v>
      </c>
      <c r="CD9" s="27">
        <v>1.6</v>
      </c>
      <c r="CE9" s="16">
        <v>-1986.6</v>
      </c>
      <c r="CF9">
        <f t="shared" si="14"/>
        <v>26</v>
      </c>
      <c r="CG9" s="16">
        <f t="shared" si="15"/>
        <v>1</v>
      </c>
    </row>
    <row r="10" spans="1:85" x14ac:dyDescent="0.25">
      <c r="A10">
        <v>97</v>
      </c>
      <c r="B10">
        <v>4</v>
      </c>
      <c r="C10" t="s">
        <v>61</v>
      </c>
      <c r="D10" t="s">
        <v>235</v>
      </c>
      <c r="E10" t="s">
        <v>101</v>
      </c>
      <c r="F10" t="s">
        <v>141</v>
      </c>
      <c r="G10" t="s">
        <v>242</v>
      </c>
      <c r="H10" s="1">
        <v>8678</v>
      </c>
      <c r="I10" t="s">
        <v>180</v>
      </c>
      <c r="J10" t="s">
        <v>189</v>
      </c>
      <c r="K10" t="s">
        <v>214</v>
      </c>
      <c r="L10" t="s">
        <v>219</v>
      </c>
      <c r="M10" s="2">
        <v>45675</v>
      </c>
      <c r="N10" s="2">
        <v>45032</v>
      </c>
      <c r="O10" s="2">
        <v>45062</v>
      </c>
      <c r="P10" s="3">
        <v>89.6</v>
      </c>
      <c r="Q10" s="4">
        <v>45062</v>
      </c>
      <c r="R10" s="3">
        <v>98.01</v>
      </c>
      <c r="S10" s="5">
        <v>727783.07</v>
      </c>
      <c r="T10" s="5">
        <v>800819.18</v>
      </c>
      <c r="U10" s="5">
        <v>-73036.11</v>
      </c>
      <c r="V10" s="6">
        <v>-9.1201749188874803</v>
      </c>
      <c r="W10">
        <f t="shared" si="0"/>
        <v>34</v>
      </c>
      <c r="X10" s="7">
        <v>80120</v>
      </c>
      <c r="Y10" s="7">
        <v>88992</v>
      </c>
      <c r="Z10" s="7">
        <v>-8872</v>
      </c>
      <c r="AA10" s="7">
        <v>-9.9694354548723503</v>
      </c>
      <c r="AB10">
        <f t="shared" si="1"/>
        <v>31</v>
      </c>
      <c r="AC10" s="6">
        <v>13.637044433350001</v>
      </c>
      <c r="AD10" s="6">
        <v>14.0080007191658</v>
      </c>
      <c r="AE10" s="7">
        <v>-0.37095628581578999</v>
      </c>
      <c r="AF10" s="8">
        <v>-2.6481743772917399E-2</v>
      </c>
      <c r="AG10" s="15">
        <f>RANK($AF10,$AF$10:$AF$16,0)</f>
        <v>5</v>
      </c>
      <c r="AH10" s="6">
        <v>1.52883031301483</v>
      </c>
      <c r="AI10" s="6">
        <v>1.5617680089844399</v>
      </c>
      <c r="AJ10" s="6">
        <v>-3.2937695969610603E-2</v>
      </c>
      <c r="AK10" s="9">
        <v>-2.1090005545080199</v>
      </c>
      <c r="AL10" s="15">
        <f t="shared" si="2"/>
        <v>15</v>
      </c>
      <c r="AM10" s="6">
        <v>43.569388769157101</v>
      </c>
      <c r="AN10" s="9">
        <v>41.133041245056198</v>
      </c>
      <c r="AO10" s="6">
        <v>2.4363475241008201</v>
      </c>
      <c r="AP10" s="6">
        <v>5.9230911460835598</v>
      </c>
      <c r="AQ10" s="15">
        <f t="shared" si="3"/>
        <v>18</v>
      </c>
      <c r="AR10" s="10">
        <v>1.7898566899999999</v>
      </c>
      <c r="AS10" s="10">
        <v>45.345344622601601</v>
      </c>
      <c r="AT10" s="10">
        <v>11.169264484853199</v>
      </c>
      <c r="AU10" s="10">
        <v>12.159193331158001</v>
      </c>
      <c r="AV10" s="10">
        <v>1.54525474224501</v>
      </c>
      <c r="AW10" s="10">
        <v>1.43576207971822</v>
      </c>
      <c r="AX10" s="10">
        <v>70433.820000000007</v>
      </c>
      <c r="AY10" s="10">
        <v>67884.460000000006</v>
      </c>
      <c r="AZ10" s="10">
        <v>271143.89</v>
      </c>
      <c r="BA10" s="10">
        <v>264064.33</v>
      </c>
      <c r="BB10" s="10">
        <v>24522.151386591398</v>
      </c>
      <c r="BC10" s="10">
        <v>4.2459250853186203</v>
      </c>
      <c r="BD10" s="11">
        <v>0.95</v>
      </c>
      <c r="BE10" s="15">
        <f t="shared" si="4"/>
        <v>30</v>
      </c>
      <c r="BF10" s="11">
        <v>0.89068825910931204</v>
      </c>
      <c r="BG10" s="15">
        <f t="shared" si="5"/>
        <v>34</v>
      </c>
      <c r="BH10" s="12">
        <v>1.4645943879953101</v>
      </c>
      <c r="BI10" s="15">
        <f t="shared" si="6"/>
        <v>36</v>
      </c>
      <c r="BJ10" s="9">
        <v>1.92827674282227</v>
      </c>
      <c r="BK10" s="76">
        <f t="shared" si="7"/>
        <v>29</v>
      </c>
      <c r="BL10" s="13">
        <v>57.633168588687496</v>
      </c>
      <c r="BM10" s="15">
        <f t="shared" si="8"/>
        <v>28</v>
      </c>
      <c r="BN10" s="13">
        <v>56.922830097866203</v>
      </c>
      <c r="BO10" s="14">
        <v>0.87076666666666702</v>
      </c>
      <c r="BP10" s="15">
        <f t="shared" si="9"/>
        <v>17</v>
      </c>
      <c r="BQ10" s="8">
        <v>-9.0695647447147695E-3</v>
      </c>
      <c r="BR10" s="15">
        <f t="shared" si="10"/>
        <v>36</v>
      </c>
      <c r="BS10" s="8">
        <v>-1.86289223025441E-2</v>
      </c>
      <c r="BT10" s="8">
        <v>-8.3898763954484406E-3</v>
      </c>
      <c r="BU10" s="8">
        <v>-9.0695647447147695E-3</v>
      </c>
      <c r="BV10" s="6">
        <v>-6106.01</v>
      </c>
      <c r="BW10" s="15">
        <f t="shared" si="11"/>
        <v>24</v>
      </c>
      <c r="BX10" s="7">
        <v>2508.9299999999998</v>
      </c>
      <c r="BY10">
        <v>120</v>
      </c>
      <c r="BZ10" s="18">
        <v>1852723.97</v>
      </c>
      <c r="CA10" s="18">
        <v>1857016.16</v>
      </c>
      <c r="CB10" s="19">
        <f t="shared" si="12"/>
        <v>-4292.1899999999441</v>
      </c>
      <c r="CC10" s="20">
        <f t="shared" si="13"/>
        <v>-0.23113369137293585</v>
      </c>
      <c r="CD10" s="27">
        <v>1.9</v>
      </c>
      <c r="CE10" s="16">
        <v>-4253.2</v>
      </c>
      <c r="CF10">
        <f t="shared" si="14"/>
        <v>20</v>
      </c>
      <c r="CG10" s="16">
        <f t="shared" si="15"/>
        <v>26</v>
      </c>
    </row>
    <row r="11" spans="1:85" x14ac:dyDescent="0.25">
      <c r="A11">
        <v>14</v>
      </c>
      <c r="B11">
        <v>3</v>
      </c>
      <c r="C11" t="s">
        <v>60</v>
      </c>
      <c r="D11" t="s">
        <v>234</v>
      </c>
      <c r="E11" t="s">
        <v>64</v>
      </c>
      <c r="F11" t="s">
        <v>104</v>
      </c>
      <c r="G11" t="s">
        <v>245</v>
      </c>
      <c r="H11" s="1">
        <v>5123</v>
      </c>
      <c r="I11" t="s">
        <v>144</v>
      </c>
      <c r="J11" t="s">
        <v>187</v>
      </c>
      <c r="K11" t="s">
        <v>214</v>
      </c>
      <c r="L11" t="s">
        <v>211</v>
      </c>
      <c r="M11" s="2">
        <v>45601</v>
      </c>
      <c r="N11" s="2">
        <v>45051</v>
      </c>
      <c r="O11" s="2">
        <v>44896</v>
      </c>
      <c r="P11" s="3">
        <v>71.430000000000007</v>
      </c>
      <c r="Q11" s="4">
        <v>44896</v>
      </c>
      <c r="R11" s="3">
        <v>92.87</v>
      </c>
      <c r="S11" s="5">
        <v>914293.14</v>
      </c>
      <c r="T11" s="5">
        <v>1041537.34</v>
      </c>
      <c r="U11" s="5">
        <v>-127244.2</v>
      </c>
      <c r="V11" s="6">
        <v>-12.2169599795625</v>
      </c>
      <c r="W11">
        <f t="shared" si="0"/>
        <v>37</v>
      </c>
      <c r="X11" s="7">
        <v>83507</v>
      </c>
      <c r="Y11" s="7">
        <v>97361</v>
      </c>
      <c r="Z11" s="7">
        <v>-13854</v>
      </c>
      <c r="AA11" s="7">
        <v>-14.2295169523731</v>
      </c>
      <c r="AB11">
        <f t="shared" si="1"/>
        <v>37</v>
      </c>
      <c r="AC11" s="6">
        <v>14.9963476115775</v>
      </c>
      <c r="AD11" s="6">
        <v>14.889945666129099</v>
      </c>
      <c r="AE11" s="7">
        <v>0.106401945448326</v>
      </c>
      <c r="AF11" s="8">
        <v>7.14589212305612E-3</v>
      </c>
      <c r="AG11" s="15">
        <f t="shared" ref="AG11:AG16" si="17">RANK($AF11,$AF$10:$AF$16,0)</f>
        <v>2</v>
      </c>
      <c r="AH11" s="6">
        <v>1.6543160584524499</v>
      </c>
      <c r="AI11" s="6">
        <v>1.71042284610609</v>
      </c>
      <c r="AJ11" s="6">
        <v>-5.6106787653643402E-2</v>
      </c>
      <c r="AK11" s="9">
        <v>-3.2802875488581602</v>
      </c>
      <c r="AL11" s="15">
        <f t="shared" si="2"/>
        <v>22</v>
      </c>
      <c r="AM11" s="6">
        <v>44.132506637061297</v>
      </c>
      <c r="AN11" s="9">
        <v>42.004248265849299</v>
      </c>
      <c r="AO11" s="6">
        <v>2.12825837121202</v>
      </c>
      <c r="AP11" s="6">
        <v>5.0667693366205402</v>
      </c>
      <c r="AQ11" s="15">
        <f t="shared" si="3"/>
        <v>21</v>
      </c>
      <c r="AR11" s="10">
        <v>2.33810765</v>
      </c>
      <c r="AS11" s="10">
        <v>44.513268799381699</v>
      </c>
      <c r="AT11" s="10">
        <v>12.9476141531071</v>
      </c>
      <c r="AU11" s="10">
        <v>11.608308865808301</v>
      </c>
      <c r="AV11" s="10">
        <v>3.7419242567995399</v>
      </c>
      <c r="AW11" s="10">
        <v>6.49446983538982</v>
      </c>
      <c r="AX11" s="10">
        <v>42811.870000000097</v>
      </c>
      <c r="AY11" s="10">
        <v>29462.340000000098</v>
      </c>
      <c r="AZ11" s="10">
        <v>448092.27</v>
      </c>
      <c r="BA11" s="10">
        <v>414584.41</v>
      </c>
      <c r="BB11" s="10">
        <v>-20421.6214838407</v>
      </c>
      <c r="BC11" s="10">
        <v>-3.0736572805962199</v>
      </c>
      <c r="BD11" s="11">
        <v>0.96842105263157896</v>
      </c>
      <c r="BE11" s="15">
        <f t="shared" si="4"/>
        <v>20</v>
      </c>
      <c r="BF11" s="11">
        <v>0.96822645869439605</v>
      </c>
      <c r="BG11" s="15">
        <f t="shared" si="5"/>
        <v>13</v>
      </c>
      <c r="BH11" s="12">
        <v>1.4182322312950899</v>
      </c>
      <c r="BI11" s="15">
        <f t="shared" si="6"/>
        <v>37</v>
      </c>
      <c r="BJ11" s="9">
        <v>1.1592220015846999</v>
      </c>
      <c r="BK11" s="76">
        <f t="shared" si="7"/>
        <v>39</v>
      </c>
      <c r="BL11" s="13">
        <v>41.835023556655798</v>
      </c>
      <c r="BM11" s="15">
        <f t="shared" si="8"/>
        <v>38</v>
      </c>
      <c r="BN11" s="13">
        <v>34.793405532179101</v>
      </c>
      <c r="BO11" s="14">
        <v>0.80806666666666704</v>
      </c>
      <c r="BP11" s="15">
        <f t="shared" si="9"/>
        <v>28</v>
      </c>
      <c r="BQ11" s="8">
        <v>-1.06864357337744E-2</v>
      </c>
      <c r="BR11" s="15">
        <f t="shared" si="10"/>
        <v>38</v>
      </c>
      <c r="BS11" s="8">
        <v>-1.48569154954425E-2</v>
      </c>
      <c r="BT11" s="8">
        <v>-1.19928166583422E-2</v>
      </c>
      <c r="BU11" s="8">
        <v>-1.06864357337744E-2</v>
      </c>
      <c r="BV11" s="6">
        <v>-10964.95</v>
      </c>
      <c r="BW11" s="15">
        <f t="shared" si="11"/>
        <v>35</v>
      </c>
      <c r="BX11" s="7">
        <v>2761.19</v>
      </c>
      <c r="BY11">
        <v>12</v>
      </c>
      <c r="BZ11" s="18">
        <v>2445173.5499999998</v>
      </c>
      <c r="CA11" s="18">
        <v>2728610.08</v>
      </c>
      <c r="CB11" s="19">
        <f t="shared" si="12"/>
        <v>-283436.53000000026</v>
      </c>
      <c r="CC11" s="20">
        <f t="shared" si="13"/>
        <v>-10.387579085686008</v>
      </c>
      <c r="CD11" s="27">
        <v>1.6</v>
      </c>
      <c r="CE11" s="16">
        <v>-11679.88</v>
      </c>
      <c r="CF11">
        <f t="shared" si="14"/>
        <v>32</v>
      </c>
      <c r="CG11" s="16">
        <f t="shared" si="15"/>
        <v>39</v>
      </c>
    </row>
    <row r="12" spans="1:85" x14ac:dyDescent="0.25">
      <c r="A12">
        <v>29</v>
      </c>
      <c r="B12">
        <v>4</v>
      </c>
      <c r="C12" t="s">
        <v>61</v>
      </c>
      <c r="D12" t="s">
        <v>235</v>
      </c>
      <c r="E12" t="s">
        <v>73</v>
      </c>
      <c r="F12" t="s">
        <v>113</v>
      </c>
      <c r="G12" t="s">
        <v>246</v>
      </c>
      <c r="H12" s="1">
        <v>9562</v>
      </c>
      <c r="I12" t="s">
        <v>181</v>
      </c>
      <c r="J12" t="s">
        <v>199</v>
      </c>
      <c r="K12" t="s">
        <v>212</v>
      </c>
      <c r="L12" t="s">
        <v>211</v>
      </c>
      <c r="M12" s="2">
        <v>45958</v>
      </c>
      <c r="N12" s="2">
        <v>40251</v>
      </c>
      <c r="O12" s="2">
        <v>44972</v>
      </c>
      <c r="P12" s="3">
        <v>74.42</v>
      </c>
      <c r="Q12" s="4">
        <v>44972</v>
      </c>
      <c r="R12" s="3">
        <v>98.85</v>
      </c>
      <c r="S12" s="5">
        <v>977133.01</v>
      </c>
      <c r="T12" s="5">
        <v>1101258.3700000001</v>
      </c>
      <c r="U12" s="5">
        <v>-124125.36</v>
      </c>
      <c r="V12" s="6">
        <v>-11.271229657033199</v>
      </c>
      <c r="W12">
        <f t="shared" si="0"/>
        <v>36</v>
      </c>
      <c r="X12" s="7">
        <v>116474</v>
      </c>
      <c r="Y12" s="7">
        <v>119703</v>
      </c>
      <c r="Z12" s="7">
        <v>-3229</v>
      </c>
      <c r="AA12" s="7">
        <v>-2.6975096697660002</v>
      </c>
      <c r="AB12">
        <f t="shared" si="1"/>
        <v>14</v>
      </c>
      <c r="AC12" s="6">
        <v>12.040455380599999</v>
      </c>
      <c r="AD12" s="6">
        <v>13.0172176135936</v>
      </c>
      <c r="AE12" s="7">
        <v>-0.97676223299368004</v>
      </c>
      <c r="AF12" s="8">
        <v>-7.50361760852538E-2</v>
      </c>
      <c r="AG12" s="15">
        <f t="shared" si="17"/>
        <v>6</v>
      </c>
      <c r="AH12" s="6">
        <v>1.5082715345122599</v>
      </c>
      <c r="AI12" s="6">
        <v>1.55692465665511</v>
      </c>
      <c r="AJ12" s="6">
        <v>-4.8653122142850301E-2</v>
      </c>
      <c r="AK12" s="9">
        <v>-3.1249503265865402</v>
      </c>
      <c r="AL12" s="15">
        <f t="shared" si="2"/>
        <v>20</v>
      </c>
      <c r="AM12" s="6">
        <v>46.195773922087703</v>
      </c>
      <c r="AN12" s="9">
        <v>45.393997114591897</v>
      </c>
      <c r="AO12" s="6">
        <v>0.80177680749581304</v>
      </c>
      <c r="AP12" s="6">
        <v>1.76626174926129</v>
      </c>
      <c r="AQ12" s="15">
        <f t="shared" si="3"/>
        <v>36</v>
      </c>
      <c r="AR12" s="10">
        <v>2.35922455</v>
      </c>
      <c r="AS12" s="10">
        <v>45.936774464998599</v>
      </c>
      <c r="AT12" s="10">
        <v>13.8884877207605</v>
      </c>
      <c r="AU12" s="10">
        <v>14.617461900478901</v>
      </c>
      <c r="AV12" s="10">
        <v>3.19168195863955</v>
      </c>
      <c r="AW12" s="10">
        <v>9.2813030582852196</v>
      </c>
      <c r="AX12" s="10">
        <v>12545.620000000101</v>
      </c>
      <c r="AY12" s="10">
        <v>1490.79000000005</v>
      </c>
      <c r="AZ12" s="10">
        <v>264789.07</v>
      </c>
      <c r="BA12" s="10">
        <v>230428.36</v>
      </c>
      <c r="BB12" s="10">
        <v>-56407.461793659699</v>
      </c>
      <c r="BC12" s="10">
        <v>-7.3147125034524301</v>
      </c>
      <c r="BD12" s="11">
        <v>0.93413173652694603</v>
      </c>
      <c r="BE12" s="15">
        <f t="shared" si="4"/>
        <v>34</v>
      </c>
      <c r="BF12" s="11">
        <v>0.83341596430342102</v>
      </c>
      <c r="BG12" s="15">
        <f t="shared" si="5"/>
        <v>39</v>
      </c>
      <c r="BH12" s="12">
        <v>2.5155162857511102</v>
      </c>
      <c r="BI12" s="15">
        <f t="shared" si="6"/>
        <v>11</v>
      </c>
      <c r="BJ12" s="9">
        <v>3.59002855978293</v>
      </c>
      <c r="BK12" s="76">
        <f t="shared" si="7"/>
        <v>3</v>
      </c>
      <c r="BL12" s="13">
        <v>53.886195094124403</v>
      </c>
      <c r="BM12" s="15">
        <f t="shared" si="8"/>
        <v>34</v>
      </c>
      <c r="BN12" s="13">
        <v>46.130150173276903</v>
      </c>
      <c r="BO12" s="14">
        <v>0.92726666666666702</v>
      </c>
      <c r="BP12" s="15">
        <f t="shared" si="9"/>
        <v>10</v>
      </c>
      <c r="BQ12" s="8">
        <v>-2.9272573677610798E-3</v>
      </c>
      <c r="BR12" s="15">
        <f t="shared" si="10"/>
        <v>13</v>
      </c>
      <c r="BS12" s="8">
        <v>-3.5666726756738202E-3</v>
      </c>
      <c r="BT12" s="8">
        <v>-4.1174742423244898E-3</v>
      </c>
      <c r="BU12" s="8">
        <v>-2.9272573677610798E-3</v>
      </c>
      <c r="BV12" s="6">
        <v>-4023.32</v>
      </c>
      <c r="BW12" s="15">
        <f t="shared" si="11"/>
        <v>12</v>
      </c>
      <c r="BX12" s="7">
        <v>1711.7</v>
      </c>
      <c r="BY12">
        <v>31</v>
      </c>
      <c r="BZ12" s="18">
        <v>2462933.42</v>
      </c>
      <c r="CA12" s="18">
        <v>2454919.2400000002</v>
      </c>
      <c r="CB12" s="19">
        <f t="shared" si="12"/>
        <v>8014.179999999702</v>
      </c>
      <c r="CC12" s="20">
        <f t="shared" si="13"/>
        <v>0.32645391625997849</v>
      </c>
      <c r="CD12" s="27">
        <v>2</v>
      </c>
      <c r="CE12" s="16">
        <v>-4877.9799999999996</v>
      </c>
      <c r="CF12">
        <f t="shared" si="14"/>
        <v>18</v>
      </c>
      <c r="CG12" s="16">
        <f t="shared" si="15"/>
        <v>35</v>
      </c>
    </row>
    <row r="13" spans="1:85" x14ac:dyDescent="0.25">
      <c r="A13">
        <v>64</v>
      </c>
      <c r="B13">
        <v>2</v>
      </c>
      <c r="C13" t="s">
        <v>59</v>
      </c>
      <c r="D13" t="s">
        <v>233</v>
      </c>
      <c r="E13" t="s">
        <v>87</v>
      </c>
      <c r="F13" t="s">
        <v>127</v>
      </c>
      <c r="G13" t="s">
        <v>247</v>
      </c>
      <c r="H13" s="1">
        <v>6893</v>
      </c>
      <c r="I13" t="s">
        <v>166</v>
      </c>
      <c r="J13" t="s">
        <v>190</v>
      </c>
      <c r="K13" t="s">
        <v>212</v>
      </c>
      <c r="L13" t="s">
        <v>211</v>
      </c>
      <c r="M13" s="2">
        <v>46390</v>
      </c>
      <c r="N13" s="2">
        <v>42063</v>
      </c>
      <c r="O13" s="2">
        <v>44782</v>
      </c>
      <c r="P13" s="3">
        <v>87.18</v>
      </c>
      <c r="Q13" s="4">
        <v>44468</v>
      </c>
      <c r="R13" s="3">
        <v>99.32</v>
      </c>
      <c r="S13" s="5">
        <v>807631.15</v>
      </c>
      <c r="T13" s="5">
        <v>854306.27</v>
      </c>
      <c r="U13" s="5">
        <v>-46675.12</v>
      </c>
      <c r="V13" s="6">
        <v>-5.4635113470489101</v>
      </c>
      <c r="W13">
        <f t="shared" si="0"/>
        <v>28</v>
      </c>
      <c r="X13" s="7">
        <v>41086</v>
      </c>
      <c r="Y13" s="7">
        <v>44092</v>
      </c>
      <c r="Z13" s="7">
        <v>-3006</v>
      </c>
      <c r="AA13" s="7">
        <v>-6.8175632767849104</v>
      </c>
      <c r="AB13">
        <f t="shared" si="1"/>
        <v>25</v>
      </c>
      <c r="AC13" s="6">
        <v>23.682032809229401</v>
      </c>
      <c r="AD13" s="6">
        <v>23.906831171187498</v>
      </c>
      <c r="AE13" s="7">
        <v>-0.224798361958094</v>
      </c>
      <c r="AF13" s="8">
        <v>-9.4031015799793793E-3</v>
      </c>
      <c r="AG13" s="15">
        <f t="shared" si="17"/>
        <v>4</v>
      </c>
      <c r="AH13" s="6">
        <v>1.8845837615621801</v>
      </c>
      <c r="AI13" s="6">
        <v>2.0010435442557601</v>
      </c>
      <c r="AJ13" s="6">
        <v>-0.11645978269358399</v>
      </c>
      <c r="AK13" s="9">
        <v>-5.8199524457074601</v>
      </c>
      <c r="AL13" s="15">
        <f t="shared" si="2"/>
        <v>39</v>
      </c>
      <c r="AM13" s="6">
        <v>44.043799421933798</v>
      </c>
      <c r="AN13" s="9">
        <v>40.501885459631197</v>
      </c>
      <c r="AO13" s="6">
        <v>3.5419139623026199</v>
      </c>
      <c r="AP13" s="6">
        <v>8.7450594512023407</v>
      </c>
      <c r="AQ13" s="15">
        <f t="shared" si="3"/>
        <v>4</v>
      </c>
      <c r="AR13" s="10">
        <v>2.0064248500000001</v>
      </c>
      <c r="AS13" s="10">
        <v>42.899195787205599</v>
      </c>
      <c r="AT13" s="10">
        <v>15.2325838712978</v>
      </c>
      <c r="AU13" s="10">
        <v>13.580233114901199</v>
      </c>
      <c r="AV13" s="10">
        <v>1.6186054763874</v>
      </c>
      <c r="AW13" s="10">
        <v>2.24922228172453</v>
      </c>
      <c r="AX13" s="10">
        <v>33352.879999999903</v>
      </c>
      <c r="AY13" s="10">
        <v>10805.4399999999</v>
      </c>
      <c r="AZ13" s="10">
        <v>324184</v>
      </c>
      <c r="BA13" s="10">
        <v>256962.06</v>
      </c>
      <c r="BB13" s="10">
        <v>-33999.866694757402</v>
      </c>
      <c r="BC13" s="10">
        <v>-5.6973633026694497</v>
      </c>
      <c r="BD13" s="11">
        <v>1</v>
      </c>
      <c r="BE13" s="15">
        <f t="shared" si="4"/>
        <v>1</v>
      </c>
      <c r="BF13" s="11">
        <v>0.98922800718132897</v>
      </c>
      <c r="BG13" s="15">
        <f t="shared" si="5"/>
        <v>2</v>
      </c>
      <c r="BH13" s="12">
        <v>1.87012103235493</v>
      </c>
      <c r="BI13" s="15">
        <f t="shared" si="6"/>
        <v>28</v>
      </c>
      <c r="BJ13" s="9">
        <v>1.3211187130816699</v>
      </c>
      <c r="BK13" s="76">
        <f t="shared" si="7"/>
        <v>36</v>
      </c>
      <c r="BL13" s="13">
        <v>79.815005138746102</v>
      </c>
      <c r="BM13" s="15">
        <f t="shared" si="8"/>
        <v>8</v>
      </c>
      <c r="BN13" s="13">
        <v>73.057584669386202</v>
      </c>
      <c r="BO13" s="14">
        <v>0.96226666666666705</v>
      </c>
      <c r="BP13" s="15">
        <f t="shared" si="9"/>
        <v>5</v>
      </c>
      <c r="BQ13" s="8">
        <v>-2.09144246820882E-3</v>
      </c>
      <c r="BR13" s="15">
        <f t="shared" si="10"/>
        <v>4</v>
      </c>
      <c r="BS13" s="8">
        <v>-3.1895870845650401E-3</v>
      </c>
      <c r="BT13" s="8">
        <v>-3.6483362485461301E-3</v>
      </c>
      <c r="BU13" s="8">
        <v>-2.09144246820881E-3</v>
      </c>
      <c r="BV13" s="6">
        <v>-2946.51</v>
      </c>
      <c r="BW13" s="15">
        <f t="shared" si="11"/>
        <v>9</v>
      </c>
      <c r="BX13" s="7">
        <v>2861.7</v>
      </c>
      <c r="BY13">
        <v>76</v>
      </c>
      <c r="BZ13" s="18">
        <v>2038449.57</v>
      </c>
      <c r="CA13" s="18">
        <v>2247989.0299999998</v>
      </c>
      <c r="CB13" s="19">
        <f t="shared" si="12"/>
        <v>-209539.45999999973</v>
      </c>
      <c r="CC13" s="20">
        <f t="shared" si="13"/>
        <v>-9.3211958423124397</v>
      </c>
      <c r="CD13" s="27">
        <v>1.9</v>
      </c>
      <c r="CE13" s="16">
        <v>-4823.07</v>
      </c>
      <c r="CF13">
        <f t="shared" si="14"/>
        <v>30</v>
      </c>
      <c r="CG13" s="16">
        <f t="shared" si="15"/>
        <v>10</v>
      </c>
    </row>
    <row r="14" spans="1:85" x14ac:dyDescent="0.25">
      <c r="A14">
        <v>75</v>
      </c>
      <c r="B14">
        <v>2</v>
      </c>
      <c r="C14" t="s">
        <v>59</v>
      </c>
      <c r="D14" t="s">
        <v>233</v>
      </c>
      <c r="E14" t="s">
        <v>91</v>
      </c>
      <c r="F14" t="s">
        <v>131</v>
      </c>
      <c r="G14" t="s">
        <v>248</v>
      </c>
      <c r="H14" s="1">
        <v>8876</v>
      </c>
      <c r="I14" t="s">
        <v>170</v>
      </c>
      <c r="J14" t="s">
        <v>185</v>
      </c>
      <c r="K14" t="s">
        <v>212</v>
      </c>
      <c r="L14" t="s">
        <v>211</v>
      </c>
      <c r="M14" s="2">
        <v>46435</v>
      </c>
      <c r="N14" s="2">
        <v>37024</v>
      </c>
      <c r="O14" s="2">
        <v>44831</v>
      </c>
      <c r="P14" s="3">
        <v>77.459999999999994</v>
      </c>
      <c r="Q14" s="4">
        <v>44831</v>
      </c>
      <c r="R14" s="3">
        <v>92.65</v>
      </c>
      <c r="S14" s="5">
        <v>1100787.3500000001</v>
      </c>
      <c r="T14" s="5">
        <v>847126.82999999903</v>
      </c>
      <c r="U14" s="5">
        <v>253660.52</v>
      </c>
      <c r="V14" s="6">
        <v>29.943629574334299</v>
      </c>
      <c r="W14">
        <f t="shared" si="0"/>
        <v>1</v>
      </c>
      <c r="X14" s="7">
        <v>62550</v>
      </c>
      <c r="Y14" s="7">
        <v>46250</v>
      </c>
      <c r="Z14" s="7">
        <v>16300</v>
      </c>
      <c r="AA14" s="7">
        <v>35.243243243243199</v>
      </c>
      <c r="AB14">
        <f t="shared" si="1"/>
        <v>1</v>
      </c>
      <c r="AC14" s="6">
        <v>22.1087130295763</v>
      </c>
      <c r="AD14" s="6">
        <v>24.704864864864899</v>
      </c>
      <c r="AE14" s="7">
        <v>-2.59615183528852</v>
      </c>
      <c r="AF14" s="8">
        <v>-0.105086664083751</v>
      </c>
      <c r="AG14" s="15">
        <f t="shared" si="17"/>
        <v>7</v>
      </c>
      <c r="AH14" s="6">
        <v>1.9240002892472301</v>
      </c>
      <c r="AI14" s="6">
        <v>1.9060038508664501</v>
      </c>
      <c r="AJ14" s="6">
        <v>1.7996438380789102E-2</v>
      </c>
      <c r="AK14" s="9">
        <v>0.94419737780740498</v>
      </c>
      <c r="AL14" s="15">
        <f t="shared" si="2"/>
        <v>3</v>
      </c>
      <c r="AM14" s="6">
        <v>41.372095689104398</v>
      </c>
      <c r="AN14" s="9">
        <v>38.898284048121901</v>
      </c>
      <c r="AO14" s="6">
        <v>2.47381164098244</v>
      </c>
      <c r="AP14" s="6">
        <v>6.3596934968186103</v>
      </c>
      <c r="AQ14" s="15">
        <f t="shared" si="3"/>
        <v>15</v>
      </c>
      <c r="AR14" s="10">
        <v>2.47486082</v>
      </c>
      <c r="AS14" s="10">
        <v>44.204198487050398</v>
      </c>
      <c r="AT14" s="10">
        <v>15.4428983915875</v>
      </c>
      <c r="AU14" s="10">
        <v>12.729042408554299</v>
      </c>
      <c r="AV14" s="10">
        <v>3.65164070745797</v>
      </c>
      <c r="AW14" s="10">
        <v>6.6165138559325003</v>
      </c>
      <c r="AX14" s="10">
        <v>20014.96</v>
      </c>
      <c r="AY14" s="10">
        <v>-14443.29</v>
      </c>
      <c r="AZ14" s="10">
        <v>346544.9</v>
      </c>
      <c r="BA14" s="10">
        <v>278045.53999999998</v>
      </c>
      <c r="BB14" s="10">
        <v>-67935.411523506002</v>
      </c>
      <c r="BC14" s="10">
        <v>-9.5352600543091697</v>
      </c>
      <c r="BD14" s="11">
        <v>0.91044776119403004</v>
      </c>
      <c r="BE14" s="15">
        <f t="shared" si="4"/>
        <v>38</v>
      </c>
      <c r="BF14" s="11">
        <v>0.929824561403509</v>
      </c>
      <c r="BG14" s="15">
        <f t="shared" si="5"/>
        <v>26</v>
      </c>
      <c r="BH14" s="12">
        <v>1.7359265620194499</v>
      </c>
      <c r="BI14" s="15">
        <f t="shared" si="6"/>
        <v>30</v>
      </c>
      <c r="BJ14" s="9">
        <v>2.1249875889304599</v>
      </c>
      <c r="BK14" s="76">
        <f t="shared" si="7"/>
        <v>26</v>
      </c>
      <c r="BL14" s="13">
        <v>63.128208836502999</v>
      </c>
      <c r="BM14" s="15">
        <f t="shared" si="8"/>
        <v>23</v>
      </c>
      <c r="BN14" s="13">
        <v>65.718536670750893</v>
      </c>
      <c r="BO14" s="14">
        <v>0.92810000000000004</v>
      </c>
      <c r="BP14" s="15">
        <f t="shared" si="9"/>
        <v>9</v>
      </c>
      <c r="BQ14" s="8">
        <v>-6.7577270128418604E-4</v>
      </c>
      <c r="BR14" s="15">
        <f t="shared" si="10"/>
        <v>1</v>
      </c>
      <c r="BS14" s="8">
        <v>-1.5124337061545E-3</v>
      </c>
      <c r="BT14" s="8">
        <v>-1.0980504091003601E-3</v>
      </c>
      <c r="BU14" s="8">
        <v>-6.7577270128418604E-4</v>
      </c>
      <c r="BV14" s="6">
        <v>-1208.72</v>
      </c>
      <c r="BW14" s="15">
        <f t="shared" si="11"/>
        <v>4</v>
      </c>
      <c r="BX14" s="7">
        <v>2029.04</v>
      </c>
      <c r="BY14">
        <v>92</v>
      </c>
      <c r="BZ14" s="18">
        <v>2303585.21</v>
      </c>
      <c r="CA14" s="18">
        <v>2186929.4900000002</v>
      </c>
      <c r="CB14" s="19">
        <f t="shared" si="12"/>
        <v>116655.71999999974</v>
      </c>
      <c r="CC14" s="20">
        <f t="shared" si="13"/>
        <v>5.3342241043171317</v>
      </c>
      <c r="CD14" s="27">
        <v>1.3</v>
      </c>
      <c r="CE14" s="16">
        <v>-1671.66</v>
      </c>
      <c r="CF14">
        <f t="shared" si="14"/>
        <v>9</v>
      </c>
      <c r="CG14" s="16">
        <f t="shared" si="15"/>
        <v>14</v>
      </c>
    </row>
    <row r="15" spans="1:85" x14ac:dyDescent="0.25">
      <c r="A15">
        <v>79</v>
      </c>
      <c r="B15">
        <v>4</v>
      </c>
      <c r="C15" t="s">
        <v>61</v>
      </c>
      <c r="D15" t="s">
        <v>235</v>
      </c>
      <c r="E15" t="s">
        <v>93</v>
      </c>
      <c r="F15" t="s">
        <v>133</v>
      </c>
      <c r="G15" t="s">
        <v>249</v>
      </c>
      <c r="H15" s="1">
        <v>9215</v>
      </c>
      <c r="I15" t="s">
        <v>172</v>
      </c>
      <c r="J15" t="s">
        <v>188</v>
      </c>
      <c r="K15" t="s">
        <v>212</v>
      </c>
      <c r="L15" t="s">
        <v>211</v>
      </c>
      <c r="M15" s="2">
        <v>45949</v>
      </c>
      <c r="N15" s="2">
        <v>38508</v>
      </c>
      <c r="O15" s="2">
        <v>44762</v>
      </c>
      <c r="P15" s="3">
        <v>95</v>
      </c>
      <c r="Q15" s="4">
        <v>44502</v>
      </c>
      <c r="R15" s="3">
        <v>100</v>
      </c>
      <c r="S15" s="5">
        <v>552161.32999999996</v>
      </c>
      <c r="T15" s="5">
        <v>549533.05999999901</v>
      </c>
      <c r="U15" s="5">
        <v>2628.27</v>
      </c>
      <c r="V15" s="6">
        <v>0.47827331807857398</v>
      </c>
      <c r="W15">
        <f t="shared" si="0"/>
        <v>16</v>
      </c>
      <c r="X15" s="7">
        <v>25498</v>
      </c>
      <c r="Y15" s="7">
        <v>26986</v>
      </c>
      <c r="Z15" s="7">
        <v>-1488</v>
      </c>
      <c r="AA15" s="7">
        <v>-5.5139702067738803</v>
      </c>
      <c r="AB15">
        <f t="shared" si="1"/>
        <v>23</v>
      </c>
      <c r="AC15" s="6">
        <v>31.5279629774884</v>
      </c>
      <c r="AD15" s="6">
        <v>30.5010005187875</v>
      </c>
      <c r="AE15" s="7">
        <v>1.0269624587009101</v>
      </c>
      <c r="AF15" s="8">
        <v>3.3669795784841298E-2</v>
      </c>
      <c r="AG15" s="15">
        <f t="shared" si="17"/>
        <v>1</v>
      </c>
      <c r="AH15" s="6">
        <v>1.66525687274537</v>
      </c>
      <c r="AI15" s="6">
        <v>1.7542218442473601</v>
      </c>
      <c r="AJ15" s="6">
        <v>-8.8964971501991397E-2</v>
      </c>
      <c r="AK15" s="9">
        <v>-5.0714778061700301</v>
      </c>
      <c r="AL15" s="15">
        <f t="shared" si="2"/>
        <v>35</v>
      </c>
      <c r="AM15" s="6">
        <v>41.246084260850097</v>
      </c>
      <c r="AN15" s="9">
        <v>38.058941754969098</v>
      </c>
      <c r="AO15" s="6">
        <v>3.1871425058809399</v>
      </c>
      <c r="AP15" s="6">
        <v>8.3742278658202896</v>
      </c>
      <c r="AQ15" s="15">
        <f t="shared" si="3"/>
        <v>5</v>
      </c>
      <c r="AR15" s="10">
        <v>1.1480819600000001</v>
      </c>
      <c r="AS15" s="10">
        <v>42.291634471555497</v>
      </c>
      <c r="AT15" s="10">
        <v>13.932641047257301</v>
      </c>
      <c r="AU15" s="10">
        <v>9.1807634820817992</v>
      </c>
      <c r="AV15" s="10">
        <v>1.5345034698218101</v>
      </c>
      <c r="AW15" s="10">
        <v>1.00761131586941</v>
      </c>
      <c r="AX15" s="10">
        <v>61334.6</v>
      </c>
      <c r="AY15" s="10">
        <v>58855.3</v>
      </c>
      <c r="AZ15" s="10">
        <v>180413.53</v>
      </c>
      <c r="BA15" s="10">
        <v>175443.19</v>
      </c>
      <c r="BB15" s="10">
        <v>25303.056705898201</v>
      </c>
      <c r="BC15" s="10">
        <v>5.66210059005794</v>
      </c>
      <c r="BD15" s="11">
        <v>1</v>
      </c>
      <c r="BE15" s="15">
        <f t="shared" si="4"/>
        <v>1</v>
      </c>
      <c r="BF15" s="11">
        <v>0.98198198198198205</v>
      </c>
      <c r="BG15" s="15">
        <f t="shared" si="5"/>
        <v>5</v>
      </c>
      <c r="BH15" s="12">
        <v>2.6143735925875098</v>
      </c>
      <c r="BI15" s="15">
        <f t="shared" si="6"/>
        <v>10</v>
      </c>
      <c r="BJ15" s="9">
        <v>2.70330960615909</v>
      </c>
      <c r="BK15" s="76">
        <f t="shared" si="7"/>
        <v>12</v>
      </c>
      <c r="BL15" s="13">
        <v>75.320313471824804</v>
      </c>
      <c r="BM15" s="15">
        <f t="shared" si="8"/>
        <v>13</v>
      </c>
      <c r="BN15" s="13">
        <v>74.122220872311999</v>
      </c>
      <c r="BO15" s="14">
        <v>0.78563333333333296</v>
      </c>
      <c r="BP15" s="15">
        <f t="shared" si="9"/>
        <v>29</v>
      </c>
      <c r="BQ15" s="8">
        <v>-1.4073743993061501E-3</v>
      </c>
      <c r="BR15" s="15">
        <f t="shared" si="10"/>
        <v>2</v>
      </c>
      <c r="BS15" s="8">
        <v>-3.89537547791932E-3</v>
      </c>
      <c r="BT15" s="8">
        <v>-1.6116123162772001E-3</v>
      </c>
      <c r="BU15" s="8">
        <v>-1.4073743993061501E-3</v>
      </c>
      <c r="BV15" s="6">
        <v>-889.87</v>
      </c>
      <c r="BW15" s="15">
        <f t="shared" si="11"/>
        <v>3</v>
      </c>
      <c r="BX15" s="7">
        <v>1988.6</v>
      </c>
      <c r="BY15">
        <v>102</v>
      </c>
      <c r="BZ15" s="18">
        <v>1154419.18</v>
      </c>
      <c r="CA15" s="18">
        <v>1222220.77</v>
      </c>
      <c r="CB15" s="19">
        <f t="shared" si="12"/>
        <v>-67801.590000000084</v>
      </c>
      <c r="CC15" s="20">
        <f t="shared" si="13"/>
        <v>-5.5474094095128237</v>
      </c>
      <c r="CD15" s="27">
        <v>1.6</v>
      </c>
      <c r="CE15" s="16">
        <v>-811.82</v>
      </c>
      <c r="CF15">
        <f t="shared" si="14"/>
        <v>24</v>
      </c>
      <c r="CG15" s="16">
        <f t="shared" si="15"/>
        <v>8</v>
      </c>
    </row>
    <row r="16" spans="1:85" x14ac:dyDescent="0.25">
      <c r="A16">
        <v>83</v>
      </c>
      <c r="B16">
        <v>2</v>
      </c>
      <c r="C16" t="s">
        <v>59</v>
      </c>
      <c r="D16" t="s">
        <v>233</v>
      </c>
      <c r="E16" t="s">
        <v>95</v>
      </c>
      <c r="F16" t="s">
        <v>135</v>
      </c>
      <c r="G16" t="s">
        <v>245</v>
      </c>
      <c r="H16" s="1">
        <v>5789</v>
      </c>
      <c r="I16" t="s">
        <v>174</v>
      </c>
      <c r="J16" t="s">
        <v>201</v>
      </c>
      <c r="K16" t="s">
        <v>212</v>
      </c>
      <c r="L16" t="s">
        <v>211</v>
      </c>
      <c r="M16" s="2">
        <v>46518</v>
      </c>
      <c r="N16" s="2">
        <v>40053</v>
      </c>
      <c r="O16" s="2">
        <v>44895</v>
      </c>
      <c r="P16" s="3">
        <v>74.56</v>
      </c>
      <c r="Q16" s="4">
        <v>44895</v>
      </c>
      <c r="R16" s="3">
        <v>98.23</v>
      </c>
      <c r="S16" s="5">
        <v>1129033.95</v>
      </c>
      <c r="T16" s="5">
        <v>1147831.94</v>
      </c>
      <c r="U16" s="5">
        <v>-18797.990000000002</v>
      </c>
      <c r="V16" s="6">
        <v>-1.6376953232370299</v>
      </c>
      <c r="W16">
        <f t="shared" si="0"/>
        <v>23</v>
      </c>
      <c r="X16" s="7">
        <v>120240</v>
      </c>
      <c r="Y16" s="7">
        <v>127503</v>
      </c>
      <c r="Z16" s="7">
        <v>-7263</v>
      </c>
      <c r="AA16" s="7">
        <v>-5.6963365567868998</v>
      </c>
      <c r="AB16">
        <f t="shared" si="1"/>
        <v>24</v>
      </c>
      <c r="AC16" s="6">
        <v>12.845143047238899</v>
      </c>
      <c r="AD16" s="6">
        <v>12.8514623185337</v>
      </c>
      <c r="AE16" s="7">
        <v>-6.3192712948279004E-3</v>
      </c>
      <c r="AF16" s="8">
        <v>-4.9171612834397705E-4</v>
      </c>
      <c r="AG16" s="15">
        <f t="shared" si="17"/>
        <v>3</v>
      </c>
      <c r="AH16" s="6">
        <v>1.65283263191972</v>
      </c>
      <c r="AI16" s="6">
        <v>1.7527767606493301</v>
      </c>
      <c r="AJ16" s="6">
        <v>-9.9944128729619705E-2</v>
      </c>
      <c r="AK16" s="9">
        <v>-5.7020455184831604</v>
      </c>
      <c r="AL16" s="15">
        <f t="shared" si="2"/>
        <v>38</v>
      </c>
      <c r="AM16" s="6">
        <v>44.227277890943299</v>
      </c>
      <c r="AN16" s="9">
        <v>39.964901639915098</v>
      </c>
      <c r="AO16" s="6">
        <v>4.2623762510281997</v>
      </c>
      <c r="AP16" s="6">
        <v>10.665298990179799</v>
      </c>
      <c r="AQ16" s="15">
        <f t="shared" si="3"/>
        <v>1</v>
      </c>
      <c r="AR16" s="10">
        <v>2.6789852500000002</v>
      </c>
      <c r="AS16" s="10">
        <v>45.205509748128797</v>
      </c>
      <c r="AT16" s="10">
        <v>9.0818152279767794</v>
      </c>
      <c r="AU16" s="10">
        <v>12.400670803317301</v>
      </c>
      <c r="AV16" s="10">
        <v>3.3583908336072001</v>
      </c>
      <c r="AW16" s="10">
        <v>6.1431712863306203</v>
      </c>
      <c r="AX16" s="10">
        <v>88287.07</v>
      </c>
      <c r="AY16" s="10">
        <v>88178.46</v>
      </c>
      <c r="AZ16" s="10">
        <v>508829.86</v>
      </c>
      <c r="BA16" s="10">
        <v>507164.54</v>
      </c>
      <c r="BB16" s="10">
        <v>28395.653713670501</v>
      </c>
      <c r="BC16" s="10">
        <v>3.5661674181133498</v>
      </c>
      <c r="BD16" s="11">
        <v>0.97727272727272696</v>
      </c>
      <c r="BE16" s="15">
        <f t="shared" si="4"/>
        <v>12</v>
      </c>
      <c r="BF16" s="11">
        <v>0.91680261011419295</v>
      </c>
      <c r="BG16" s="15">
        <f t="shared" si="5"/>
        <v>28</v>
      </c>
      <c r="BH16" s="12">
        <v>1.15534878291304</v>
      </c>
      <c r="BI16" s="15">
        <f t="shared" si="6"/>
        <v>39</v>
      </c>
      <c r="BJ16" s="9">
        <v>1.67742674942466</v>
      </c>
      <c r="BK16" s="76">
        <f t="shared" si="7"/>
        <v>34</v>
      </c>
      <c r="BL16" s="13">
        <v>43.865328585302699</v>
      </c>
      <c r="BM16" s="15">
        <f t="shared" si="8"/>
        <v>37</v>
      </c>
      <c r="BN16" s="13">
        <v>47.107286708165503</v>
      </c>
      <c r="BO16" s="14">
        <v>0.84870000000000001</v>
      </c>
      <c r="BP16" s="15">
        <f t="shared" si="9"/>
        <v>20</v>
      </c>
      <c r="BQ16" s="8">
        <v>-8.7982022208992899E-3</v>
      </c>
      <c r="BR16" s="15">
        <f t="shared" si="10"/>
        <v>35</v>
      </c>
      <c r="BS16" s="8">
        <v>-1.1691533510561E-2</v>
      </c>
      <c r="BT16" s="8">
        <v>-7.56184523946334E-3</v>
      </c>
      <c r="BU16" s="8">
        <v>-8.7982022208993108E-3</v>
      </c>
      <c r="BV16" s="6">
        <v>-8537.5799999999908</v>
      </c>
      <c r="BW16" s="15">
        <f t="shared" si="11"/>
        <v>29</v>
      </c>
      <c r="BX16" s="7">
        <v>731.93</v>
      </c>
      <c r="BY16">
        <v>108</v>
      </c>
      <c r="BZ16" s="18">
        <v>2695427.93</v>
      </c>
      <c r="CA16" s="18">
        <v>2673671.6</v>
      </c>
      <c r="CB16" s="19">
        <f t="shared" si="12"/>
        <v>21756.330000000075</v>
      </c>
      <c r="CC16" s="20">
        <f t="shared" si="13"/>
        <v>0.81372484189906025</v>
      </c>
      <c r="CD16" s="27">
        <v>1.6</v>
      </c>
      <c r="CE16" s="16">
        <v>-6343.76</v>
      </c>
      <c r="CF16">
        <f t="shared" si="14"/>
        <v>16</v>
      </c>
      <c r="CG16" s="16">
        <f t="shared" si="15"/>
        <v>34</v>
      </c>
    </row>
    <row r="17" spans="1:85" x14ac:dyDescent="0.25">
      <c r="A17">
        <v>11</v>
      </c>
      <c r="B17">
        <v>1</v>
      </c>
      <c r="C17" t="s">
        <v>58</v>
      </c>
      <c r="D17" t="s">
        <v>232</v>
      </c>
      <c r="E17" t="s">
        <v>62</v>
      </c>
      <c r="F17" t="s">
        <v>102</v>
      </c>
      <c r="G17" t="s">
        <v>239</v>
      </c>
      <c r="H17" s="1">
        <v>6345</v>
      </c>
      <c r="I17" t="s">
        <v>142</v>
      </c>
      <c r="J17" t="s">
        <v>186</v>
      </c>
      <c r="K17" t="s">
        <v>212</v>
      </c>
      <c r="L17" t="s">
        <v>218</v>
      </c>
      <c r="M17" s="2">
        <v>45730</v>
      </c>
      <c r="N17" s="2">
        <v>36993</v>
      </c>
      <c r="O17" s="2">
        <v>45020</v>
      </c>
      <c r="P17" s="3">
        <v>77.010000000000005</v>
      </c>
      <c r="Q17" s="4">
        <v>45020</v>
      </c>
      <c r="R17" s="3">
        <v>84.9</v>
      </c>
      <c r="S17" s="5">
        <v>1291956.71</v>
      </c>
      <c r="T17" s="5">
        <v>1275249.8799999999</v>
      </c>
      <c r="U17" s="5">
        <v>16706.830000000002</v>
      </c>
      <c r="V17" s="6">
        <v>1.3100828521544801</v>
      </c>
      <c r="W17">
        <f t="shared" si="0"/>
        <v>15</v>
      </c>
      <c r="X17" s="7">
        <v>60010</v>
      </c>
      <c r="Y17" s="7">
        <v>62274</v>
      </c>
      <c r="Z17" s="7">
        <v>-2264</v>
      </c>
      <c r="AA17" s="7">
        <v>-3.6355461348235201</v>
      </c>
      <c r="AB17">
        <f t="shared" si="1"/>
        <v>18</v>
      </c>
      <c r="AC17" s="6">
        <v>29.291784702549599</v>
      </c>
      <c r="AD17" s="6">
        <v>28.819410990140302</v>
      </c>
      <c r="AE17" s="7">
        <v>0.47237371240922599</v>
      </c>
      <c r="AF17" s="8">
        <v>1.6390817722500801E-2</v>
      </c>
      <c r="AG17" s="15">
        <f>RANK($AF17,$AF$17:$AF$42,0)</f>
        <v>12</v>
      </c>
      <c r="AH17" s="6">
        <v>1.6550802139037399</v>
      </c>
      <c r="AI17" s="6">
        <v>1.6999498523430101</v>
      </c>
      <c r="AJ17" s="6">
        <v>-4.4869638439266599E-2</v>
      </c>
      <c r="AK17" s="9">
        <v>-2.6394683571061601</v>
      </c>
      <c r="AL17" s="15">
        <f t="shared" si="2"/>
        <v>19</v>
      </c>
      <c r="AM17" s="6">
        <v>44.407820094180799</v>
      </c>
      <c r="AN17" s="9">
        <v>41.799137303746399</v>
      </c>
      <c r="AO17" s="6">
        <v>2.6086827904343202</v>
      </c>
      <c r="AP17" s="6">
        <v>6.2409967255484498</v>
      </c>
      <c r="AQ17" s="15">
        <f t="shared" si="3"/>
        <v>17</v>
      </c>
      <c r="AR17" s="10">
        <v>2.8006590600000001</v>
      </c>
      <c r="AS17" s="10">
        <v>46.140356595142698</v>
      </c>
      <c r="AT17" s="10">
        <v>8.84880621599034</v>
      </c>
      <c r="AU17" s="10">
        <v>6.0271115194448397</v>
      </c>
      <c r="AV17" s="10">
        <v>1.7342037144862501</v>
      </c>
      <c r="AW17" s="10">
        <v>3.22950087857327</v>
      </c>
      <c r="AX17" s="10">
        <v>233978.54</v>
      </c>
      <c r="AY17" s="10">
        <v>225093.59</v>
      </c>
      <c r="AZ17" s="10">
        <v>688189.2</v>
      </c>
      <c r="BA17" s="10">
        <v>665926.16</v>
      </c>
      <c r="BB17" s="10">
        <v>148383.02157985701</v>
      </c>
      <c r="BC17" s="10">
        <v>14.5229607542406</v>
      </c>
      <c r="BD17" s="11">
        <v>0.94662921348314599</v>
      </c>
      <c r="BE17" s="15">
        <f t="shared" si="4"/>
        <v>32</v>
      </c>
      <c r="BF17" s="11">
        <v>0.94546498277841595</v>
      </c>
      <c r="BG17" s="15">
        <f t="shared" si="5"/>
        <v>21</v>
      </c>
      <c r="BH17" s="12">
        <v>1.9567590619967401</v>
      </c>
      <c r="BI17" s="15">
        <f t="shared" si="6"/>
        <v>26</v>
      </c>
      <c r="BJ17" s="9">
        <v>2.5420617957635101</v>
      </c>
      <c r="BK17" s="76">
        <f t="shared" si="7"/>
        <v>16</v>
      </c>
      <c r="BL17" s="13">
        <v>57.6857435430652</v>
      </c>
      <c r="BM17" s="15">
        <f t="shared" si="8"/>
        <v>27</v>
      </c>
      <c r="BN17" s="13">
        <v>61.180141527831999</v>
      </c>
      <c r="BO17" s="14">
        <v>0.75700000000000001</v>
      </c>
      <c r="BP17" s="15">
        <f t="shared" si="9"/>
        <v>33</v>
      </c>
      <c r="BQ17" s="8">
        <v>-2.43848126632158E-3</v>
      </c>
      <c r="BR17" s="15">
        <f t="shared" si="10"/>
        <v>7</v>
      </c>
      <c r="BS17" s="8">
        <v>3.3412371878248001E-4</v>
      </c>
      <c r="BT17" s="8">
        <v>-4.1720902552532099E-3</v>
      </c>
      <c r="BU17" s="8">
        <v>-2.43848126632158E-3</v>
      </c>
      <c r="BV17" s="6">
        <v>-5390.16</v>
      </c>
      <c r="BW17" s="15">
        <f t="shared" si="11"/>
        <v>20</v>
      </c>
      <c r="BX17" s="7">
        <v>1792.98</v>
      </c>
      <c r="BY17">
        <v>7</v>
      </c>
      <c r="BZ17" s="18">
        <v>2784433.94</v>
      </c>
      <c r="CA17" s="18">
        <v>2431654.14</v>
      </c>
      <c r="CB17" s="19">
        <f t="shared" si="12"/>
        <v>352779.79999999981</v>
      </c>
      <c r="CC17" s="20">
        <f t="shared" si="13"/>
        <v>14.507811542639852</v>
      </c>
      <c r="CD17" s="27">
        <v>2.4</v>
      </c>
      <c r="CE17" s="16">
        <v>-2063.15</v>
      </c>
      <c r="CF17">
        <f t="shared" si="14"/>
        <v>2</v>
      </c>
      <c r="CG17" s="16">
        <f t="shared" si="15"/>
        <v>20</v>
      </c>
    </row>
    <row r="18" spans="1:85" x14ac:dyDescent="0.25">
      <c r="A18">
        <v>12</v>
      </c>
      <c r="B18">
        <v>2</v>
      </c>
      <c r="C18" t="s">
        <v>59</v>
      </c>
      <c r="D18" t="s">
        <v>233</v>
      </c>
      <c r="E18" t="s">
        <v>63</v>
      </c>
      <c r="F18" t="s">
        <v>103</v>
      </c>
      <c r="G18" t="s">
        <v>250</v>
      </c>
      <c r="H18" s="1">
        <v>7589</v>
      </c>
      <c r="I18" t="s">
        <v>143</v>
      </c>
      <c r="J18" t="s">
        <v>192</v>
      </c>
      <c r="K18" t="s">
        <v>213</v>
      </c>
      <c r="L18" t="s">
        <v>218</v>
      </c>
      <c r="M18" s="2">
        <v>46225</v>
      </c>
      <c r="N18" s="2">
        <v>45596</v>
      </c>
      <c r="O18" s="2">
        <v>44880</v>
      </c>
      <c r="P18" s="3">
        <v>60</v>
      </c>
      <c r="Q18" s="4">
        <v>44880</v>
      </c>
      <c r="R18" s="3">
        <v>86.99</v>
      </c>
      <c r="S18" s="5">
        <v>1208618.04</v>
      </c>
      <c r="T18" s="5">
        <v>1208741.81</v>
      </c>
      <c r="U18" s="5">
        <v>-123.76999999999499</v>
      </c>
      <c r="V18" s="6">
        <v>-1.02395729986389E-2</v>
      </c>
      <c r="W18">
        <f t="shared" si="0"/>
        <v>18</v>
      </c>
      <c r="X18" s="7">
        <v>53021</v>
      </c>
      <c r="Y18" s="7">
        <v>54888</v>
      </c>
      <c r="Z18" s="7">
        <v>-1867</v>
      </c>
      <c r="AA18" s="7">
        <v>-3.4014720886168202</v>
      </c>
      <c r="AB18">
        <f t="shared" si="1"/>
        <v>17</v>
      </c>
      <c r="AC18" s="6">
        <v>33.011448294072203</v>
      </c>
      <c r="AD18" s="6">
        <v>32.087159306223597</v>
      </c>
      <c r="AE18" s="7">
        <v>0.92428898784857705</v>
      </c>
      <c r="AF18" s="8">
        <v>2.88055723171887E-2</v>
      </c>
      <c r="AG18" s="15">
        <f t="shared" ref="AG18:AG42" si="18">RANK($AF18,$AF$17:$AF$42,0)</f>
        <v>8</v>
      </c>
      <c r="AH18" s="6">
        <v>1.5847568988173499</v>
      </c>
      <c r="AI18" s="6">
        <v>1.67419940949353</v>
      </c>
      <c r="AJ18" s="6">
        <v>-8.94425106761816E-2</v>
      </c>
      <c r="AK18" s="9">
        <v>-5.3424048634230203</v>
      </c>
      <c r="AL18" s="15">
        <f t="shared" si="2"/>
        <v>36</v>
      </c>
      <c r="AM18" s="6">
        <v>43.572645468310597</v>
      </c>
      <c r="AN18" s="9">
        <v>40.993753306654</v>
      </c>
      <c r="AO18" s="6">
        <v>2.5788921616566198</v>
      </c>
      <c r="AP18" s="6">
        <v>6.2909393593828797</v>
      </c>
      <c r="AQ18" s="15">
        <f t="shared" si="3"/>
        <v>16</v>
      </c>
      <c r="AR18" s="10">
        <v>2.5404150300000001</v>
      </c>
      <c r="AS18" s="10">
        <v>44.008937941573002</v>
      </c>
      <c r="AT18" s="10">
        <v>9.2675343431567399</v>
      </c>
      <c r="AU18" s="10">
        <v>6.24243102812075</v>
      </c>
      <c r="AV18" s="10">
        <v>1.5393860714074601</v>
      </c>
      <c r="AW18" s="10">
        <v>1.1488757155787499</v>
      </c>
      <c r="AX18" s="10">
        <v>220536.95999999999</v>
      </c>
      <c r="AY18" s="10">
        <v>216962.84</v>
      </c>
      <c r="AZ18" s="10">
        <v>586042.36</v>
      </c>
      <c r="BA18" s="10">
        <v>574001.97</v>
      </c>
      <c r="BB18" s="10">
        <v>144614.43330905301</v>
      </c>
      <c r="BC18" s="10">
        <v>15.007516272740499</v>
      </c>
      <c r="BD18" s="11">
        <v>0.96656534954407303</v>
      </c>
      <c r="BE18" s="15">
        <f t="shared" si="4"/>
        <v>21</v>
      </c>
      <c r="BF18" s="11">
        <v>0.90121412803531997</v>
      </c>
      <c r="BG18" s="15">
        <f t="shared" si="5"/>
        <v>33</v>
      </c>
      <c r="BH18" s="12">
        <v>2.2780580041648202</v>
      </c>
      <c r="BI18" s="15">
        <f t="shared" si="6"/>
        <v>19</v>
      </c>
      <c r="BJ18" s="9">
        <v>2.3340162279982701</v>
      </c>
      <c r="BK18" s="76">
        <f t="shared" si="7"/>
        <v>21</v>
      </c>
      <c r="BL18" s="13">
        <v>65.737302176769703</v>
      </c>
      <c r="BM18" s="15">
        <f t="shared" si="8"/>
        <v>18</v>
      </c>
      <c r="BN18" s="13">
        <v>57.659550306609098</v>
      </c>
      <c r="BO18" s="14">
        <v>0.68682500000000002</v>
      </c>
      <c r="BP18" s="15">
        <f t="shared" si="9"/>
        <v>39</v>
      </c>
      <c r="BQ18" s="8">
        <v>-6.0998900813462502E-3</v>
      </c>
      <c r="BR18" s="15">
        <f t="shared" si="10"/>
        <v>31</v>
      </c>
      <c r="BS18" s="8">
        <v>-8.2848701211179591E-3</v>
      </c>
      <c r="BT18" s="8">
        <v>-1.2113711292940799E-2</v>
      </c>
      <c r="BU18" s="8">
        <v>-6.0998900813462398E-3</v>
      </c>
      <c r="BV18" s="6">
        <v>-14640.85</v>
      </c>
      <c r="BW18" s="15">
        <f t="shared" si="11"/>
        <v>39</v>
      </c>
      <c r="BX18" s="7">
        <v>2294.33</v>
      </c>
      <c r="BY18">
        <v>10</v>
      </c>
      <c r="BZ18" s="18">
        <v>2537794.91</v>
      </c>
      <c r="CA18" s="18">
        <v>2726527.89</v>
      </c>
      <c r="CB18" s="19">
        <f t="shared" si="12"/>
        <v>-188732.97999999998</v>
      </c>
      <c r="CC18" s="20">
        <f t="shared" si="13"/>
        <v>-6.9220997405605109</v>
      </c>
      <c r="CD18" s="27">
        <v>2.2000000000000002</v>
      </c>
      <c r="CE18" s="16">
        <v>-5096.12</v>
      </c>
      <c r="CF18">
        <f t="shared" si="14"/>
        <v>23</v>
      </c>
      <c r="CG18" s="16">
        <f t="shared" si="15"/>
        <v>25</v>
      </c>
    </row>
    <row r="19" spans="1:85" x14ac:dyDescent="0.25">
      <c r="A19">
        <v>15</v>
      </c>
      <c r="B19">
        <v>4</v>
      </c>
      <c r="C19" t="s">
        <v>61</v>
      </c>
      <c r="D19" t="s">
        <v>235</v>
      </c>
      <c r="E19" t="s">
        <v>65</v>
      </c>
      <c r="F19" t="s">
        <v>105</v>
      </c>
      <c r="G19" t="s">
        <v>251</v>
      </c>
      <c r="H19" s="1">
        <v>8976</v>
      </c>
      <c r="I19" t="s">
        <v>145</v>
      </c>
      <c r="J19" t="s">
        <v>184</v>
      </c>
      <c r="K19" t="s">
        <v>213</v>
      </c>
      <c r="L19" t="s">
        <v>218</v>
      </c>
      <c r="M19" s="2">
        <v>46496</v>
      </c>
      <c r="N19" s="2">
        <v>45354</v>
      </c>
      <c r="O19" s="2">
        <v>45070</v>
      </c>
      <c r="P19" s="3">
        <v>80</v>
      </c>
      <c r="Q19" s="4">
        <v>44678</v>
      </c>
      <c r="R19" s="3">
        <v>100</v>
      </c>
      <c r="S19" s="5">
        <v>907578.81</v>
      </c>
      <c r="T19" s="5">
        <v>910502.8</v>
      </c>
      <c r="U19" s="5">
        <v>-2923.9899999999898</v>
      </c>
      <c r="V19" s="6">
        <v>-0.32114014366568699</v>
      </c>
      <c r="W19">
        <f t="shared" si="0"/>
        <v>21</v>
      </c>
      <c r="X19" s="7">
        <v>40805</v>
      </c>
      <c r="Y19" s="7">
        <v>41381</v>
      </c>
      <c r="Z19" s="7">
        <v>-576</v>
      </c>
      <c r="AA19" s="7">
        <v>-1.39194316232087</v>
      </c>
      <c r="AB19">
        <f t="shared" si="1"/>
        <v>10</v>
      </c>
      <c r="AC19" s="6">
        <v>32.263203038843301</v>
      </c>
      <c r="AD19" s="6">
        <v>32.3989270438124</v>
      </c>
      <c r="AE19" s="7">
        <v>-0.135724004969099</v>
      </c>
      <c r="AF19" s="8">
        <v>-4.1891512266922304E-3</v>
      </c>
      <c r="AG19" s="15">
        <f t="shared" si="18"/>
        <v>20</v>
      </c>
      <c r="AH19" s="6">
        <v>1.6184580326623601</v>
      </c>
      <c r="AI19" s="6">
        <v>1.72767957037369</v>
      </c>
      <c r="AJ19" s="6">
        <v>-0.10922153771132299</v>
      </c>
      <c r="AK19" s="9">
        <v>-6.32186312695121</v>
      </c>
      <c r="AL19" s="15">
        <f t="shared" si="2"/>
        <v>40</v>
      </c>
      <c r="AM19" s="6">
        <v>42.595335335805103</v>
      </c>
      <c r="AN19" s="9">
        <v>39.308500625998398</v>
      </c>
      <c r="AO19" s="6">
        <v>3.2868347098067701</v>
      </c>
      <c r="AP19" s="6">
        <v>8.36163846868501</v>
      </c>
      <c r="AQ19" s="15">
        <f t="shared" si="3"/>
        <v>6</v>
      </c>
      <c r="AR19" s="10">
        <v>1.9703014400000001</v>
      </c>
      <c r="AS19" s="10">
        <v>44.0546184434765</v>
      </c>
      <c r="AT19" s="10">
        <v>11.820259826161299</v>
      </c>
      <c r="AU19" s="10">
        <v>8.5512428301078405</v>
      </c>
      <c r="AV19" s="10">
        <v>1.5286954192469799</v>
      </c>
      <c r="AW19" s="10">
        <v>2.1172453105702602</v>
      </c>
      <c r="AX19" s="10">
        <v>128752.32000000001</v>
      </c>
      <c r="AY19" s="10">
        <v>127186.92</v>
      </c>
      <c r="AZ19" s="10">
        <v>412637.56</v>
      </c>
      <c r="BA19" s="10">
        <v>407876.94</v>
      </c>
      <c r="BB19" s="10">
        <v>72311.616891476006</v>
      </c>
      <c r="BC19" s="10">
        <v>9.8936671276278201</v>
      </c>
      <c r="BD19" s="11">
        <v>0.94630872483221495</v>
      </c>
      <c r="BE19" s="15">
        <f t="shared" si="4"/>
        <v>33</v>
      </c>
      <c r="BF19" s="11">
        <v>0.93294797687861297</v>
      </c>
      <c r="BG19" s="15">
        <f t="shared" si="5"/>
        <v>25</v>
      </c>
      <c r="BH19" s="12">
        <v>2.4699485877154799</v>
      </c>
      <c r="BI19" s="15">
        <f t="shared" si="6"/>
        <v>13</v>
      </c>
      <c r="BJ19" s="9">
        <v>2.29064204964553</v>
      </c>
      <c r="BK19" s="76">
        <f t="shared" si="7"/>
        <v>23</v>
      </c>
      <c r="BL19" s="13">
        <v>78.526395746296998</v>
      </c>
      <c r="BM19" s="15">
        <f t="shared" si="8"/>
        <v>10</v>
      </c>
      <c r="BN19" s="13">
        <v>64.898933393003702</v>
      </c>
      <c r="BO19" s="14">
        <v>0.78416666666666701</v>
      </c>
      <c r="BP19" s="15">
        <f t="shared" si="9"/>
        <v>30</v>
      </c>
      <c r="BQ19" s="8">
        <v>-3.2628027809613398E-3</v>
      </c>
      <c r="BR19" s="15">
        <f t="shared" si="10"/>
        <v>16</v>
      </c>
      <c r="BS19" s="8">
        <v>-4.94931598261857E-3</v>
      </c>
      <c r="BT19" s="8">
        <v>-4.8707725999023697E-3</v>
      </c>
      <c r="BU19" s="8">
        <v>-3.2628027809613498E-3</v>
      </c>
      <c r="BV19" s="6">
        <v>-4420.6099999999997</v>
      </c>
      <c r="BW19" s="15">
        <f t="shared" si="11"/>
        <v>14</v>
      </c>
      <c r="BX19" s="7">
        <v>2170.83</v>
      </c>
      <c r="BY19">
        <v>13</v>
      </c>
      <c r="BZ19" s="18">
        <v>1977376.64</v>
      </c>
      <c r="CA19" s="18">
        <v>2028999.01</v>
      </c>
      <c r="CB19" s="19">
        <f t="shared" si="12"/>
        <v>-51622.370000000112</v>
      </c>
      <c r="CC19" s="20">
        <f t="shared" si="13"/>
        <v>-2.5442284469128507</v>
      </c>
      <c r="CD19" s="27">
        <v>1.9</v>
      </c>
      <c r="CE19" s="16">
        <v>-5116.9799999999996</v>
      </c>
      <c r="CF19">
        <f t="shared" si="14"/>
        <v>20</v>
      </c>
      <c r="CG19" s="16">
        <f t="shared" si="15"/>
        <v>15</v>
      </c>
    </row>
    <row r="20" spans="1:85" x14ac:dyDescent="0.25">
      <c r="A20">
        <v>18</v>
      </c>
      <c r="B20">
        <v>1</v>
      </c>
      <c r="C20" t="s">
        <v>58</v>
      </c>
      <c r="D20" t="s">
        <v>232</v>
      </c>
      <c r="E20" t="s">
        <v>66</v>
      </c>
      <c r="F20" t="s">
        <v>106</v>
      </c>
      <c r="G20" t="s">
        <v>252</v>
      </c>
      <c r="H20" s="1">
        <v>6542</v>
      </c>
      <c r="I20" t="s">
        <v>146</v>
      </c>
      <c r="J20" t="s">
        <v>205</v>
      </c>
      <c r="K20" t="s">
        <v>213</v>
      </c>
      <c r="L20" t="s">
        <v>218</v>
      </c>
      <c r="M20" s="2">
        <v>45899</v>
      </c>
      <c r="N20" s="2">
        <v>45512</v>
      </c>
      <c r="O20" s="2">
        <v>44964</v>
      </c>
      <c r="P20" s="3">
        <v>98.25</v>
      </c>
      <c r="Q20" s="4">
        <v>44964</v>
      </c>
      <c r="R20" s="3">
        <v>99.77</v>
      </c>
      <c r="S20" s="5">
        <v>1515731.21</v>
      </c>
      <c r="T20" s="5">
        <v>1516474.74</v>
      </c>
      <c r="U20" s="5">
        <v>-743.52999999999895</v>
      </c>
      <c r="V20" s="6">
        <v>-4.9030160568228898E-2</v>
      </c>
      <c r="W20">
        <f t="shared" si="0"/>
        <v>19</v>
      </c>
      <c r="X20" s="7">
        <v>54361</v>
      </c>
      <c r="Y20" s="7">
        <v>56889</v>
      </c>
      <c r="Z20" s="7">
        <v>-2528</v>
      </c>
      <c r="AA20" s="7">
        <v>-4.4437413208177299</v>
      </c>
      <c r="AB20">
        <f t="shared" si="1"/>
        <v>19</v>
      </c>
      <c r="AC20" s="6">
        <v>36.798440058129898</v>
      </c>
      <c r="AD20" s="6">
        <v>35.447977640668697</v>
      </c>
      <c r="AE20" s="7">
        <v>1.3504624174612401</v>
      </c>
      <c r="AF20" s="8">
        <v>3.8097022943049098E-2</v>
      </c>
      <c r="AG20" s="15">
        <f t="shared" si="18"/>
        <v>6</v>
      </c>
      <c r="AH20" s="6">
        <v>1.7235552889422101</v>
      </c>
      <c r="AI20" s="6">
        <v>1.79549737181394</v>
      </c>
      <c r="AJ20" s="6">
        <v>-7.1942082871732496E-2</v>
      </c>
      <c r="AK20" s="9">
        <v>-4.0068052452257996</v>
      </c>
      <c r="AL20" s="15">
        <f t="shared" si="2"/>
        <v>28</v>
      </c>
      <c r="AM20" s="6">
        <v>43.962271883519897</v>
      </c>
      <c r="AN20" s="9">
        <v>41.8823116438356</v>
      </c>
      <c r="AO20" s="6">
        <v>2.07996023968435</v>
      </c>
      <c r="AP20" s="6">
        <v>4.9662020983277904</v>
      </c>
      <c r="AQ20" s="15">
        <f t="shared" si="3"/>
        <v>22</v>
      </c>
      <c r="AR20" s="10">
        <v>3.32395745</v>
      </c>
      <c r="AS20" s="10">
        <v>42.8078925246393</v>
      </c>
      <c r="AT20" s="10">
        <v>13.1778791802746</v>
      </c>
      <c r="AU20" s="10">
        <v>6.9716729953600902</v>
      </c>
      <c r="AV20" s="10">
        <v>1.5505440678017699</v>
      </c>
      <c r="AW20" s="10">
        <v>1.91058323404715</v>
      </c>
      <c r="AX20" s="10">
        <v>199535.05</v>
      </c>
      <c r="AY20" s="10">
        <v>181230.45</v>
      </c>
      <c r="AZ20" s="10">
        <v>608201.74</v>
      </c>
      <c r="BA20" s="10">
        <v>564817.61</v>
      </c>
      <c r="BB20" s="10">
        <v>89455.3608863556</v>
      </c>
      <c r="BC20" s="10">
        <v>7.3182579180732397</v>
      </c>
      <c r="BD20" s="11">
        <v>0.99134199134199097</v>
      </c>
      <c r="BE20" s="15">
        <f t="shared" si="4"/>
        <v>4</v>
      </c>
      <c r="BF20" s="11">
        <v>0.99426605504587195</v>
      </c>
      <c r="BG20" s="15">
        <f t="shared" si="5"/>
        <v>1</v>
      </c>
      <c r="BH20" s="12">
        <v>3.1013493480813099</v>
      </c>
      <c r="BI20" s="15">
        <f t="shared" si="6"/>
        <v>6</v>
      </c>
      <c r="BJ20" s="9">
        <v>3.2728220715367802</v>
      </c>
      <c r="BK20" s="76">
        <f t="shared" si="7"/>
        <v>6</v>
      </c>
      <c r="BL20" s="13">
        <v>85.9228154369126</v>
      </c>
      <c r="BM20" s="15">
        <f t="shared" si="8"/>
        <v>6</v>
      </c>
      <c r="BN20" s="13">
        <v>82.148170187444194</v>
      </c>
      <c r="BO20" s="14">
        <v>1</v>
      </c>
      <c r="BP20" s="15">
        <f t="shared" si="9"/>
        <v>1</v>
      </c>
      <c r="BQ20" s="8">
        <v>-5.3330537700368797E-3</v>
      </c>
      <c r="BR20" s="15">
        <f t="shared" si="10"/>
        <v>24</v>
      </c>
      <c r="BS20" s="8">
        <v>-7.8981684733165601E-3</v>
      </c>
      <c r="BT20" s="8">
        <v>-7.7465317877831296E-3</v>
      </c>
      <c r="BU20" s="8">
        <v>-5.3330537700368701E-3</v>
      </c>
      <c r="BV20" s="6">
        <v>-11741.66</v>
      </c>
      <c r="BW20" s="15">
        <f t="shared" si="11"/>
        <v>36</v>
      </c>
      <c r="BX20" s="7">
        <v>7769.11</v>
      </c>
      <c r="BY20">
        <v>14</v>
      </c>
      <c r="BZ20" s="18">
        <v>3330813.97</v>
      </c>
      <c r="CA20" s="18">
        <v>3033356.17</v>
      </c>
      <c r="CB20" s="19">
        <f t="shared" si="12"/>
        <v>297457.80000000028</v>
      </c>
      <c r="CC20" s="20">
        <f t="shared" si="13"/>
        <v>9.8062272720186456</v>
      </c>
      <c r="CD20" s="27">
        <v>2</v>
      </c>
      <c r="CE20" s="16">
        <v>-6232.77</v>
      </c>
      <c r="CF20">
        <f t="shared" si="14"/>
        <v>2</v>
      </c>
      <c r="CG20" s="16">
        <f t="shared" si="15"/>
        <v>5</v>
      </c>
    </row>
    <row r="21" spans="1:85" x14ac:dyDescent="0.25">
      <c r="A21">
        <v>25</v>
      </c>
      <c r="B21">
        <v>1</v>
      </c>
      <c r="C21" t="s">
        <v>58</v>
      </c>
      <c r="D21" t="s">
        <v>232</v>
      </c>
      <c r="E21" t="s">
        <v>70</v>
      </c>
      <c r="F21" t="s">
        <v>110</v>
      </c>
      <c r="G21" t="s">
        <v>253</v>
      </c>
      <c r="H21" s="1">
        <v>8341</v>
      </c>
      <c r="I21" t="s">
        <v>150</v>
      </c>
      <c r="J21" t="s">
        <v>182</v>
      </c>
      <c r="K21" t="s">
        <v>212</v>
      </c>
      <c r="L21" t="s">
        <v>218</v>
      </c>
      <c r="M21" s="2">
        <v>46376</v>
      </c>
      <c r="N21" s="2">
        <v>38538</v>
      </c>
      <c r="O21" s="2">
        <v>44882</v>
      </c>
      <c r="P21" s="3">
        <v>72.78</v>
      </c>
      <c r="Q21" s="4">
        <v>44882</v>
      </c>
      <c r="R21" s="3">
        <v>95.94</v>
      </c>
      <c r="S21" s="5">
        <v>1091268.33</v>
      </c>
      <c r="T21" s="5">
        <v>1138566.24</v>
      </c>
      <c r="U21" s="5">
        <v>-47297.91</v>
      </c>
      <c r="V21" s="6">
        <v>-4.1541641002810401</v>
      </c>
      <c r="W21">
        <f t="shared" si="0"/>
        <v>27</v>
      </c>
      <c r="X21" s="7">
        <v>43925</v>
      </c>
      <c r="Y21" s="7">
        <v>47157</v>
      </c>
      <c r="Z21" s="7">
        <v>-3232</v>
      </c>
      <c r="AA21" s="7">
        <v>-6.8537014653179797</v>
      </c>
      <c r="AB21">
        <f t="shared" si="1"/>
        <v>26</v>
      </c>
      <c r="AC21" s="6">
        <v>36</v>
      </c>
      <c r="AD21" s="6">
        <v>35.755031066437603</v>
      </c>
      <c r="AE21" s="7">
        <v>0.244968933562355</v>
      </c>
      <c r="AF21" s="8">
        <v>6.8513136824624602E-3</v>
      </c>
      <c r="AG21" s="15">
        <f t="shared" si="18"/>
        <v>15</v>
      </c>
      <c r="AH21" s="6">
        <v>1.6786820970087899</v>
      </c>
      <c r="AI21" s="6">
        <v>1.722792242453</v>
      </c>
      <c r="AJ21" s="6">
        <v>-4.4110145444207702E-2</v>
      </c>
      <c r="AK21" s="9">
        <v>-2.5603868160795402</v>
      </c>
      <c r="AL21" s="15">
        <f t="shared" si="2"/>
        <v>18</v>
      </c>
      <c r="AM21" s="6">
        <v>41.110127330947499</v>
      </c>
      <c r="AN21" s="9">
        <v>39.196028642247299</v>
      </c>
      <c r="AO21" s="6">
        <v>1.9140986887001401</v>
      </c>
      <c r="AP21" s="6">
        <v>4.8833995560382801</v>
      </c>
      <c r="AQ21" s="15">
        <f t="shared" si="3"/>
        <v>23</v>
      </c>
      <c r="AR21" s="10">
        <v>2.4005779199999999</v>
      </c>
      <c r="AS21" s="10">
        <v>44.691205147887601</v>
      </c>
      <c r="AT21" s="10">
        <v>9.7968472516084404</v>
      </c>
      <c r="AU21" s="10">
        <v>7.8827878421784003</v>
      </c>
      <c r="AV21" s="10">
        <v>1.5378189772895701</v>
      </c>
      <c r="AW21" s="10">
        <v>2.3843040433088598</v>
      </c>
      <c r="AX21" s="10">
        <v>175059.21</v>
      </c>
      <c r="AY21" s="10">
        <v>173160.35</v>
      </c>
      <c r="AZ21" s="10">
        <v>518924.56</v>
      </c>
      <c r="BA21" s="10">
        <v>514933.66</v>
      </c>
      <c r="BB21" s="10">
        <v>106011.986468837</v>
      </c>
      <c r="BC21" s="10">
        <v>11.8534751498118</v>
      </c>
      <c r="BD21" s="11">
        <v>0.97305389221556904</v>
      </c>
      <c r="BE21" s="15">
        <f t="shared" si="4"/>
        <v>16</v>
      </c>
      <c r="BF21" s="11">
        <v>0.95274212368728095</v>
      </c>
      <c r="BG21" s="15">
        <f t="shared" si="5"/>
        <v>19</v>
      </c>
      <c r="BH21" s="12">
        <v>2.9329101853436899</v>
      </c>
      <c r="BI21" s="15">
        <f t="shared" si="6"/>
        <v>7</v>
      </c>
      <c r="BJ21" s="9">
        <v>2.67111116872743</v>
      </c>
      <c r="BK21" s="76">
        <f t="shared" si="7"/>
        <v>14</v>
      </c>
      <c r="BL21" s="13">
        <v>63.915765509391001</v>
      </c>
      <c r="BM21" s="15">
        <f t="shared" si="8"/>
        <v>21</v>
      </c>
      <c r="BN21" s="13">
        <v>63.2999228989977</v>
      </c>
      <c r="BO21" s="14">
        <v>0.69123333333333303</v>
      </c>
      <c r="BP21" s="15">
        <f t="shared" si="9"/>
        <v>37</v>
      </c>
      <c r="BQ21" s="8">
        <v>-2.89846129090755E-3</v>
      </c>
      <c r="BR21" s="15">
        <f t="shared" si="10"/>
        <v>12</v>
      </c>
      <c r="BS21" s="8">
        <v>-6.5231932556315099E-3</v>
      </c>
      <c r="BT21" s="8">
        <v>-4.5399924691299299E-3</v>
      </c>
      <c r="BU21" s="8">
        <v>-2.89846129090755E-3</v>
      </c>
      <c r="BV21" s="6">
        <v>-4954.3500000000004</v>
      </c>
      <c r="BW21" s="15">
        <f t="shared" si="11"/>
        <v>16</v>
      </c>
      <c r="BX21" s="7">
        <v>3606.77</v>
      </c>
      <c r="BY21">
        <v>20</v>
      </c>
      <c r="BZ21" s="18">
        <v>2437883.17</v>
      </c>
      <c r="CA21" s="18">
        <v>2285156.9700000002</v>
      </c>
      <c r="CB21" s="19">
        <f t="shared" si="12"/>
        <v>152726.19999999972</v>
      </c>
      <c r="CC21" s="20">
        <f t="shared" si="13"/>
        <v>6.6834008343855569</v>
      </c>
      <c r="CD21" s="27">
        <v>2.1</v>
      </c>
      <c r="CE21" s="16">
        <v>-4512.8100000000004</v>
      </c>
      <c r="CF21">
        <f t="shared" si="14"/>
        <v>4</v>
      </c>
      <c r="CG21" s="16">
        <f t="shared" si="15"/>
        <v>16</v>
      </c>
    </row>
    <row r="22" spans="1:85" x14ac:dyDescent="0.25">
      <c r="A22">
        <v>26</v>
      </c>
      <c r="B22">
        <v>2</v>
      </c>
      <c r="C22" t="s">
        <v>59</v>
      </c>
      <c r="D22" t="s">
        <v>233</v>
      </c>
      <c r="E22" t="s">
        <v>71</v>
      </c>
      <c r="F22" t="s">
        <v>111</v>
      </c>
      <c r="G22" t="s">
        <v>254</v>
      </c>
      <c r="H22" s="1">
        <v>6987</v>
      </c>
      <c r="I22" t="s">
        <v>151</v>
      </c>
      <c r="J22" t="s">
        <v>183</v>
      </c>
      <c r="K22" t="s">
        <v>212</v>
      </c>
      <c r="L22" t="s">
        <v>218</v>
      </c>
      <c r="M22" s="2">
        <v>46424</v>
      </c>
      <c r="N22" s="2">
        <v>39101</v>
      </c>
      <c r="O22" s="2">
        <v>44972</v>
      </c>
      <c r="P22" s="3">
        <v>90.48</v>
      </c>
      <c r="Q22" s="4">
        <v>44972</v>
      </c>
      <c r="R22" s="3">
        <v>97.08</v>
      </c>
      <c r="S22" s="5">
        <v>1383704.67</v>
      </c>
      <c r="T22" s="5">
        <v>1302766.23</v>
      </c>
      <c r="U22" s="5">
        <v>80938.44</v>
      </c>
      <c r="V22" s="6">
        <v>6.21281379085175</v>
      </c>
      <c r="W22">
        <f t="shared" si="0"/>
        <v>7</v>
      </c>
      <c r="X22" s="7">
        <v>51472</v>
      </c>
      <c r="Y22" s="7">
        <v>51803</v>
      </c>
      <c r="Z22" s="7">
        <v>-331</v>
      </c>
      <c r="AA22" s="7">
        <v>-0.63895913364090895</v>
      </c>
      <c r="AB22">
        <f t="shared" si="1"/>
        <v>7</v>
      </c>
      <c r="AC22" s="6">
        <v>36.769505750699402</v>
      </c>
      <c r="AD22" s="6">
        <v>35.573229349651598</v>
      </c>
      <c r="AE22" s="7">
        <v>1.1962764010478499</v>
      </c>
      <c r="AF22" s="8">
        <v>3.36285578486442E-2</v>
      </c>
      <c r="AG22" s="15">
        <f t="shared" si="18"/>
        <v>7</v>
      </c>
      <c r="AH22" s="6">
        <v>1.73681707703688</v>
      </c>
      <c r="AI22" s="6">
        <v>1.7710006511829799</v>
      </c>
      <c r="AJ22" s="6">
        <v>-3.4183574146101799E-2</v>
      </c>
      <c r="AK22" s="9">
        <v>-1.9301841658425201</v>
      </c>
      <c r="AL22" s="15">
        <f t="shared" si="2"/>
        <v>13</v>
      </c>
      <c r="AM22" s="6">
        <v>42.094997718353497</v>
      </c>
      <c r="AN22" s="9">
        <v>39.918072986885598</v>
      </c>
      <c r="AO22" s="6">
        <v>2.1769247314679001</v>
      </c>
      <c r="AP22" s="6">
        <v>5.4534815149596199</v>
      </c>
      <c r="AQ22" s="15">
        <f t="shared" si="3"/>
        <v>20</v>
      </c>
      <c r="AR22" s="10">
        <v>2.8732936599999999</v>
      </c>
      <c r="AS22" s="10">
        <v>44.388584591897398</v>
      </c>
      <c r="AT22" s="10">
        <v>11.141274594405701</v>
      </c>
      <c r="AU22" s="10">
        <v>5.6444098746159597</v>
      </c>
      <c r="AV22" s="10">
        <v>1.5397988168788099</v>
      </c>
      <c r="AW22" s="10">
        <v>0.65197438894860105</v>
      </c>
      <c r="AX22" s="10">
        <v>235521.95</v>
      </c>
      <c r="AY22" s="10">
        <v>225638.7</v>
      </c>
      <c r="AZ22" s="10">
        <v>630156.48</v>
      </c>
      <c r="BA22" s="10">
        <v>603641.69999999995</v>
      </c>
      <c r="BB22" s="10">
        <v>142722.464775845</v>
      </c>
      <c r="BC22" s="10">
        <v>12.9234633754761</v>
      </c>
      <c r="BD22" s="11">
        <v>0.98574821852731598</v>
      </c>
      <c r="BE22" s="15">
        <f t="shared" si="4"/>
        <v>7</v>
      </c>
      <c r="BF22" s="11">
        <v>0.98074608904933802</v>
      </c>
      <c r="BG22" s="15">
        <f t="shared" si="5"/>
        <v>6</v>
      </c>
      <c r="BH22" s="12">
        <v>2.8784776739967199</v>
      </c>
      <c r="BI22" s="15">
        <f t="shared" si="6"/>
        <v>9</v>
      </c>
      <c r="BJ22" s="9">
        <v>3.1208285157959601</v>
      </c>
      <c r="BK22" s="76">
        <f t="shared" si="7"/>
        <v>9</v>
      </c>
      <c r="BL22" s="13">
        <v>86.684983620416403</v>
      </c>
      <c r="BM22" s="15">
        <f t="shared" si="8"/>
        <v>5</v>
      </c>
      <c r="BN22" s="13">
        <v>84.523551117864102</v>
      </c>
      <c r="BO22" s="14">
        <v>0.91303333333333303</v>
      </c>
      <c r="BP22" s="15">
        <f t="shared" si="9"/>
        <v>13</v>
      </c>
      <c r="BQ22" s="8">
        <v>-2.22000710470013E-3</v>
      </c>
      <c r="BR22" s="15">
        <f t="shared" si="10"/>
        <v>5</v>
      </c>
      <c r="BS22" s="8">
        <v>-2.18140273179527E-3</v>
      </c>
      <c r="BT22" s="8">
        <v>-1.63154034885204E-3</v>
      </c>
      <c r="BU22" s="8">
        <v>-2.22000710470013E-3</v>
      </c>
      <c r="BV22" s="6">
        <v>-2257.5700000000002</v>
      </c>
      <c r="BW22" s="15">
        <f t="shared" si="11"/>
        <v>7</v>
      </c>
      <c r="BX22" s="7">
        <v>8858.5</v>
      </c>
      <c r="BY22">
        <v>29</v>
      </c>
      <c r="BZ22" s="18">
        <v>2822554.03</v>
      </c>
      <c r="CA22" s="18">
        <v>2782042.35</v>
      </c>
      <c r="CB22" s="19">
        <f t="shared" si="12"/>
        <v>40511.679999999702</v>
      </c>
      <c r="CC22" s="20">
        <f t="shared" si="13"/>
        <v>1.4561848779907933</v>
      </c>
      <c r="CD22" s="27">
        <v>2.5</v>
      </c>
      <c r="CE22" s="16">
        <v>-4592.1899999999996</v>
      </c>
      <c r="CF22">
        <f t="shared" si="14"/>
        <v>12</v>
      </c>
      <c r="CG22" s="16">
        <f t="shared" si="15"/>
        <v>3</v>
      </c>
    </row>
    <row r="23" spans="1:85" x14ac:dyDescent="0.25">
      <c r="A23">
        <v>32</v>
      </c>
      <c r="B23">
        <v>1</v>
      </c>
      <c r="C23" t="s">
        <v>58</v>
      </c>
      <c r="D23" t="s">
        <v>232</v>
      </c>
      <c r="E23" t="s">
        <v>74</v>
      </c>
      <c r="F23" t="s">
        <v>114</v>
      </c>
      <c r="G23" t="s">
        <v>255</v>
      </c>
      <c r="H23" s="1">
        <v>7459</v>
      </c>
      <c r="I23" t="s">
        <v>153</v>
      </c>
      <c r="J23" t="s">
        <v>205</v>
      </c>
      <c r="K23" t="s">
        <v>212</v>
      </c>
      <c r="L23" t="s">
        <v>218</v>
      </c>
      <c r="M23" s="2">
        <v>46030</v>
      </c>
      <c r="N23" s="2">
        <v>40812</v>
      </c>
      <c r="O23" s="2">
        <v>44966</v>
      </c>
      <c r="P23" s="3">
        <v>88.1</v>
      </c>
      <c r="Q23" s="4">
        <v>44966</v>
      </c>
      <c r="R23" s="3">
        <v>98.03</v>
      </c>
      <c r="S23" s="5">
        <v>604756.47999999998</v>
      </c>
      <c r="T23" s="5">
        <v>582781.47</v>
      </c>
      <c r="U23" s="5">
        <v>21975.01</v>
      </c>
      <c r="V23" s="6">
        <v>3.7707118587693098</v>
      </c>
      <c r="W23">
        <f t="shared" si="0"/>
        <v>12</v>
      </c>
      <c r="X23" s="7">
        <v>36733</v>
      </c>
      <c r="Y23" s="7">
        <v>35234</v>
      </c>
      <c r="Z23" s="7">
        <v>1499</v>
      </c>
      <c r="AA23" s="7">
        <v>4.2544133507407604</v>
      </c>
      <c r="AB23">
        <f t="shared" si="1"/>
        <v>4</v>
      </c>
      <c r="AC23" s="6">
        <v>25.571012441129199</v>
      </c>
      <c r="AD23" s="6">
        <v>25.977748765397099</v>
      </c>
      <c r="AE23" s="7">
        <v>-0.40673632426782502</v>
      </c>
      <c r="AF23" s="8">
        <v>-1.5657104391185998E-2</v>
      </c>
      <c r="AG23" s="15">
        <f t="shared" si="18"/>
        <v>21</v>
      </c>
      <c r="AH23" s="6">
        <v>1.5573299265410401</v>
      </c>
      <c r="AI23" s="6">
        <v>1.58494482683273</v>
      </c>
      <c r="AJ23" s="6">
        <v>-2.76149002916912E-2</v>
      </c>
      <c r="AK23" s="9">
        <v>-1.7423256522358199</v>
      </c>
      <c r="AL23" s="15">
        <f t="shared" si="2"/>
        <v>11</v>
      </c>
      <c r="AM23" s="6">
        <v>41.342389937106901</v>
      </c>
      <c r="AN23" s="9">
        <v>40.172431929413399</v>
      </c>
      <c r="AO23" s="6">
        <v>1.1699580076935401</v>
      </c>
      <c r="AP23" s="6">
        <v>2.9123405069159398</v>
      </c>
      <c r="AQ23" s="15">
        <f t="shared" si="3"/>
        <v>33</v>
      </c>
      <c r="AR23" s="10">
        <v>1.2984956299999999</v>
      </c>
      <c r="AS23" s="10">
        <v>43.423633445851003</v>
      </c>
      <c r="AT23" s="10">
        <v>12.4048586649865</v>
      </c>
      <c r="AU23" s="10">
        <v>8.4033196810200703</v>
      </c>
      <c r="AV23" s="10">
        <v>1.5527233940604801</v>
      </c>
      <c r="AW23" s="10">
        <v>3.72481136438063</v>
      </c>
      <c r="AX23" s="10">
        <v>69009.42</v>
      </c>
      <c r="AY23" s="10">
        <v>54768.42</v>
      </c>
      <c r="AZ23" s="10">
        <v>249128.36</v>
      </c>
      <c r="BA23" s="10">
        <v>214434.73</v>
      </c>
      <c r="BB23" s="10">
        <v>19030.0072721539</v>
      </c>
      <c r="BC23" s="10">
        <v>3.9978808660011498</v>
      </c>
      <c r="BD23" s="11">
        <v>0.92391304347826098</v>
      </c>
      <c r="BE23" s="15">
        <f t="shared" si="4"/>
        <v>36</v>
      </c>
      <c r="BF23" s="11">
        <v>0.92167577413479096</v>
      </c>
      <c r="BG23" s="15">
        <f t="shared" si="5"/>
        <v>27</v>
      </c>
      <c r="BH23" s="12">
        <v>1.487468145856</v>
      </c>
      <c r="BI23" s="15">
        <f t="shared" si="6"/>
        <v>35</v>
      </c>
      <c r="BJ23" s="9">
        <v>1.6776442806254599</v>
      </c>
      <c r="BK23" s="76">
        <f t="shared" si="7"/>
        <v>33</v>
      </c>
      <c r="BL23" s="13">
        <v>49.579474076439901</v>
      </c>
      <c r="BM23" s="15">
        <f t="shared" si="8"/>
        <v>35</v>
      </c>
      <c r="BN23" s="13">
        <v>50.256746421938203</v>
      </c>
      <c r="BO23" s="14">
        <v>0.76529999999999998</v>
      </c>
      <c r="BP23" s="15">
        <f t="shared" si="9"/>
        <v>31</v>
      </c>
      <c r="BQ23" s="8">
        <v>-6.0261737522187102E-3</v>
      </c>
      <c r="BR23" s="15">
        <f t="shared" si="10"/>
        <v>30</v>
      </c>
      <c r="BS23" s="8">
        <v>-1.88467522253635E-2</v>
      </c>
      <c r="BT23" s="8">
        <v>-1.4830878703441099E-2</v>
      </c>
      <c r="BU23" s="8">
        <v>-6.0261737522186998E-3</v>
      </c>
      <c r="BV23" s="6">
        <v>-8969.0699999999906</v>
      </c>
      <c r="BW23" s="15">
        <f t="shared" si="11"/>
        <v>32</v>
      </c>
      <c r="BX23" s="7">
        <v>283.61</v>
      </c>
      <c r="BY23">
        <v>39</v>
      </c>
      <c r="BZ23" s="18">
        <v>1288412.8999999999</v>
      </c>
      <c r="CA23" s="18">
        <v>1320557.1100000001</v>
      </c>
      <c r="CB23" s="19">
        <f t="shared" si="12"/>
        <v>-32144.210000000196</v>
      </c>
      <c r="CC23" s="20">
        <f t="shared" si="13"/>
        <v>-2.4341400880420987</v>
      </c>
      <c r="CD23" s="27">
        <v>1.6</v>
      </c>
      <c r="CE23" s="16">
        <v>-6630.89</v>
      </c>
      <c r="CF23">
        <f t="shared" si="14"/>
        <v>16</v>
      </c>
      <c r="CG23" s="16">
        <f t="shared" si="15"/>
        <v>31</v>
      </c>
    </row>
    <row r="24" spans="1:85" x14ac:dyDescent="0.25">
      <c r="A24">
        <v>34</v>
      </c>
      <c r="B24">
        <v>2</v>
      </c>
      <c r="C24" t="s">
        <v>59</v>
      </c>
      <c r="D24" t="s">
        <v>233</v>
      </c>
      <c r="E24" t="s">
        <v>75</v>
      </c>
      <c r="F24" t="s">
        <v>115</v>
      </c>
      <c r="G24" t="s">
        <v>256</v>
      </c>
      <c r="H24" s="1">
        <v>5876</v>
      </c>
      <c r="I24" t="s">
        <v>154</v>
      </c>
      <c r="J24" t="s">
        <v>199</v>
      </c>
      <c r="K24" t="s">
        <v>212</v>
      </c>
      <c r="L24" t="s">
        <v>218</v>
      </c>
      <c r="M24" s="2">
        <v>46526</v>
      </c>
      <c r="N24" s="2">
        <v>41402</v>
      </c>
      <c r="O24" s="2">
        <v>45021</v>
      </c>
      <c r="P24" s="3">
        <v>72.39</v>
      </c>
      <c r="Q24" s="4">
        <v>45021</v>
      </c>
      <c r="R24" s="3">
        <v>99.26</v>
      </c>
      <c r="S24" s="5">
        <v>442749.08</v>
      </c>
      <c r="T24" s="5">
        <v>481288.18</v>
      </c>
      <c r="U24" s="5">
        <v>-38539.1</v>
      </c>
      <c r="V24" s="6">
        <v>-8.0074894006331192</v>
      </c>
      <c r="W24">
        <f t="shared" si="0"/>
        <v>32</v>
      </c>
      <c r="X24" s="7">
        <v>23058</v>
      </c>
      <c r="Y24" s="7">
        <v>25800</v>
      </c>
      <c r="Z24" s="7">
        <v>-2742</v>
      </c>
      <c r="AA24" s="7">
        <v>-10.6279069767442</v>
      </c>
      <c r="AB24">
        <f t="shared" si="1"/>
        <v>33</v>
      </c>
      <c r="AC24" s="6">
        <v>29.330384248417001</v>
      </c>
      <c r="AD24" s="6">
        <v>29.2209302325581</v>
      </c>
      <c r="AE24" s="7">
        <v>0.109454015858898</v>
      </c>
      <c r="AF24" s="8">
        <v>3.7457402960068401E-3</v>
      </c>
      <c r="AG24" s="15">
        <f t="shared" si="18"/>
        <v>16</v>
      </c>
      <c r="AH24" s="6">
        <v>1.60653556114151</v>
      </c>
      <c r="AI24" s="6">
        <v>1.6126807268868599</v>
      </c>
      <c r="AJ24" s="6">
        <v>-6.14516574534973E-3</v>
      </c>
      <c r="AK24" s="9">
        <v>-0.38105284219601598</v>
      </c>
      <c r="AL24" s="15">
        <f t="shared" si="2"/>
        <v>7</v>
      </c>
      <c r="AM24" s="6">
        <v>40.750030372756598</v>
      </c>
      <c r="AN24" s="9">
        <v>39.5861309425892</v>
      </c>
      <c r="AO24" s="6">
        <v>1.16389943016732</v>
      </c>
      <c r="AP24" s="6">
        <v>2.9401697070504098</v>
      </c>
      <c r="AQ24" s="15">
        <f t="shared" si="3"/>
        <v>32</v>
      </c>
      <c r="AR24" s="10">
        <v>0.96067961000000002</v>
      </c>
      <c r="AS24" s="10">
        <v>41.669994272940201</v>
      </c>
      <c r="AT24" s="10">
        <v>17.734371734756898</v>
      </c>
      <c r="AU24" s="10">
        <v>15.903505819122101</v>
      </c>
      <c r="AV24" s="10">
        <v>1.54171152110484</v>
      </c>
      <c r="AW24" s="10">
        <v>4.2038624330854599</v>
      </c>
      <c r="AX24" s="10">
        <v>-8637.5100000000093</v>
      </c>
      <c r="AY24" s="10">
        <v>-23869.71</v>
      </c>
      <c r="AZ24" s="10">
        <v>52038.069999999898</v>
      </c>
      <c r="BA24" s="10">
        <v>16196.2699999999</v>
      </c>
      <c r="BB24" s="10">
        <v>-50456.284380843797</v>
      </c>
      <c r="BC24" s="10">
        <v>-14.2488244788443</v>
      </c>
      <c r="BD24" s="11">
        <v>0.91743119266055095</v>
      </c>
      <c r="BE24" s="15">
        <f t="shared" si="4"/>
        <v>37</v>
      </c>
      <c r="BF24" s="11">
        <v>0.88251366120218599</v>
      </c>
      <c r="BG24" s="15">
        <f t="shared" si="5"/>
        <v>35</v>
      </c>
      <c r="BH24" s="12">
        <v>3.1198122421846599</v>
      </c>
      <c r="BI24" s="15">
        <f t="shared" si="6"/>
        <v>4</v>
      </c>
      <c r="BJ24" s="9">
        <v>3.3547219048678798</v>
      </c>
      <c r="BK24" s="76">
        <f t="shared" si="7"/>
        <v>5</v>
      </c>
      <c r="BL24" s="13">
        <v>55.049534230371101</v>
      </c>
      <c r="BM24" s="15">
        <f t="shared" si="8"/>
        <v>31</v>
      </c>
      <c r="BN24" s="13">
        <v>55.139938983950103</v>
      </c>
      <c r="BO24" s="14">
        <v>0.93556666666666699</v>
      </c>
      <c r="BP24" s="15">
        <f t="shared" si="9"/>
        <v>8</v>
      </c>
      <c r="BQ24" s="8">
        <v>-2.84124629559321E-3</v>
      </c>
      <c r="BR24" s="15">
        <f t="shared" si="10"/>
        <v>11</v>
      </c>
      <c r="BS24" s="8">
        <v>-5.5241679469244104E-3</v>
      </c>
      <c r="BT24" s="8">
        <v>-1.5852997368170699E-3</v>
      </c>
      <c r="BU24" s="8">
        <v>-2.84124629559321E-3</v>
      </c>
      <c r="BV24" s="6">
        <v>-701.89</v>
      </c>
      <c r="BW24" s="15">
        <f t="shared" si="11"/>
        <v>1</v>
      </c>
      <c r="BX24" s="7">
        <v>596.96</v>
      </c>
      <c r="BY24">
        <v>40</v>
      </c>
      <c r="BZ24" s="18">
        <v>990765.92</v>
      </c>
      <c r="CA24" s="18">
        <v>961727.83</v>
      </c>
      <c r="CB24" s="19">
        <f t="shared" si="12"/>
        <v>29038.090000000084</v>
      </c>
      <c r="CC24" s="20">
        <f t="shared" si="13"/>
        <v>3.0193667162569358</v>
      </c>
      <c r="CD24" s="27">
        <v>1.7</v>
      </c>
      <c r="CE24" s="16">
        <v>-3402.38</v>
      </c>
      <c r="CF24">
        <f t="shared" si="14"/>
        <v>9</v>
      </c>
      <c r="CG24" s="16">
        <f t="shared" si="15"/>
        <v>27</v>
      </c>
    </row>
    <row r="25" spans="1:85" x14ac:dyDescent="0.25">
      <c r="A25">
        <v>38</v>
      </c>
      <c r="B25">
        <v>4</v>
      </c>
      <c r="C25" t="s">
        <v>61</v>
      </c>
      <c r="D25" t="s">
        <v>235</v>
      </c>
      <c r="E25" t="s">
        <v>77</v>
      </c>
      <c r="F25" t="s">
        <v>117</v>
      </c>
      <c r="G25" t="s">
        <v>257</v>
      </c>
      <c r="H25" s="1">
        <v>6654</v>
      </c>
      <c r="I25" t="s">
        <v>156</v>
      </c>
      <c r="J25" t="s">
        <v>196</v>
      </c>
      <c r="K25" t="s">
        <v>212</v>
      </c>
      <c r="L25" t="s">
        <v>218</v>
      </c>
      <c r="M25" s="2">
        <v>45698</v>
      </c>
      <c r="N25" s="2">
        <v>42522</v>
      </c>
      <c r="O25" s="2">
        <v>45062</v>
      </c>
      <c r="P25" s="3">
        <v>86.03</v>
      </c>
      <c r="Q25" s="4">
        <v>45062</v>
      </c>
      <c r="R25" s="3">
        <v>97.63</v>
      </c>
      <c r="S25" s="5">
        <v>635310.02</v>
      </c>
      <c r="T25" s="5">
        <v>688048.8</v>
      </c>
      <c r="U25" s="5">
        <v>-52738.78</v>
      </c>
      <c r="V25" s="6">
        <v>-7.6649766702594704</v>
      </c>
      <c r="W25">
        <f t="shared" si="0"/>
        <v>31</v>
      </c>
      <c r="X25" s="7">
        <v>30820</v>
      </c>
      <c r="Y25" s="7">
        <v>33933</v>
      </c>
      <c r="Z25" s="7">
        <v>-3113</v>
      </c>
      <c r="AA25" s="7">
        <v>-9.1739604514779103</v>
      </c>
      <c r="AB25">
        <f t="shared" si="1"/>
        <v>29</v>
      </c>
      <c r="AC25" s="6">
        <v>31.236210253082401</v>
      </c>
      <c r="AD25" s="6">
        <v>30.630949223469798</v>
      </c>
      <c r="AE25" s="7">
        <v>0.60526102961263795</v>
      </c>
      <c r="AF25" s="8">
        <v>1.97597869134555E-2</v>
      </c>
      <c r="AG25" s="15">
        <f t="shared" si="18"/>
        <v>10</v>
      </c>
      <c r="AH25" s="6">
        <v>1.5650773865170899</v>
      </c>
      <c r="AI25" s="6">
        <v>1.6447950740812001</v>
      </c>
      <c r="AJ25" s="6">
        <v>-7.9717687564113501E-2</v>
      </c>
      <c r="AK25" s="9">
        <v>-4.8466638075654904</v>
      </c>
      <c r="AL25" s="15">
        <f t="shared" si="2"/>
        <v>32</v>
      </c>
      <c r="AM25" s="6">
        <v>42.165661379173002</v>
      </c>
      <c r="AN25" s="9">
        <v>40.2461862423959</v>
      </c>
      <c r="AO25" s="6">
        <v>1.9194751367771199</v>
      </c>
      <c r="AP25" s="6">
        <v>4.7693342301217196</v>
      </c>
      <c r="AQ25" s="15">
        <f t="shared" si="3"/>
        <v>24</v>
      </c>
      <c r="AR25" s="10">
        <v>1.35509484</v>
      </c>
      <c r="AS25" s="10">
        <v>42.119374578868303</v>
      </c>
      <c r="AT25" s="10">
        <v>14.6905317910722</v>
      </c>
      <c r="AU25" s="10">
        <v>7.3481018266223002</v>
      </c>
      <c r="AV25" s="10">
        <v>1.55250601844773</v>
      </c>
      <c r="AW25" s="10">
        <v>2.7960755269152799</v>
      </c>
      <c r="AX25" s="10">
        <v>59699.79</v>
      </c>
      <c r="AY25" s="10">
        <v>45958.239999999998</v>
      </c>
      <c r="AZ25" s="10">
        <v>224273.08</v>
      </c>
      <c r="BA25" s="10">
        <v>191770.03</v>
      </c>
      <c r="BB25" s="10">
        <v>9039.3190228012809</v>
      </c>
      <c r="BC25" s="10">
        <v>1.8382851068392101</v>
      </c>
      <c r="BD25" s="11">
        <v>0.963917525773196</v>
      </c>
      <c r="BE25" s="15">
        <f t="shared" si="4"/>
        <v>23</v>
      </c>
      <c r="BF25" s="11">
        <v>0.96537059538274606</v>
      </c>
      <c r="BG25" s="15">
        <f t="shared" si="5"/>
        <v>15</v>
      </c>
      <c r="BH25" s="12">
        <v>3.33910521354598</v>
      </c>
      <c r="BI25" s="15">
        <f t="shared" si="6"/>
        <v>3</v>
      </c>
      <c r="BJ25" s="9">
        <v>2.78878620237401</v>
      </c>
      <c r="BK25" s="76">
        <f t="shared" si="7"/>
        <v>10</v>
      </c>
      <c r="BL25" s="13">
        <v>64.236002908486498</v>
      </c>
      <c r="BM25" s="15">
        <f t="shared" si="8"/>
        <v>20</v>
      </c>
      <c r="BN25" s="13">
        <v>62.536078506830897</v>
      </c>
      <c r="BO25" s="14">
        <v>0.96153333333333302</v>
      </c>
      <c r="BP25" s="15">
        <f t="shared" si="9"/>
        <v>6</v>
      </c>
      <c r="BQ25" s="8">
        <v>-7.1980880663857797E-3</v>
      </c>
      <c r="BR25" s="15">
        <f t="shared" si="10"/>
        <v>33</v>
      </c>
      <c r="BS25" s="8">
        <v>-1.41065369289763E-2</v>
      </c>
      <c r="BT25" s="8">
        <v>-1.0552218269751199E-2</v>
      </c>
      <c r="BU25" s="8">
        <v>-7.1980880663857702E-3</v>
      </c>
      <c r="BV25" s="6">
        <v>-6703.9299999999903</v>
      </c>
      <c r="BW25" s="15">
        <f t="shared" si="11"/>
        <v>26</v>
      </c>
      <c r="BX25" s="7">
        <v>1253.54</v>
      </c>
      <c r="BY25">
        <v>45</v>
      </c>
      <c r="BZ25" s="18">
        <v>1417580.6</v>
      </c>
      <c r="CA25" s="18">
        <v>1321867.8999999999</v>
      </c>
      <c r="CB25" s="19">
        <f t="shared" si="12"/>
        <v>95712.700000000186</v>
      </c>
      <c r="CC25" s="20">
        <f t="shared" si="13"/>
        <v>7.2407159595902284</v>
      </c>
      <c r="CD25" s="27">
        <v>1.7</v>
      </c>
      <c r="CE25" s="16">
        <v>-5515.97</v>
      </c>
      <c r="CF25">
        <f t="shared" si="14"/>
        <v>3</v>
      </c>
      <c r="CG25" s="16">
        <f t="shared" si="15"/>
        <v>18</v>
      </c>
    </row>
    <row r="26" spans="1:85" x14ac:dyDescent="0.25">
      <c r="A26">
        <v>43</v>
      </c>
      <c r="B26">
        <v>1</v>
      </c>
      <c r="C26" t="s">
        <v>58</v>
      </c>
      <c r="D26" t="s">
        <v>232</v>
      </c>
      <c r="E26" t="s">
        <v>78</v>
      </c>
      <c r="F26" t="s">
        <v>118</v>
      </c>
      <c r="G26" t="s">
        <v>258</v>
      </c>
      <c r="H26" s="1">
        <v>9345</v>
      </c>
      <c r="I26" t="s">
        <v>157</v>
      </c>
      <c r="J26" t="s">
        <v>194</v>
      </c>
      <c r="K26" t="s">
        <v>212</v>
      </c>
      <c r="L26" t="s">
        <v>218</v>
      </c>
      <c r="M26" s="2">
        <v>46194</v>
      </c>
      <c r="N26" s="2">
        <v>43113</v>
      </c>
      <c r="O26" s="2">
        <v>44833</v>
      </c>
      <c r="P26" s="3">
        <v>85.8</v>
      </c>
      <c r="Q26" s="4">
        <v>44833</v>
      </c>
      <c r="R26" s="3">
        <v>99.05</v>
      </c>
      <c r="S26" s="5">
        <v>1285867.8799999999</v>
      </c>
      <c r="T26" s="5">
        <v>1284054.43</v>
      </c>
      <c r="U26" s="5">
        <v>1813.4500000000201</v>
      </c>
      <c r="V26" s="6">
        <v>0.14122843686627201</v>
      </c>
      <c r="W26">
        <f t="shared" si="0"/>
        <v>17</v>
      </c>
      <c r="X26" s="7">
        <v>52425</v>
      </c>
      <c r="Y26" s="7">
        <v>53028</v>
      </c>
      <c r="Z26" s="7">
        <v>-603</v>
      </c>
      <c r="AA26" s="7">
        <v>-1.13713509843856</v>
      </c>
      <c r="AB26">
        <f t="shared" si="1"/>
        <v>9</v>
      </c>
      <c r="AC26" s="6">
        <v>33.934191702432003</v>
      </c>
      <c r="AD26" s="6">
        <v>34.557215056196704</v>
      </c>
      <c r="AE26" s="7">
        <v>-0.62302335376467999</v>
      </c>
      <c r="AF26" s="8">
        <v>-1.8028748924111E-2</v>
      </c>
      <c r="AG26" s="15">
        <f t="shared" si="18"/>
        <v>22</v>
      </c>
      <c r="AH26" s="6">
        <v>1.6041034288926399</v>
      </c>
      <c r="AI26" s="6">
        <v>1.62308321964529</v>
      </c>
      <c r="AJ26" s="6">
        <v>-1.8979790752656999E-2</v>
      </c>
      <c r="AK26" s="9">
        <v>-1.1693664577965901</v>
      </c>
      <c r="AL26" s="15">
        <f t="shared" si="2"/>
        <v>8</v>
      </c>
      <c r="AM26" s="6">
        <v>45.059672705610303</v>
      </c>
      <c r="AN26" s="9">
        <v>43.171651481020703</v>
      </c>
      <c r="AO26" s="6">
        <v>1.88802122458956</v>
      </c>
      <c r="AP26" s="6">
        <v>4.37328932255366</v>
      </c>
      <c r="AQ26" s="15">
        <f t="shared" si="3"/>
        <v>28</v>
      </c>
      <c r="AR26" s="10">
        <v>2.7260385299999998</v>
      </c>
      <c r="AS26" s="10">
        <v>44.431755710392203</v>
      </c>
      <c r="AT26" s="10">
        <v>8.82905811444477</v>
      </c>
      <c r="AU26" s="10">
        <v>7.3015575332962701</v>
      </c>
      <c r="AV26" s="10">
        <v>1.5457339887007</v>
      </c>
      <c r="AW26" s="10">
        <v>2.1553780515828298</v>
      </c>
      <c r="AX26" s="10">
        <v>224565.21</v>
      </c>
      <c r="AY26" s="10">
        <v>208353.38</v>
      </c>
      <c r="AZ26" s="10">
        <v>687174.12</v>
      </c>
      <c r="BA26" s="10">
        <v>648980.42000000004</v>
      </c>
      <c r="BB26" s="10">
        <v>132352.35895871601</v>
      </c>
      <c r="BC26" s="10">
        <v>13.074901129055201</v>
      </c>
      <c r="BD26" s="11">
        <v>0.95912806539509499</v>
      </c>
      <c r="BE26" s="15">
        <f t="shared" si="4"/>
        <v>26</v>
      </c>
      <c r="BF26" s="11">
        <v>0.95177956371986205</v>
      </c>
      <c r="BG26" s="15">
        <f t="shared" si="5"/>
        <v>20</v>
      </c>
      <c r="BH26" s="12">
        <v>1.8734109759394599</v>
      </c>
      <c r="BI26" s="15">
        <f t="shared" si="6"/>
        <v>27</v>
      </c>
      <c r="BJ26" s="9">
        <v>2.23193264478672</v>
      </c>
      <c r="BK26" s="76">
        <f t="shared" si="7"/>
        <v>24</v>
      </c>
      <c r="BL26" s="13">
        <v>54.159640247330003</v>
      </c>
      <c r="BM26" s="15">
        <f t="shared" si="8"/>
        <v>33</v>
      </c>
      <c r="BN26" s="13">
        <v>50.935879945429697</v>
      </c>
      <c r="BO26" s="14">
        <v>0.68836666666666702</v>
      </c>
      <c r="BP26" s="15">
        <f t="shared" si="9"/>
        <v>38</v>
      </c>
      <c r="BQ26" s="8">
        <v>-3.57630532929114E-3</v>
      </c>
      <c r="BR26" s="15">
        <f t="shared" si="10"/>
        <v>18</v>
      </c>
      <c r="BS26" s="8">
        <v>-9.0226069034550199E-3</v>
      </c>
      <c r="BT26" s="8">
        <v>-7.4689477429049599E-3</v>
      </c>
      <c r="BU26" s="8">
        <v>-3.5763053292911301E-3</v>
      </c>
      <c r="BV26" s="6">
        <v>-9604.0799999999908</v>
      </c>
      <c r="BW26" s="15">
        <f t="shared" si="11"/>
        <v>33</v>
      </c>
      <c r="BX26" s="7">
        <v>4084.67</v>
      </c>
      <c r="BY26">
        <v>52</v>
      </c>
      <c r="BZ26" s="18">
        <v>2728620.49</v>
      </c>
      <c r="CA26" s="18">
        <v>2496615.52</v>
      </c>
      <c r="CB26" s="19">
        <f t="shared" si="12"/>
        <v>232004.9700000002</v>
      </c>
      <c r="CC26" s="20">
        <f t="shared" si="13"/>
        <v>9.2927792902609294</v>
      </c>
      <c r="CD26" s="27">
        <v>2.2000000000000002</v>
      </c>
      <c r="CE26" s="16">
        <v>-3528.45</v>
      </c>
      <c r="CF26">
        <f t="shared" si="14"/>
        <v>2</v>
      </c>
      <c r="CG26" s="16">
        <f t="shared" si="15"/>
        <v>30</v>
      </c>
    </row>
    <row r="27" spans="1:85" x14ac:dyDescent="0.25">
      <c r="A27">
        <v>45</v>
      </c>
      <c r="B27">
        <v>2</v>
      </c>
      <c r="C27" t="s">
        <v>59</v>
      </c>
      <c r="D27" t="s">
        <v>233</v>
      </c>
      <c r="E27" t="s">
        <v>79</v>
      </c>
      <c r="F27" t="s">
        <v>119</v>
      </c>
      <c r="G27" t="s">
        <v>259</v>
      </c>
      <c r="H27" s="1">
        <v>7986</v>
      </c>
      <c r="I27" t="s">
        <v>158</v>
      </c>
      <c r="J27" t="s">
        <v>185</v>
      </c>
      <c r="K27" t="s">
        <v>212</v>
      </c>
      <c r="L27" t="s">
        <v>218</v>
      </c>
      <c r="M27" s="2">
        <v>46662</v>
      </c>
      <c r="N27" s="2">
        <v>43671</v>
      </c>
      <c r="O27" s="2">
        <v>44951</v>
      </c>
      <c r="P27" s="3">
        <v>63.69</v>
      </c>
      <c r="Q27" s="4">
        <v>44951</v>
      </c>
      <c r="R27" s="3">
        <v>96.93</v>
      </c>
      <c r="S27" s="5">
        <v>434386.93</v>
      </c>
      <c r="T27" s="5">
        <v>535430.11</v>
      </c>
      <c r="U27" s="5">
        <v>-101043.18</v>
      </c>
      <c r="V27" s="6">
        <v>-18.8714041502074</v>
      </c>
      <c r="W27">
        <f t="shared" si="0"/>
        <v>40</v>
      </c>
      <c r="X27" s="7">
        <v>32085</v>
      </c>
      <c r="Y27" s="7">
        <v>39992</v>
      </c>
      <c r="Z27" s="7">
        <v>-7907</v>
      </c>
      <c r="AA27" s="7">
        <v>-19.771454290858198</v>
      </c>
      <c r="AB27">
        <f t="shared" si="1"/>
        <v>40</v>
      </c>
      <c r="AC27" s="6">
        <v>21.402524544179499</v>
      </c>
      <c r="AD27" s="6">
        <v>21.351770354070801</v>
      </c>
      <c r="AE27" s="7">
        <v>5.0754190108708699E-2</v>
      </c>
      <c r="AF27" s="8">
        <v>2.3770483321553801E-3</v>
      </c>
      <c r="AG27" s="15">
        <f t="shared" si="18"/>
        <v>17</v>
      </c>
      <c r="AH27" s="6">
        <v>1.4686180282510599</v>
      </c>
      <c r="AI27" s="6">
        <v>1.4671507202248499</v>
      </c>
      <c r="AJ27" s="6">
        <v>1.46730802620509E-3</v>
      </c>
      <c r="AK27" s="9">
        <v>0.100010721869136</v>
      </c>
      <c r="AL27" s="15">
        <f t="shared" si="2"/>
        <v>5</v>
      </c>
      <c r="AM27" s="6">
        <v>43.072576103123403</v>
      </c>
      <c r="AN27" s="9">
        <v>42.7386741698595</v>
      </c>
      <c r="AO27" s="6">
        <v>0.33390193326393097</v>
      </c>
      <c r="AP27" s="6">
        <v>0.78126413546868501</v>
      </c>
      <c r="AQ27" s="15">
        <f t="shared" si="3"/>
        <v>38</v>
      </c>
      <c r="AR27" s="10">
        <v>1.05895121</v>
      </c>
      <c r="AS27" s="10">
        <v>43.594173841905899</v>
      </c>
      <c r="AT27" s="10">
        <v>20.445024915992899</v>
      </c>
      <c r="AU27" s="10">
        <v>8.7718681422208906</v>
      </c>
      <c r="AV27" s="10">
        <v>1.5282331760891099</v>
      </c>
      <c r="AW27" s="10">
        <v>3.57095309274488</v>
      </c>
      <c r="AX27" s="10">
        <v>19989.54</v>
      </c>
      <c r="AY27" s="10">
        <v>13105.44</v>
      </c>
      <c r="AZ27" s="10">
        <v>164125.74</v>
      </c>
      <c r="BA27" s="10">
        <v>147190.59</v>
      </c>
      <c r="BB27" s="10">
        <v>-13416.9129217422</v>
      </c>
      <c r="BC27" s="10">
        <v>-3.79810271457323</v>
      </c>
      <c r="BD27" s="11">
        <v>0.94814814814814796</v>
      </c>
      <c r="BE27" s="15">
        <f t="shared" si="4"/>
        <v>31</v>
      </c>
      <c r="BF27" s="11">
        <v>0.84152139461172704</v>
      </c>
      <c r="BG27" s="15">
        <f t="shared" si="5"/>
        <v>37</v>
      </c>
      <c r="BH27" s="12">
        <v>2.2238997844617399</v>
      </c>
      <c r="BI27" s="15">
        <f t="shared" si="6"/>
        <v>21</v>
      </c>
      <c r="BJ27" s="9">
        <v>1.94420706000265</v>
      </c>
      <c r="BK27" s="76">
        <f t="shared" si="7"/>
        <v>28</v>
      </c>
      <c r="BL27" s="13">
        <v>55.031309159749497</v>
      </c>
      <c r="BM27" s="15">
        <f t="shared" si="8"/>
        <v>32</v>
      </c>
      <c r="BN27" s="13">
        <v>40.297458718819499</v>
      </c>
      <c r="BO27" s="14">
        <v>0.74473333333333303</v>
      </c>
      <c r="BP27" s="15">
        <f t="shared" si="9"/>
        <v>36</v>
      </c>
      <c r="BQ27" s="8">
        <v>-1.2581651591138301E-2</v>
      </c>
      <c r="BR27" s="15">
        <f t="shared" si="10"/>
        <v>39</v>
      </c>
      <c r="BS27" s="8">
        <v>-1.5929185925556599E-2</v>
      </c>
      <c r="BT27" s="8">
        <v>-1.6720806954297601E-2</v>
      </c>
      <c r="BU27" s="8">
        <v>-1.2581651591138301E-2</v>
      </c>
      <c r="BV27" s="6">
        <v>-7263.2999999999902</v>
      </c>
      <c r="BW27" s="15">
        <f t="shared" si="11"/>
        <v>27</v>
      </c>
      <c r="BX27" s="7">
        <v>1552.69</v>
      </c>
      <c r="BY27">
        <v>53</v>
      </c>
      <c r="BZ27" s="18">
        <v>1144999.1200000001</v>
      </c>
      <c r="CA27" s="18">
        <v>1314187.82</v>
      </c>
      <c r="CB27" s="19">
        <f t="shared" si="12"/>
        <v>-169188.69999999995</v>
      </c>
      <c r="CC27" s="20">
        <f t="shared" si="13"/>
        <v>-12.874012178868005</v>
      </c>
      <c r="CD27" s="27">
        <v>1.6</v>
      </c>
      <c r="CE27" s="16">
        <v>-7251.1</v>
      </c>
      <c r="CF27">
        <f t="shared" si="14"/>
        <v>17</v>
      </c>
      <c r="CG27" s="16">
        <f t="shared" si="15"/>
        <v>36</v>
      </c>
    </row>
    <row r="28" spans="1:85" x14ac:dyDescent="0.25">
      <c r="A28">
        <v>47</v>
      </c>
      <c r="B28">
        <v>3</v>
      </c>
      <c r="C28" t="s">
        <v>60</v>
      </c>
      <c r="D28" t="s">
        <v>234</v>
      </c>
      <c r="E28" t="s">
        <v>80</v>
      </c>
      <c r="F28" t="s">
        <v>120</v>
      </c>
      <c r="G28" t="s">
        <v>259</v>
      </c>
      <c r="H28" s="1">
        <v>5321</v>
      </c>
      <c r="I28" t="s">
        <v>159</v>
      </c>
      <c r="J28" t="s">
        <v>202</v>
      </c>
      <c r="K28" t="s">
        <v>212</v>
      </c>
      <c r="L28" t="s">
        <v>218</v>
      </c>
      <c r="M28" s="2">
        <v>45304</v>
      </c>
      <c r="N28" s="2">
        <v>36593</v>
      </c>
      <c r="O28" s="2">
        <v>45041</v>
      </c>
      <c r="P28" s="3">
        <v>77.06</v>
      </c>
      <c r="Q28" s="4">
        <v>45041</v>
      </c>
      <c r="R28" s="3">
        <v>98.3</v>
      </c>
      <c r="S28" s="5">
        <v>1246671.6100000001</v>
      </c>
      <c r="T28" s="5">
        <v>1248023.97</v>
      </c>
      <c r="U28" s="5">
        <v>-1352.3600000000099</v>
      </c>
      <c r="V28" s="6">
        <v>-0.108360098243843</v>
      </c>
      <c r="W28">
        <f t="shared" si="0"/>
        <v>20</v>
      </c>
      <c r="X28" s="7">
        <v>53581</v>
      </c>
      <c r="Y28" s="7">
        <v>54038</v>
      </c>
      <c r="Z28" s="7">
        <v>-457</v>
      </c>
      <c r="AA28" s="7">
        <v>-0.84570117324845495</v>
      </c>
      <c r="AB28">
        <f t="shared" si="1"/>
        <v>8</v>
      </c>
      <c r="AC28" s="6">
        <v>30.988596704055499</v>
      </c>
      <c r="AD28" s="6">
        <v>31.925681927532501</v>
      </c>
      <c r="AE28" s="7">
        <v>-0.93708522347693801</v>
      </c>
      <c r="AF28" s="8">
        <v>-2.9352081675311101E-2</v>
      </c>
      <c r="AG28" s="15">
        <f t="shared" si="18"/>
        <v>24</v>
      </c>
      <c r="AH28" s="6">
        <v>1.7068176343049899</v>
      </c>
      <c r="AI28" s="6">
        <v>1.7653025736146499</v>
      </c>
      <c r="AJ28" s="6">
        <v>-5.8484939309666702E-2</v>
      </c>
      <c r="AK28" s="9">
        <v>-3.31302634368862</v>
      </c>
      <c r="AL28" s="15">
        <f t="shared" si="2"/>
        <v>23</v>
      </c>
      <c r="AM28" s="6">
        <v>43.989823923782701</v>
      </c>
      <c r="AN28" s="9">
        <v>40.9792799211952</v>
      </c>
      <c r="AO28" s="6">
        <v>3.0105440025874799</v>
      </c>
      <c r="AP28" s="6">
        <v>7.3465029360615404</v>
      </c>
      <c r="AQ28" s="15">
        <f t="shared" si="3"/>
        <v>10</v>
      </c>
      <c r="AR28" s="10">
        <v>2.7590107800000001</v>
      </c>
      <c r="AS28" s="10">
        <v>43.050975648271397</v>
      </c>
      <c r="AT28" s="10">
        <v>9.2461111511850298</v>
      </c>
      <c r="AU28" s="10">
        <v>7.0344259866144503</v>
      </c>
      <c r="AV28" s="10">
        <v>1.5171111297400699</v>
      </c>
      <c r="AW28" s="10">
        <v>1.2799064609769899</v>
      </c>
      <c r="AX28" s="10">
        <v>224605.3</v>
      </c>
      <c r="AY28" s="10">
        <v>224122.82</v>
      </c>
      <c r="AZ28" s="10">
        <v>617817.43000000005</v>
      </c>
      <c r="BA28" s="10">
        <v>628864.5</v>
      </c>
      <c r="BB28" s="10">
        <v>147099.264221688</v>
      </c>
      <c r="BC28" s="10">
        <v>14.3388093583558</v>
      </c>
      <c r="BD28" s="11">
        <v>0.96209912536443198</v>
      </c>
      <c r="BE28" s="15">
        <f t="shared" si="4"/>
        <v>24</v>
      </c>
      <c r="BF28" s="11">
        <v>0.90284757118928005</v>
      </c>
      <c r="BG28" s="15">
        <f t="shared" si="5"/>
        <v>32</v>
      </c>
      <c r="BH28" s="12">
        <v>1.7325845737354999</v>
      </c>
      <c r="BI28" s="15">
        <f t="shared" si="6"/>
        <v>31</v>
      </c>
      <c r="BJ28" s="9">
        <v>2.4027262873805202</v>
      </c>
      <c r="BK28" s="76">
        <f t="shared" si="7"/>
        <v>19</v>
      </c>
      <c r="BL28" s="13">
        <v>59.033967718622002</v>
      </c>
      <c r="BM28" s="15">
        <f t="shared" si="8"/>
        <v>25</v>
      </c>
      <c r="BN28" s="13">
        <v>62.4623232089033</v>
      </c>
      <c r="BO28" s="14">
        <v>0.88423333333333298</v>
      </c>
      <c r="BP28" s="15">
        <f t="shared" si="9"/>
        <v>16</v>
      </c>
      <c r="BQ28" s="8">
        <v>-3.2822618087945E-3</v>
      </c>
      <c r="BR28" s="15">
        <f t="shared" si="10"/>
        <v>17</v>
      </c>
      <c r="BS28" s="8">
        <v>-2.8276430163219099E-3</v>
      </c>
      <c r="BT28" s="8">
        <v>-7.0575522290107998E-3</v>
      </c>
      <c r="BU28" s="8">
        <v>-3.2822618087945E-3</v>
      </c>
      <c r="BV28" s="6">
        <v>-8798.4499999999898</v>
      </c>
      <c r="BW28" s="15">
        <f t="shared" si="11"/>
        <v>30</v>
      </c>
      <c r="BX28" s="7">
        <v>731.44</v>
      </c>
      <c r="BY28">
        <v>59</v>
      </c>
      <c r="BZ28" s="18">
        <v>2774900.52</v>
      </c>
      <c r="CA28" s="18">
        <v>2650124.4</v>
      </c>
      <c r="CB28" s="19">
        <f t="shared" si="12"/>
        <v>124776.12000000011</v>
      </c>
      <c r="CC28" s="20">
        <f t="shared" si="13"/>
        <v>4.7083118060420146</v>
      </c>
      <c r="CD28" s="27">
        <v>2.2999999999999998</v>
      </c>
      <c r="CE28" s="16">
        <v>-7072.52</v>
      </c>
      <c r="CF28">
        <f t="shared" si="14"/>
        <v>4</v>
      </c>
      <c r="CG28" s="16">
        <f t="shared" si="15"/>
        <v>19</v>
      </c>
    </row>
    <row r="29" spans="1:85" x14ac:dyDescent="0.25">
      <c r="A29">
        <v>49</v>
      </c>
      <c r="B29">
        <v>4</v>
      </c>
      <c r="C29" t="s">
        <v>61</v>
      </c>
      <c r="D29" t="s">
        <v>235</v>
      </c>
      <c r="E29" t="s">
        <v>81</v>
      </c>
      <c r="F29" t="s">
        <v>121</v>
      </c>
      <c r="G29" t="s">
        <v>254</v>
      </c>
      <c r="H29" s="1">
        <v>8765</v>
      </c>
      <c r="I29" t="s">
        <v>160</v>
      </c>
      <c r="J29" t="s">
        <v>183</v>
      </c>
      <c r="K29" t="s">
        <v>212</v>
      </c>
      <c r="L29" t="s">
        <v>218</v>
      </c>
      <c r="M29" s="2">
        <v>45801</v>
      </c>
      <c r="N29" s="2">
        <v>37518</v>
      </c>
      <c r="O29" s="2">
        <v>44965</v>
      </c>
      <c r="P29" s="3">
        <v>91.52</v>
      </c>
      <c r="Q29" s="4">
        <v>44965</v>
      </c>
      <c r="R29" s="3">
        <v>99.29</v>
      </c>
      <c r="S29" s="5">
        <v>784490.11</v>
      </c>
      <c r="T29" s="5">
        <v>744911.84</v>
      </c>
      <c r="U29" s="5">
        <v>39578.269999999997</v>
      </c>
      <c r="V29" s="6">
        <v>5.3131481975102401</v>
      </c>
      <c r="W29">
        <f t="shared" si="0"/>
        <v>9</v>
      </c>
      <c r="X29" s="7">
        <v>33409</v>
      </c>
      <c r="Y29" s="7">
        <v>34216</v>
      </c>
      <c r="Z29" s="7">
        <v>-807</v>
      </c>
      <c r="AA29" s="7">
        <v>-2.3585457096095399</v>
      </c>
      <c r="AB29">
        <f t="shared" si="1"/>
        <v>12</v>
      </c>
      <c r="AC29" s="6">
        <v>32.973150947349502</v>
      </c>
      <c r="AD29" s="6">
        <v>31.236848258124901</v>
      </c>
      <c r="AE29" s="7">
        <v>1.73630268922466</v>
      </c>
      <c r="AF29" s="8">
        <v>5.5585079354894297E-2</v>
      </c>
      <c r="AG29" s="15">
        <f t="shared" si="18"/>
        <v>4</v>
      </c>
      <c r="AH29" s="6">
        <v>1.67066085693537</v>
      </c>
      <c r="AI29" s="6">
        <v>1.7309131736526899</v>
      </c>
      <c r="AJ29" s="6">
        <v>-6.0252316717327899E-2</v>
      </c>
      <c r="AK29" s="9">
        <v>-3.4809554652691901</v>
      </c>
      <c r="AL29" s="15">
        <f t="shared" si="2"/>
        <v>26</v>
      </c>
      <c r="AM29" s="6">
        <v>42.626065529232797</v>
      </c>
      <c r="AN29" s="9">
        <v>40.265504864864901</v>
      </c>
      <c r="AO29" s="6">
        <v>2.36056066436793</v>
      </c>
      <c r="AP29" s="6">
        <v>5.8624886793055602</v>
      </c>
      <c r="AQ29" s="15">
        <f t="shared" si="3"/>
        <v>19</v>
      </c>
      <c r="AR29" s="10">
        <v>1.6380308800000001</v>
      </c>
      <c r="AS29" s="10">
        <v>43.126063941366503</v>
      </c>
      <c r="AT29" s="10">
        <v>10.976232748450499</v>
      </c>
      <c r="AU29" s="10">
        <v>11.400480980133301</v>
      </c>
      <c r="AV29" s="10">
        <v>1.5422656634276</v>
      </c>
      <c r="AW29" s="10">
        <v>3.1047813845980201</v>
      </c>
      <c r="AX29" s="10">
        <v>78845.930000000095</v>
      </c>
      <c r="AY29" s="10">
        <v>76626.280000000101</v>
      </c>
      <c r="AZ29" s="10">
        <v>233010.09</v>
      </c>
      <c r="BA29" s="10">
        <v>228701.57</v>
      </c>
      <c r="BB29" s="10">
        <v>29316.539867964901</v>
      </c>
      <c r="BC29" s="10">
        <v>4.65252057324372</v>
      </c>
      <c r="BD29" s="11">
        <v>0.97701149425287404</v>
      </c>
      <c r="BE29" s="15">
        <f t="shared" si="4"/>
        <v>13</v>
      </c>
      <c r="BF29" s="11">
        <v>0.96823529411764697</v>
      </c>
      <c r="BG29" s="15">
        <f t="shared" si="5"/>
        <v>12</v>
      </c>
      <c r="BH29" s="12">
        <v>2.4597607737846401</v>
      </c>
      <c r="BI29" s="15">
        <f t="shared" si="6"/>
        <v>14</v>
      </c>
      <c r="BJ29" s="9">
        <v>2.7840784488000598</v>
      </c>
      <c r="BK29" s="76">
        <f t="shared" si="7"/>
        <v>11</v>
      </c>
      <c r="BL29" s="13">
        <v>87.336601307189497</v>
      </c>
      <c r="BM29" s="15">
        <f t="shared" si="8"/>
        <v>4</v>
      </c>
      <c r="BN29" s="13">
        <v>79.921407185628794</v>
      </c>
      <c r="BO29" s="14">
        <v>0.84799999999999998</v>
      </c>
      <c r="BP29" s="15">
        <f t="shared" si="9"/>
        <v>21</v>
      </c>
      <c r="BQ29" s="8">
        <v>-3.21118901413918E-3</v>
      </c>
      <c r="BR29" s="15">
        <f t="shared" si="10"/>
        <v>15</v>
      </c>
      <c r="BS29" s="8">
        <v>-3.9976259337191396E-3</v>
      </c>
      <c r="BT29" s="8">
        <v>-6.8140055965778797E-3</v>
      </c>
      <c r="BU29" s="8">
        <v>-3.21118901413918E-3</v>
      </c>
      <c r="BV29" s="6">
        <v>-5345.52</v>
      </c>
      <c r="BW29" s="15">
        <f t="shared" si="11"/>
        <v>19</v>
      </c>
      <c r="BX29" s="7">
        <v>4576.82</v>
      </c>
      <c r="BY29">
        <v>66</v>
      </c>
      <c r="BZ29" s="18">
        <v>1607062.05</v>
      </c>
      <c r="CA29" s="18">
        <v>1520314.97</v>
      </c>
      <c r="CB29" s="19">
        <f t="shared" si="12"/>
        <v>86747.080000000075</v>
      </c>
      <c r="CC29" s="20">
        <f t="shared" si="13"/>
        <v>5.7058623845557532</v>
      </c>
      <c r="CD29" s="27">
        <v>1.7</v>
      </c>
      <c r="CE29" s="16">
        <v>-2436.58</v>
      </c>
      <c r="CF29">
        <f t="shared" si="14"/>
        <v>3</v>
      </c>
      <c r="CG29" s="16">
        <f t="shared" si="15"/>
        <v>6</v>
      </c>
    </row>
    <row r="30" spans="1:85" x14ac:dyDescent="0.25">
      <c r="A30">
        <v>51</v>
      </c>
      <c r="B30">
        <v>1</v>
      </c>
      <c r="C30" t="s">
        <v>58</v>
      </c>
      <c r="D30" t="s">
        <v>232</v>
      </c>
      <c r="E30" t="s">
        <v>82</v>
      </c>
      <c r="F30" t="s">
        <v>122</v>
      </c>
      <c r="G30" t="s">
        <v>260</v>
      </c>
      <c r="H30" s="1">
        <v>6453</v>
      </c>
      <c r="I30" t="s">
        <v>161</v>
      </c>
      <c r="J30" t="s">
        <v>195</v>
      </c>
      <c r="K30" t="s">
        <v>212</v>
      </c>
      <c r="L30" t="s">
        <v>218</v>
      </c>
      <c r="M30" s="2">
        <v>46270</v>
      </c>
      <c r="N30" s="2">
        <v>38108</v>
      </c>
      <c r="O30" s="2">
        <v>44833</v>
      </c>
      <c r="P30" s="3">
        <v>93.45</v>
      </c>
      <c r="Q30" s="4">
        <v>44833</v>
      </c>
      <c r="R30" s="3">
        <v>99.72</v>
      </c>
      <c r="S30" s="5">
        <v>839765.34</v>
      </c>
      <c r="T30" s="5">
        <v>817326.47</v>
      </c>
      <c r="U30" s="5">
        <v>22438.87</v>
      </c>
      <c r="V30" s="6">
        <v>2.7453986654807099</v>
      </c>
      <c r="W30">
        <f t="shared" si="0"/>
        <v>13</v>
      </c>
      <c r="X30" s="7">
        <v>44032</v>
      </c>
      <c r="Y30" s="7">
        <v>40792</v>
      </c>
      <c r="Z30" s="7">
        <v>3240</v>
      </c>
      <c r="AA30" s="7">
        <v>7.9427338693861502</v>
      </c>
      <c r="AB30">
        <f t="shared" si="1"/>
        <v>3</v>
      </c>
      <c r="AC30" s="6">
        <v>29.022074854651201</v>
      </c>
      <c r="AD30" s="6">
        <v>30.140713865463798</v>
      </c>
      <c r="AE30" s="7">
        <v>-1.11863901081265</v>
      </c>
      <c r="AF30" s="8">
        <v>-3.7113885749548201E-2</v>
      </c>
      <c r="AG30" s="15">
        <f t="shared" si="18"/>
        <v>25</v>
      </c>
      <c r="AH30" s="6">
        <v>1.56835433132483</v>
      </c>
      <c r="AI30" s="6">
        <v>1.6611630744204999</v>
      </c>
      <c r="AJ30" s="6">
        <v>-9.2808743095666293E-2</v>
      </c>
      <c r="AK30" s="9">
        <v>-5.5869736406248398</v>
      </c>
      <c r="AL30" s="15">
        <f t="shared" si="2"/>
        <v>37</v>
      </c>
      <c r="AM30" s="6">
        <v>41.900276419519003</v>
      </c>
      <c r="AN30" s="9">
        <v>40.017943106149602</v>
      </c>
      <c r="AO30" s="6">
        <v>1.88233331336941</v>
      </c>
      <c r="AP30" s="6">
        <v>4.7037232982625401</v>
      </c>
      <c r="AQ30" s="15">
        <f t="shared" si="3"/>
        <v>25</v>
      </c>
      <c r="AR30" s="10">
        <v>1.70716015</v>
      </c>
      <c r="AS30" s="10">
        <v>44.729783498106798</v>
      </c>
      <c r="AT30" s="10">
        <v>11.224011458278699</v>
      </c>
      <c r="AU30" s="10">
        <v>13.577045920561501</v>
      </c>
      <c r="AV30" s="10">
        <v>1.5517688272671399</v>
      </c>
      <c r="AW30" s="10">
        <v>3.3942988824707299</v>
      </c>
      <c r="AX30" s="10">
        <v>79437.03</v>
      </c>
      <c r="AY30" s="10">
        <v>59285.63</v>
      </c>
      <c r="AZ30" s="10">
        <v>235546.05</v>
      </c>
      <c r="BA30" s="10">
        <v>188100.78</v>
      </c>
      <c r="BB30" s="10">
        <v>9101.3727364260103</v>
      </c>
      <c r="BC30" s="10">
        <v>1.36165019925733</v>
      </c>
      <c r="BD30" s="11">
        <v>0.95904436860068298</v>
      </c>
      <c r="BE30" s="15">
        <f t="shared" si="4"/>
        <v>27</v>
      </c>
      <c r="BF30" s="11">
        <v>0.93413516609392899</v>
      </c>
      <c r="BG30" s="15">
        <f t="shared" si="5"/>
        <v>24</v>
      </c>
      <c r="BH30" s="12">
        <v>2.1563369119282698</v>
      </c>
      <c r="BI30" s="15">
        <f t="shared" si="6"/>
        <v>22</v>
      </c>
      <c r="BJ30" s="9">
        <v>2.5415498900947102</v>
      </c>
      <c r="BK30" s="76">
        <f t="shared" si="7"/>
        <v>17</v>
      </c>
      <c r="BL30" s="13">
        <v>70.240237890288796</v>
      </c>
      <c r="BM30" s="15">
        <f t="shared" si="8"/>
        <v>15</v>
      </c>
      <c r="BN30" s="13">
        <v>70.020333468889802</v>
      </c>
      <c r="BO30" s="14">
        <v>0.61903333333333299</v>
      </c>
      <c r="BP30" s="15">
        <f t="shared" si="9"/>
        <v>40</v>
      </c>
      <c r="BQ30" s="8">
        <v>-7.03779740689637E-3</v>
      </c>
      <c r="BR30" s="15">
        <f t="shared" si="10"/>
        <v>32</v>
      </c>
      <c r="BS30" s="8">
        <v>-8.1659220093358697E-3</v>
      </c>
      <c r="BT30" s="8">
        <v>-7.3833840296385596E-3</v>
      </c>
      <c r="BU30" s="8">
        <v>-7.0377974068963596E-3</v>
      </c>
      <c r="BV30" s="6">
        <v>-6200.3099999999904</v>
      </c>
      <c r="BW30" s="15">
        <f t="shared" si="11"/>
        <v>25</v>
      </c>
      <c r="BX30" s="7">
        <v>2654.52</v>
      </c>
      <c r="BY30">
        <v>67</v>
      </c>
      <c r="BZ30" s="18">
        <v>1684487.25</v>
      </c>
      <c r="CA30" s="18">
        <v>1688728.8</v>
      </c>
      <c r="CB30" s="19">
        <f t="shared" si="12"/>
        <v>-4241.5500000000466</v>
      </c>
      <c r="CC30" s="20">
        <f t="shared" si="13"/>
        <v>-0.25116821599774025</v>
      </c>
      <c r="CD30" s="27">
        <v>1.9</v>
      </c>
      <c r="CE30" s="16">
        <v>-3314.87</v>
      </c>
      <c r="CF30">
        <f t="shared" si="14"/>
        <v>8</v>
      </c>
      <c r="CG30" s="16">
        <f t="shared" si="15"/>
        <v>11</v>
      </c>
    </row>
    <row r="31" spans="1:85" x14ac:dyDescent="0.25">
      <c r="A31">
        <v>53</v>
      </c>
      <c r="B31">
        <v>2</v>
      </c>
      <c r="C31" t="s">
        <v>59</v>
      </c>
      <c r="D31" t="s">
        <v>233</v>
      </c>
      <c r="E31" t="s">
        <v>83</v>
      </c>
      <c r="F31" t="s">
        <v>123</v>
      </c>
      <c r="G31" t="s">
        <v>261</v>
      </c>
      <c r="H31" s="1">
        <v>9012</v>
      </c>
      <c r="I31" t="s">
        <v>162</v>
      </c>
      <c r="J31" t="s">
        <v>191</v>
      </c>
      <c r="K31" t="s">
        <v>212</v>
      </c>
      <c r="L31" t="s">
        <v>218</v>
      </c>
      <c r="M31" s="2">
        <v>46737</v>
      </c>
      <c r="N31" s="2">
        <v>39033</v>
      </c>
      <c r="O31" s="2">
        <v>45082</v>
      </c>
      <c r="P31" s="3">
        <v>84.62</v>
      </c>
      <c r="Q31" s="4">
        <v>45082</v>
      </c>
      <c r="R31" s="3">
        <v>99.73</v>
      </c>
      <c r="S31" s="5">
        <v>1333376.72</v>
      </c>
      <c r="T31" s="5">
        <v>1369390.14</v>
      </c>
      <c r="U31" s="5">
        <v>-36013.42</v>
      </c>
      <c r="V31" s="6">
        <v>-2.6298874913763002</v>
      </c>
      <c r="W31">
        <f t="shared" si="0"/>
        <v>24</v>
      </c>
      <c r="X31" s="7">
        <v>61242</v>
      </c>
      <c r="Y31" s="7">
        <v>64640</v>
      </c>
      <c r="Z31" s="7">
        <v>-3398</v>
      </c>
      <c r="AA31" s="7">
        <v>-5.2568069306930703</v>
      </c>
      <c r="AB31">
        <f t="shared" si="1"/>
        <v>22</v>
      </c>
      <c r="AC31" s="6">
        <v>29.0323634107312</v>
      </c>
      <c r="AD31" s="6">
        <v>28.756188118811899</v>
      </c>
      <c r="AE31" s="7">
        <v>0.276175291919319</v>
      </c>
      <c r="AF31" s="8">
        <v>9.60402994924941E-3</v>
      </c>
      <c r="AG31" s="15">
        <f t="shared" si="18"/>
        <v>14</v>
      </c>
      <c r="AH31" s="6">
        <v>1.6958942632170999</v>
      </c>
      <c r="AI31" s="6">
        <v>1.73967075532602</v>
      </c>
      <c r="AJ31" s="6">
        <v>-4.3776492108918999E-2</v>
      </c>
      <c r="AK31" s="9">
        <v>-2.51636650066669</v>
      </c>
      <c r="AL31" s="15">
        <f t="shared" si="2"/>
        <v>16</v>
      </c>
      <c r="AM31" s="6">
        <v>44.220366796006999</v>
      </c>
      <c r="AN31" s="9">
        <v>42.347470080712498</v>
      </c>
      <c r="AO31" s="6">
        <v>1.87289671529452</v>
      </c>
      <c r="AP31" s="6">
        <v>4.42268856138244</v>
      </c>
      <c r="AQ31" s="15">
        <f t="shared" si="3"/>
        <v>27</v>
      </c>
      <c r="AR31" s="10">
        <v>2.8676390999999999</v>
      </c>
      <c r="AS31" s="10">
        <v>43.198900175296203</v>
      </c>
      <c r="AT31" s="10">
        <v>9.8989543072471609</v>
      </c>
      <c r="AU31" s="10">
        <v>7.8142554071272796</v>
      </c>
      <c r="AV31" s="10">
        <v>1.5411166579562201</v>
      </c>
      <c r="AW31" s="10">
        <v>3.1624827418156398</v>
      </c>
      <c r="AX31" s="10">
        <v>191274.16</v>
      </c>
      <c r="AY31" s="10">
        <v>166685.71</v>
      </c>
      <c r="AZ31" s="10">
        <v>565593.75</v>
      </c>
      <c r="BA31" s="10">
        <v>506725.27</v>
      </c>
      <c r="BB31" s="10">
        <v>85391.612264435302</v>
      </c>
      <c r="BC31" s="10">
        <v>7.8864644913385797</v>
      </c>
      <c r="BD31" s="11">
        <v>0.97413793103448298</v>
      </c>
      <c r="BE31" s="15">
        <f t="shared" si="4"/>
        <v>15</v>
      </c>
      <c r="BF31" s="11">
        <v>0.93818601964182602</v>
      </c>
      <c r="BG31" s="15">
        <f t="shared" si="5"/>
        <v>23</v>
      </c>
      <c r="BH31" s="12">
        <v>2.05255495986161</v>
      </c>
      <c r="BI31" s="15">
        <f t="shared" si="6"/>
        <v>25</v>
      </c>
      <c r="BJ31" s="9">
        <v>2.2067991522123802</v>
      </c>
      <c r="BK31" s="76">
        <f t="shared" si="7"/>
        <v>25</v>
      </c>
      <c r="BL31" s="13">
        <v>55.7311586051744</v>
      </c>
      <c r="BM31" s="15">
        <f t="shared" si="8"/>
        <v>30</v>
      </c>
      <c r="BN31" s="13">
        <v>47.552184204863401</v>
      </c>
      <c r="BO31" s="14">
        <v>0.88626666666666698</v>
      </c>
      <c r="BP31" s="15">
        <f t="shared" si="9"/>
        <v>15</v>
      </c>
      <c r="BQ31" s="8">
        <v>-3.1674359011818298E-3</v>
      </c>
      <c r="BR31" s="15">
        <f t="shared" si="10"/>
        <v>14</v>
      </c>
      <c r="BS31" s="8">
        <v>-4.5787506191913296E-3</v>
      </c>
      <c r="BT31" s="8">
        <v>-2.5434672355761499E-3</v>
      </c>
      <c r="BU31" s="8">
        <v>-3.1674359011818198E-3</v>
      </c>
      <c r="BV31" s="6">
        <v>-3391.4</v>
      </c>
      <c r="BW31" s="15">
        <f t="shared" si="11"/>
        <v>10</v>
      </c>
      <c r="BX31" s="7">
        <v>2593.33</v>
      </c>
      <c r="BY31">
        <v>68</v>
      </c>
      <c r="BZ31" s="18">
        <v>2902979.03</v>
      </c>
      <c r="CA31" s="18">
        <v>2721954.57</v>
      </c>
      <c r="CB31" s="19">
        <f t="shared" si="12"/>
        <v>181024.45999999996</v>
      </c>
      <c r="CC31" s="20">
        <f t="shared" si="13"/>
        <v>6.6505320108997985</v>
      </c>
      <c r="CD31" s="27">
        <v>2.2999999999999998</v>
      </c>
      <c r="CE31" s="16">
        <v>-7438.73</v>
      </c>
      <c r="CF31">
        <f t="shared" si="14"/>
        <v>2</v>
      </c>
      <c r="CG31" s="16">
        <f t="shared" si="15"/>
        <v>33</v>
      </c>
    </row>
    <row r="32" spans="1:85" x14ac:dyDescent="0.25">
      <c r="A32">
        <v>58</v>
      </c>
      <c r="B32">
        <v>4</v>
      </c>
      <c r="C32" t="s">
        <v>61</v>
      </c>
      <c r="D32" t="s">
        <v>235</v>
      </c>
      <c r="E32" t="s">
        <v>85</v>
      </c>
      <c r="F32" t="s">
        <v>125</v>
      </c>
      <c r="G32" t="s">
        <v>262</v>
      </c>
      <c r="H32" s="1">
        <v>5987</v>
      </c>
      <c r="I32" t="s">
        <v>164</v>
      </c>
      <c r="J32" t="s">
        <v>195</v>
      </c>
      <c r="K32" t="s">
        <v>212</v>
      </c>
      <c r="L32" t="s">
        <v>218</v>
      </c>
      <c r="M32" s="2">
        <v>45820</v>
      </c>
      <c r="N32" s="2">
        <v>40548</v>
      </c>
      <c r="O32" s="2">
        <v>45042</v>
      </c>
      <c r="P32" s="3">
        <v>96.99</v>
      </c>
      <c r="Q32" s="4">
        <v>45042</v>
      </c>
      <c r="R32" s="3">
        <v>99.59</v>
      </c>
      <c r="S32" s="5">
        <v>741717.32</v>
      </c>
      <c r="T32" s="5">
        <v>650326.65</v>
      </c>
      <c r="U32" s="5">
        <v>91390.67</v>
      </c>
      <c r="V32" s="6">
        <v>14.0530408833775</v>
      </c>
      <c r="W32">
        <f t="shared" si="0"/>
        <v>2</v>
      </c>
      <c r="X32" s="7">
        <v>37094</v>
      </c>
      <c r="Y32" s="7">
        <v>36322</v>
      </c>
      <c r="Z32" s="7">
        <v>772</v>
      </c>
      <c r="AA32" s="7">
        <v>2.1254336214966099</v>
      </c>
      <c r="AB32">
        <f t="shared" si="1"/>
        <v>6</v>
      </c>
      <c r="AC32" s="6">
        <v>28.4169946622095</v>
      </c>
      <c r="AD32" s="6">
        <v>26.287098728043599</v>
      </c>
      <c r="AE32" s="7">
        <v>2.1298959341659098</v>
      </c>
      <c r="AF32" s="8">
        <v>8.1024382196034903E-2</v>
      </c>
      <c r="AG32" s="15">
        <f t="shared" si="18"/>
        <v>2</v>
      </c>
      <c r="AH32" s="6">
        <v>1.62565221515985</v>
      </c>
      <c r="AI32" s="6">
        <v>1.68527440301634</v>
      </c>
      <c r="AJ32" s="6">
        <v>-5.9622187856486403E-2</v>
      </c>
      <c r="AK32" s="9">
        <v>-3.5378326372116899</v>
      </c>
      <c r="AL32" s="15">
        <f t="shared" si="2"/>
        <v>27</v>
      </c>
      <c r="AM32" s="6">
        <v>43.2841573295985</v>
      </c>
      <c r="AN32" s="9">
        <v>40.415552172021599</v>
      </c>
      <c r="AO32" s="6">
        <v>2.8686051575768499</v>
      </c>
      <c r="AP32" s="6">
        <v>7.0977754933723096</v>
      </c>
      <c r="AQ32" s="15">
        <f t="shared" si="3"/>
        <v>13</v>
      </c>
      <c r="AR32" s="10">
        <v>1.45569474</v>
      </c>
      <c r="AS32" s="10">
        <v>42.068173566082002</v>
      </c>
      <c r="AT32" s="10">
        <v>19.203118083877602</v>
      </c>
      <c r="AU32" s="10">
        <v>10.667805928580799</v>
      </c>
      <c r="AV32" s="10">
        <v>1.5590729281998099</v>
      </c>
      <c r="AW32" s="10">
        <v>3.5485592600697</v>
      </c>
      <c r="AX32" s="10">
        <v>15443.79</v>
      </c>
      <c r="AY32" s="10">
        <v>16286.99</v>
      </c>
      <c r="AZ32" s="10">
        <v>53564.95</v>
      </c>
      <c r="BA32" s="10">
        <v>55473.039999999899</v>
      </c>
      <c r="BB32" s="10">
        <v>-27322.959809181</v>
      </c>
      <c r="BC32" s="10">
        <v>-4.7040108037944401</v>
      </c>
      <c r="BD32" s="11">
        <v>0.98666666666666702</v>
      </c>
      <c r="BE32" s="15">
        <f t="shared" si="4"/>
        <v>6</v>
      </c>
      <c r="BF32" s="11">
        <v>0.98249708284714099</v>
      </c>
      <c r="BG32" s="15">
        <f t="shared" si="5"/>
        <v>4</v>
      </c>
      <c r="BH32" s="12">
        <v>2.4515862727865101</v>
      </c>
      <c r="BI32" s="15">
        <f t="shared" si="6"/>
        <v>15</v>
      </c>
      <c r="BJ32" s="9">
        <v>1.6824452757702599</v>
      </c>
      <c r="BK32" s="76">
        <f t="shared" si="7"/>
        <v>32</v>
      </c>
      <c r="BL32" s="13">
        <v>79.574992884925507</v>
      </c>
      <c r="BM32" s="15">
        <f t="shared" si="8"/>
        <v>9</v>
      </c>
      <c r="BN32" s="13">
        <v>67.679095098449906</v>
      </c>
      <c r="BO32" s="14">
        <v>0.98707500000000004</v>
      </c>
      <c r="BP32" s="15">
        <f t="shared" si="9"/>
        <v>3</v>
      </c>
      <c r="BQ32" s="8">
        <v>-5.3716075956121703E-3</v>
      </c>
      <c r="BR32" s="15">
        <f t="shared" si="10"/>
        <v>25</v>
      </c>
      <c r="BS32" s="8">
        <v>-3.4463175798878699E-3</v>
      </c>
      <c r="BT32" s="8">
        <v>-8.12868978170821E-3</v>
      </c>
      <c r="BU32" s="8">
        <v>-5.3716075956121599E-3</v>
      </c>
      <c r="BV32" s="6">
        <v>-6029.19</v>
      </c>
      <c r="BW32" s="15">
        <f t="shared" si="11"/>
        <v>23</v>
      </c>
      <c r="BX32" s="7">
        <v>2082.7600000000002</v>
      </c>
      <c r="BY32">
        <v>73</v>
      </c>
      <c r="BZ32" s="18">
        <v>1407375.7</v>
      </c>
      <c r="CA32" s="18">
        <v>1544372.16</v>
      </c>
      <c r="CB32" s="19">
        <f t="shared" si="12"/>
        <v>-136996.45999999996</v>
      </c>
      <c r="CC32" s="20">
        <f t="shared" si="13"/>
        <v>-8.8706895622878861</v>
      </c>
      <c r="CD32" s="27">
        <v>1.7</v>
      </c>
      <c r="CE32" s="16">
        <v>-9219.9699999999993</v>
      </c>
      <c r="CF32">
        <f t="shared" si="14"/>
        <v>11</v>
      </c>
      <c r="CG32" s="16">
        <f t="shared" si="15"/>
        <v>13</v>
      </c>
    </row>
    <row r="33" spans="1:85" x14ac:dyDescent="0.25">
      <c r="A33">
        <v>61</v>
      </c>
      <c r="B33">
        <v>1</v>
      </c>
      <c r="C33" t="s">
        <v>58</v>
      </c>
      <c r="D33" t="s">
        <v>232</v>
      </c>
      <c r="E33" t="s">
        <v>86</v>
      </c>
      <c r="F33" t="s">
        <v>126</v>
      </c>
      <c r="G33" t="s">
        <v>239</v>
      </c>
      <c r="H33" s="1">
        <v>8456</v>
      </c>
      <c r="I33" t="s">
        <v>165</v>
      </c>
      <c r="J33" t="s">
        <v>204</v>
      </c>
      <c r="K33" t="s">
        <v>212</v>
      </c>
      <c r="L33" t="s">
        <v>218</v>
      </c>
      <c r="M33" s="2">
        <v>46318</v>
      </c>
      <c r="N33" s="2">
        <v>41137</v>
      </c>
      <c r="O33" s="2">
        <v>44958</v>
      </c>
      <c r="P33" s="3">
        <v>73.33</v>
      </c>
      <c r="Q33" s="4">
        <v>44958</v>
      </c>
      <c r="R33" s="3">
        <v>96.03</v>
      </c>
      <c r="S33" s="5">
        <v>538630.18999999994</v>
      </c>
      <c r="T33" s="5">
        <v>512187.45</v>
      </c>
      <c r="U33" s="5">
        <v>26442.74</v>
      </c>
      <c r="V33" s="6">
        <v>5.1627075204596196</v>
      </c>
      <c r="W33">
        <f t="shared" si="0"/>
        <v>10</v>
      </c>
      <c r="X33" s="7">
        <v>26016</v>
      </c>
      <c r="Y33" s="7">
        <v>28688</v>
      </c>
      <c r="Z33" s="7">
        <v>-2672</v>
      </c>
      <c r="AA33" s="7">
        <v>-9.3139988845510295</v>
      </c>
      <c r="AB33">
        <f t="shared" si="1"/>
        <v>30</v>
      </c>
      <c r="AC33" s="6">
        <v>31.815036900369002</v>
      </c>
      <c r="AD33" s="6">
        <v>28.6321807027328</v>
      </c>
      <c r="AE33" s="7">
        <v>3.18285619763616</v>
      </c>
      <c r="AF33" s="8">
        <v>0.11116359702676699</v>
      </c>
      <c r="AG33" s="15">
        <f t="shared" si="18"/>
        <v>1</v>
      </c>
      <c r="AH33" s="6">
        <v>1.7294913616044501</v>
      </c>
      <c r="AI33" s="6">
        <v>1.66715364012661</v>
      </c>
      <c r="AJ33" s="6">
        <v>6.2337721477832897E-2</v>
      </c>
      <c r="AK33" s="9">
        <v>3.7391707625158399</v>
      </c>
      <c r="AL33" s="15">
        <f t="shared" si="2"/>
        <v>1</v>
      </c>
      <c r="AM33" s="6">
        <v>37.626977995110003</v>
      </c>
      <c r="AN33" s="9">
        <v>37.402325836132597</v>
      </c>
      <c r="AO33" s="6">
        <v>0.22465215897744201</v>
      </c>
      <c r="AP33" s="6">
        <v>0.60063686937996796</v>
      </c>
      <c r="AQ33" s="15">
        <f t="shared" si="3"/>
        <v>39</v>
      </c>
      <c r="AR33" s="10">
        <v>1.14492276</v>
      </c>
      <c r="AS33" s="10">
        <v>41.137318742900803</v>
      </c>
      <c r="AT33" s="10">
        <v>15.2836863105736</v>
      </c>
      <c r="AU33" s="10">
        <v>9.2667459914399402</v>
      </c>
      <c r="AV33" s="10">
        <v>1.54105573765638</v>
      </c>
      <c r="AW33" s="10">
        <v>1.6835898694763101</v>
      </c>
      <c r="AX33" s="10">
        <v>30141.64</v>
      </c>
      <c r="AY33" s="10">
        <v>28570.84</v>
      </c>
      <c r="AZ33" s="10">
        <v>157897.75</v>
      </c>
      <c r="BA33" s="10">
        <v>155019.53</v>
      </c>
      <c r="BB33" s="10">
        <v>-3684.3726300256799</v>
      </c>
      <c r="BC33" s="10">
        <v>-0.85760991299251399</v>
      </c>
      <c r="BD33" s="11">
        <v>0.97826086956521696</v>
      </c>
      <c r="BE33" s="15">
        <f t="shared" si="4"/>
        <v>11</v>
      </c>
      <c r="BF33" s="11">
        <v>0.95657346817370603</v>
      </c>
      <c r="BG33" s="15">
        <f t="shared" si="5"/>
        <v>18</v>
      </c>
      <c r="BH33" s="12">
        <v>3.5083867096272501</v>
      </c>
      <c r="BI33" s="15">
        <f t="shared" si="6"/>
        <v>2</v>
      </c>
      <c r="BJ33" s="9">
        <v>3.2382695046510799</v>
      </c>
      <c r="BK33" s="76">
        <f t="shared" si="7"/>
        <v>7</v>
      </c>
      <c r="BL33" s="13">
        <v>74.519753533889102</v>
      </c>
      <c r="BM33" s="15">
        <f t="shared" si="8"/>
        <v>14</v>
      </c>
      <c r="BN33" s="13">
        <v>68.115412710007305</v>
      </c>
      <c r="BO33" s="14">
        <v>0.92379999999999995</v>
      </c>
      <c r="BP33" s="15">
        <f t="shared" si="9"/>
        <v>11</v>
      </c>
      <c r="BQ33" s="8">
        <v>-2.4410560468090298E-3</v>
      </c>
      <c r="BR33" s="15">
        <f t="shared" si="10"/>
        <v>8</v>
      </c>
      <c r="BS33" s="8">
        <v>-1.38347212947909E-2</v>
      </c>
      <c r="BT33" s="8">
        <v>-2.6915684024320999E-3</v>
      </c>
      <c r="BU33" s="8">
        <v>-2.4410560468090298E-3</v>
      </c>
      <c r="BV33" s="6">
        <v>-1449.76</v>
      </c>
      <c r="BW33" s="15">
        <f t="shared" si="11"/>
        <v>5</v>
      </c>
      <c r="BX33" s="7">
        <v>2230.08</v>
      </c>
      <c r="BY33">
        <v>75</v>
      </c>
      <c r="BZ33" s="18">
        <v>1134386.08</v>
      </c>
      <c r="CA33" s="18">
        <v>1179541.56</v>
      </c>
      <c r="CB33" s="19">
        <f t="shared" si="12"/>
        <v>-45155.479999999981</v>
      </c>
      <c r="CC33" s="20">
        <f t="shared" si="13"/>
        <v>-3.8282228902557685</v>
      </c>
      <c r="CD33" s="27">
        <v>1.6</v>
      </c>
      <c r="CE33" s="16">
        <v>-4629.6400000000003</v>
      </c>
      <c r="CF33">
        <f t="shared" si="14"/>
        <v>9</v>
      </c>
      <c r="CG33" s="16">
        <f t="shared" si="15"/>
        <v>12</v>
      </c>
    </row>
    <row r="34" spans="1:85" x14ac:dyDescent="0.25">
      <c r="A34">
        <v>69</v>
      </c>
      <c r="B34">
        <v>4</v>
      </c>
      <c r="C34" t="s">
        <v>61</v>
      </c>
      <c r="D34" t="s">
        <v>235</v>
      </c>
      <c r="E34" t="s">
        <v>89</v>
      </c>
      <c r="F34" t="s">
        <v>129</v>
      </c>
      <c r="G34" t="s">
        <v>258</v>
      </c>
      <c r="H34" s="1">
        <v>7745</v>
      </c>
      <c r="I34" t="s">
        <v>168</v>
      </c>
      <c r="J34" t="s">
        <v>206</v>
      </c>
      <c r="K34" t="s">
        <v>212</v>
      </c>
      <c r="L34" t="s">
        <v>218</v>
      </c>
      <c r="M34" s="2">
        <v>45925</v>
      </c>
      <c r="N34" s="2">
        <v>43180</v>
      </c>
      <c r="O34" s="2">
        <v>45069</v>
      </c>
      <c r="P34" s="3">
        <v>71.430000000000007</v>
      </c>
      <c r="Q34" s="4">
        <v>44644</v>
      </c>
      <c r="R34" s="3">
        <v>98.39</v>
      </c>
      <c r="S34" s="5">
        <v>1061964.8</v>
      </c>
      <c r="T34" s="5">
        <v>1139884.24</v>
      </c>
      <c r="U34" s="5">
        <v>-77919.44</v>
      </c>
      <c r="V34" s="6">
        <v>-6.83573272317554</v>
      </c>
      <c r="W34">
        <f t="shared" si="0"/>
        <v>29</v>
      </c>
      <c r="X34" s="7">
        <v>42152</v>
      </c>
      <c r="Y34" s="7">
        <v>46878</v>
      </c>
      <c r="Z34" s="7">
        <v>-4726</v>
      </c>
      <c r="AA34" s="7">
        <v>-10.0814881180938</v>
      </c>
      <c r="AB34">
        <f t="shared" si="1"/>
        <v>32</v>
      </c>
      <c r="AC34" s="6">
        <v>36.463275763902097</v>
      </c>
      <c r="AD34" s="6">
        <v>35.684116216562103</v>
      </c>
      <c r="AE34" s="7">
        <v>0.77915954733992998</v>
      </c>
      <c r="AF34" s="8">
        <v>2.1834912278934301E-2</v>
      </c>
      <c r="AG34" s="15">
        <f t="shared" si="18"/>
        <v>9</v>
      </c>
      <c r="AH34" s="6">
        <v>1.6414443721535501</v>
      </c>
      <c r="AI34" s="6">
        <v>1.6632592061214699</v>
      </c>
      <c r="AJ34" s="6">
        <v>-2.1814833967927199E-2</v>
      </c>
      <c r="AK34" s="9">
        <v>-1.3115715149893501</v>
      </c>
      <c r="AL34" s="15">
        <f t="shared" si="2"/>
        <v>9</v>
      </c>
      <c r="AM34" s="6">
        <v>42.093019937373597</v>
      </c>
      <c r="AN34" s="9">
        <v>40.969134888401697</v>
      </c>
      <c r="AO34" s="6">
        <v>1.1238850489719401</v>
      </c>
      <c r="AP34" s="6">
        <v>2.74324818435479</v>
      </c>
      <c r="AQ34" s="15">
        <f t="shared" si="3"/>
        <v>34</v>
      </c>
      <c r="AR34" s="10">
        <v>2.2154252699999999</v>
      </c>
      <c r="AS34" s="10">
        <v>42.673503115979798</v>
      </c>
      <c r="AT34" s="10">
        <v>12.179860253261401</v>
      </c>
      <c r="AU34" s="10">
        <v>16.145296368203699</v>
      </c>
      <c r="AV34" s="10">
        <v>1.6560499828412001</v>
      </c>
      <c r="AW34" s="10">
        <v>4.61823157354541</v>
      </c>
      <c r="AX34" s="10">
        <v>31826.269999999899</v>
      </c>
      <c r="AY34" s="10">
        <v>-2357.25000000009</v>
      </c>
      <c r="AZ34" s="10">
        <v>226291.15</v>
      </c>
      <c r="BA34" s="10">
        <v>145896.68</v>
      </c>
      <c r="BB34" s="10">
        <v>-64705.408399134903</v>
      </c>
      <c r="BC34" s="10">
        <v>-7.7918952709334501</v>
      </c>
      <c r="BD34" s="11">
        <v>0.97303921568627505</v>
      </c>
      <c r="BE34" s="15">
        <f t="shared" si="4"/>
        <v>17</v>
      </c>
      <c r="BF34" s="11">
        <v>0.91675617615467198</v>
      </c>
      <c r="BG34" s="15">
        <f t="shared" si="5"/>
        <v>29</v>
      </c>
      <c r="BH34" s="12">
        <v>2.3321385040257501</v>
      </c>
      <c r="BI34" s="15">
        <f t="shared" si="6"/>
        <v>18</v>
      </c>
      <c r="BJ34" s="9">
        <v>2.3169536934732902</v>
      </c>
      <c r="BK34" s="76">
        <f t="shared" si="7"/>
        <v>22</v>
      </c>
      <c r="BL34" s="13">
        <v>64.8666232921275</v>
      </c>
      <c r="BM34" s="15">
        <f t="shared" si="8"/>
        <v>19</v>
      </c>
      <c r="BN34" s="13">
        <v>63.103778096604501</v>
      </c>
      <c r="BO34" s="14">
        <v>0.81316666666666704</v>
      </c>
      <c r="BP34" s="15">
        <f t="shared" si="9"/>
        <v>26</v>
      </c>
      <c r="BQ34" s="8">
        <v>-4.9834382867724398E-3</v>
      </c>
      <c r="BR34" s="15">
        <f t="shared" si="10"/>
        <v>21</v>
      </c>
      <c r="BS34" s="8">
        <v>-1.0983055587065801E-2</v>
      </c>
      <c r="BT34" s="8">
        <v>-5.3185096153846104E-3</v>
      </c>
      <c r="BU34" s="8">
        <v>-4.9834382867724398E-3</v>
      </c>
      <c r="BV34" s="6">
        <v>-5648.0699999999897</v>
      </c>
      <c r="BW34" s="15">
        <f t="shared" si="11"/>
        <v>21</v>
      </c>
      <c r="BX34" s="7">
        <v>6938.67</v>
      </c>
      <c r="BY34">
        <v>83</v>
      </c>
      <c r="BZ34" s="18">
        <v>2289551.7799999998</v>
      </c>
      <c r="CA34" s="18">
        <v>2243414.48</v>
      </c>
      <c r="CB34" s="19">
        <f t="shared" si="12"/>
        <v>46137.299999999814</v>
      </c>
      <c r="CC34" s="20">
        <f t="shared" si="13"/>
        <v>2.0565660251956568</v>
      </c>
      <c r="CD34" s="27">
        <v>2.2999999999999998</v>
      </c>
      <c r="CE34" s="16">
        <v>-8210.52</v>
      </c>
      <c r="CF34">
        <f t="shared" si="14"/>
        <v>4</v>
      </c>
      <c r="CG34" s="16">
        <f t="shared" si="15"/>
        <v>17</v>
      </c>
    </row>
    <row r="35" spans="1:85" x14ac:dyDescent="0.25">
      <c r="A35">
        <v>72</v>
      </c>
      <c r="B35">
        <v>1</v>
      </c>
      <c r="C35" t="s">
        <v>58</v>
      </c>
      <c r="D35" t="s">
        <v>232</v>
      </c>
      <c r="E35" t="s">
        <v>90</v>
      </c>
      <c r="F35" t="s">
        <v>130</v>
      </c>
      <c r="G35" t="s">
        <v>259</v>
      </c>
      <c r="H35" s="1">
        <v>5432</v>
      </c>
      <c r="I35" t="s">
        <v>169</v>
      </c>
      <c r="J35" t="s">
        <v>205</v>
      </c>
      <c r="K35" t="s">
        <v>212</v>
      </c>
      <c r="L35" t="s">
        <v>218</v>
      </c>
      <c r="M35" s="2">
        <v>46362</v>
      </c>
      <c r="N35" s="2">
        <v>43770</v>
      </c>
      <c r="O35" s="2">
        <v>45085</v>
      </c>
      <c r="P35" s="3">
        <v>96.45</v>
      </c>
      <c r="Q35" s="4">
        <v>45085</v>
      </c>
      <c r="R35" s="3">
        <v>99.32</v>
      </c>
      <c r="S35" s="5">
        <v>795132.31000000099</v>
      </c>
      <c r="T35" s="5">
        <v>878619.78</v>
      </c>
      <c r="U35" s="5">
        <v>-83487.47</v>
      </c>
      <c r="V35" s="6">
        <v>-9.5021159209503292</v>
      </c>
      <c r="W35">
        <f t="shared" si="0"/>
        <v>35</v>
      </c>
      <c r="X35" s="7">
        <v>38828</v>
      </c>
      <c r="Y35" s="7">
        <v>43688</v>
      </c>
      <c r="Z35" s="7">
        <v>-4860</v>
      </c>
      <c r="AA35" s="7">
        <v>-11.1243362021608</v>
      </c>
      <c r="AB35">
        <f t="shared" si="1"/>
        <v>34</v>
      </c>
      <c r="AC35" s="6">
        <v>28.7163902338519</v>
      </c>
      <c r="AD35" s="6">
        <v>28.831715802966499</v>
      </c>
      <c r="AE35" s="7">
        <v>-0.115325569114631</v>
      </c>
      <c r="AF35" s="8">
        <v>-3.9999551154969899E-3</v>
      </c>
      <c r="AG35" s="15">
        <f t="shared" si="18"/>
        <v>19</v>
      </c>
      <c r="AH35" s="6">
        <v>1.69121076233184</v>
      </c>
      <c r="AI35" s="6">
        <v>1.71689425214354</v>
      </c>
      <c r="AJ35" s="6">
        <v>-2.5683489811698899E-2</v>
      </c>
      <c r="AK35" s="9">
        <v>-1.4959272989371999</v>
      </c>
      <c r="AL35" s="15">
        <f t="shared" si="2"/>
        <v>10</v>
      </c>
      <c r="AM35" s="6">
        <v>42.166426791112102</v>
      </c>
      <c r="AN35" s="9">
        <v>40.627937667622298</v>
      </c>
      <c r="AO35" s="6">
        <v>1.5384891234898199</v>
      </c>
      <c r="AP35" s="6">
        <v>3.7867763214471202</v>
      </c>
      <c r="AQ35" s="15">
        <f t="shared" si="3"/>
        <v>31</v>
      </c>
      <c r="AR35" s="10">
        <v>1.6794054700000001</v>
      </c>
      <c r="AS35" s="10">
        <v>41.9840165661222</v>
      </c>
      <c r="AT35" s="10">
        <v>10.7749405299929</v>
      </c>
      <c r="AU35" s="10">
        <v>7.61796159523547</v>
      </c>
      <c r="AV35" s="10">
        <v>1.5336373032458099</v>
      </c>
      <c r="AW35" s="10">
        <v>3.3178555396344098</v>
      </c>
      <c r="AX35" s="10">
        <v>89871.01</v>
      </c>
      <c r="AY35" s="10">
        <v>88331.839999999997</v>
      </c>
      <c r="AZ35" s="10">
        <v>272064.96999999997</v>
      </c>
      <c r="BA35" s="10">
        <v>267672.63</v>
      </c>
      <c r="BB35" s="10">
        <v>39030.633993200303</v>
      </c>
      <c r="BC35" s="10">
        <v>5.9439372608805696</v>
      </c>
      <c r="BD35" s="11">
        <v>0.96031746031746001</v>
      </c>
      <c r="BE35" s="15">
        <f t="shared" si="4"/>
        <v>25</v>
      </c>
      <c r="BF35" s="11">
        <v>0.97766749379652595</v>
      </c>
      <c r="BG35" s="15">
        <f t="shared" si="5"/>
        <v>8</v>
      </c>
      <c r="BH35" s="12">
        <v>1.79364236877759</v>
      </c>
      <c r="BI35" s="15">
        <f t="shared" si="6"/>
        <v>29</v>
      </c>
      <c r="BJ35" s="9">
        <v>1.8857337812267301</v>
      </c>
      <c r="BK35" s="76">
        <f t="shared" si="7"/>
        <v>30</v>
      </c>
      <c r="BL35" s="13">
        <v>55.739910313901298</v>
      </c>
      <c r="BM35" s="15">
        <f t="shared" si="8"/>
        <v>29</v>
      </c>
      <c r="BN35" s="13">
        <v>55.112734201333801</v>
      </c>
      <c r="BO35" s="14">
        <v>0.75286666666666702</v>
      </c>
      <c r="BP35" s="15">
        <f t="shared" si="9"/>
        <v>34</v>
      </c>
      <c r="BQ35" s="8">
        <v>-2.6694667379357998E-3</v>
      </c>
      <c r="BR35" s="15">
        <f t="shared" si="10"/>
        <v>10</v>
      </c>
      <c r="BS35" s="8">
        <v>-3.9141969189914498E-3</v>
      </c>
      <c r="BT35" s="8">
        <v>-3.3579317132767499E-3</v>
      </c>
      <c r="BU35" s="8">
        <v>-2.6694667379357998E-3</v>
      </c>
      <c r="BV35" s="6">
        <v>-2670</v>
      </c>
      <c r="BW35" s="15">
        <f t="shared" si="11"/>
        <v>8</v>
      </c>
      <c r="BX35" s="7">
        <v>1597.39</v>
      </c>
      <c r="BY35">
        <v>84</v>
      </c>
      <c r="BZ35" s="18">
        <v>1756421.96</v>
      </c>
      <c r="CA35" s="18">
        <v>1933082.49</v>
      </c>
      <c r="CB35" s="19">
        <f t="shared" si="12"/>
        <v>-176660.53000000003</v>
      </c>
      <c r="CC35" s="20">
        <f t="shared" si="13"/>
        <v>-9.1387993483920091</v>
      </c>
      <c r="CD35" s="27">
        <v>2</v>
      </c>
      <c r="CE35" s="16">
        <v>-3614.77</v>
      </c>
      <c r="CF35">
        <f t="shared" si="14"/>
        <v>9</v>
      </c>
      <c r="CG35" s="16">
        <f t="shared" si="15"/>
        <v>28</v>
      </c>
    </row>
    <row r="36" spans="1:85" x14ac:dyDescent="0.25">
      <c r="A36">
        <v>78</v>
      </c>
      <c r="B36">
        <v>3</v>
      </c>
      <c r="C36" t="s">
        <v>60</v>
      </c>
      <c r="D36" t="s">
        <v>234</v>
      </c>
      <c r="E36" t="s">
        <v>92</v>
      </c>
      <c r="F36" t="s">
        <v>132</v>
      </c>
      <c r="G36" t="s">
        <v>263</v>
      </c>
      <c r="H36" s="1">
        <v>6543</v>
      </c>
      <c r="I36" t="s">
        <v>171</v>
      </c>
      <c r="J36" t="s">
        <v>207</v>
      </c>
      <c r="K36" t="s">
        <v>212</v>
      </c>
      <c r="L36" t="s">
        <v>218</v>
      </c>
      <c r="M36" s="2">
        <v>45451</v>
      </c>
      <c r="N36" s="2">
        <v>37614</v>
      </c>
      <c r="O36" s="2">
        <v>44978</v>
      </c>
      <c r="P36" s="3">
        <v>96.99</v>
      </c>
      <c r="Q36" s="4">
        <v>44978</v>
      </c>
      <c r="R36" s="3">
        <v>98.96</v>
      </c>
      <c r="S36" s="5">
        <v>772900.42</v>
      </c>
      <c r="T36" s="5">
        <v>795231.45</v>
      </c>
      <c r="U36" s="5">
        <v>-22331.03</v>
      </c>
      <c r="V36" s="6">
        <v>-2.8081170582475901</v>
      </c>
      <c r="W36">
        <f t="shared" si="0"/>
        <v>25</v>
      </c>
      <c r="X36" s="7">
        <v>36924</v>
      </c>
      <c r="Y36" s="7">
        <v>42380</v>
      </c>
      <c r="Z36" s="7">
        <v>-5456</v>
      </c>
      <c r="AA36" s="7">
        <v>-12.8739971684757</v>
      </c>
      <c r="AB36">
        <f t="shared" si="1"/>
        <v>36</v>
      </c>
      <c r="AC36" s="6">
        <v>30.652150362907602</v>
      </c>
      <c r="AD36" s="6">
        <v>28.692779613024999</v>
      </c>
      <c r="AE36" s="7">
        <v>1.9593707498825801</v>
      </c>
      <c r="AF36" s="8">
        <v>6.8287937812519697E-2</v>
      </c>
      <c r="AG36" s="15">
        <f t="shared" si="18"/>
        <v>3</v>
      </c>
      <c r="AH36" s="6">
        <v>1.5901219296695499</v>
      </c>
      <c r="AI36" s="6">
        <v>1.63166118421053</v>
      </c>
      <c r="AJ36" s="6">
        <v>-4.1539254540973403E-2</v>
      </c>
      <c r="AK36" s="9">
        <v>-2.5458259927334099</v>
      </c>
      <c r="AL36" s="15">
        <f t="shared" si="2"/>
        <v>17</v>
      </c>
      <c r="AM36" s="6">
        <v>42.946069900539001</v>
      </c>
      <c r="AN36" s="9">
        <v>40.080210170858301</v>
      </c>
      <c r="AO36" s="6">
        <v>2.86585972968067</v>
      </c>
      <c r="AP36" s="6">
        <v>7.1503111322614599</v>
      </c>
      <c r="AQ36" s="15">
        <f t="shared" si="3"/>
        <v>12</v>
      </c>
      <c r="AR36" s="10">
        <v>1.7099069899999999</v>
      </c>
      <c r="AS36" s="10">
        <v>44.337325937421902</v>
      </c>
      <c r="AT36" s="10">
        <v>13.7230414758902</v>
      </c>
      <c r="AU36" s="10">
        <v>7.0912160820559</v>
      </c>
      <c r="AV36" s="10">
        <v>1.5502625187142001</v>
      </c>
      <c r="AW36" s="10">
        <v>1.63584688092556</v>
      </c>
      <c r="AX36" s="10">
        <v>107689.39</v>
      </c>
      <c r="AY36" s="10">
        <v>97704.58</v>
      </c>
      <c r="AZ36" s="10">
        <v>326238.46000000002</v>
      </c>
      <c r="BA36" s="10">
        <v>300829.21000000002</v>
      </c>
      <c r="BB36" s="10">
        <v>50948.886880462298</v>
      </c>
      <c r="BC36" s="10">
        <v>8.1813760418836292</v>
      </c>
      <c r="BD36" s="11">
        <v>0.98214285714285698</v>
      </c>
      <c r="BE36" s="15">
        <f t="shared" si="4"/>
        <v>8</v>
      </c>
      <c r="BF36" s="11">
        <v>0.96980899568699896</v>
      </c>
      <c r="BG36" s="15">
        <f t="shared" si="5"/>
        <v>11</v>
      </c>
      <c r="BH36" s="12">
        <v>2.0960125755915602</v>
      </c>
      <c r="BI36" s="15">
        <f t="shared" si="6"/>
        <v>24</v>
      </c>
      <c r="BJ36" s="9">
        <v>2.7027452196464301</v>
      </c>
      <c r="BK36" s="76">
        <f t="shared" si="7"/>
        <v>13</v>
      </c>
      <c r="BL36" s="13">
        <v>81.383636684926699</v>
      </c>
      <c r="BM36" s="15">
        <f t="shared" si="8"/>
        <v>7</v>
      </c>
      <c r="BN36" s="13">
        <v>77.606907894736807</v>
      </c>
      <c r="BO36" s="14">
        <v>0.85870000000000002</v>
      </c>
      <c r="BP36" s="15">
        <f t="shared" si="9"/>
        <v>18</v>
      </c>
      <c r="BQ36" s="8">
        <v>-5.60176434440624E-3</v>
      </c>
      <c r="BR36" s="15">
        <f t="shared" si="10"/>
        <v>27</v>
      </c>
      <c r="BS36" s="8">
        <v>-1.6232813031789499E-3</v>
      </c>
      <c r="BT36" s="8">
        <v>-4.6325372678669204E-3</v>
      </c>
      <c r="BU36" s="8">
        <v>-5.60176434440624E-3</v>
      </c>
      <c r="BV36" s="6">
        <v>-3580.49</v>
      </c>
      <c r="BW36" s="15">
        <f t="shared" si="11"/>
        <v>11</v>
      </c>
      <c r="BX36" s="7">
        <v>4871.79</v>
      </c>
      <c r="BY36">
        <v>96</v>
      </c>
      <c r="BZ36" s="18">
        <v>1722398.41</v>
      </c>
      <c r="CA36" s="18">
        <v>1753766.59</v>
      </c>
      <c r="CB36" s="19">
        <f t="shared" si="12"/>
        <v>-31368.180000000168</v>
      </c>
      <c r="CC36" s="20">
        <f t="shared" si="13"/>
        <v>-1.7886177202178408</v>
      </c>
      <c r="CD36" s="27">
        <v>1.8</v>
      </c>
      <c r="CE36" s="16">
        <v>-2513.5</v>
      </c>
      <c r="CF36">
        <f t="shared" si="14"/>
        <v>7</v>
      </c>
      <c r="CG36" s="16">
        <f t="shared" si="15"/>
        <v>7</v>
      </c>
    </row>
    <row r="37" spans="1:85" x14ac:dyDescent="0.25">
      <c r="A37">
        <v>80</v>
      </c>
      <c r="B37">
        <v>1</v>
      </c>
      <c r="C37" t="s">
        <v>58</v>
      </c>
      <c r="D37" t="s">
        <v>232</v>
      </c>
      <c r="E37" t="s">
        <v>94</v>
      </c>
      <c r="F37" t="s">
        <v>134</v>
      </c>
      <c r="G37" t="s">
        <v>264</v>
      </c>
      <c r="H37" s="1">
        <v>7896</v>
      </c>
      <c r="I37" t="s">
        <v>173</v>
      </c>
      <c r="J37" t="s">
        <v>209</v>
      </c>
      <c r="K37" t="s">
        <v>212</v>
      </c>
      <c r="L37" t="s">
        <v>218</v>
      </c>
      <c r="M37" s="2">
        <v>46052</v>
      </c>
      <c r="N37" s="2">
        <v>39464</v>
      </c>
      <c r="O37" s="2">
        <v>45021</v>
      </c>
      <c r="P37" s="3">
        <v>83.82</v>
      </c>
      <c r="Q37" s="4">
        <v>45021</v>
      </c>
      <c r="R37" s="3">
        <v>95.12</v>
      </c>
      <c r="S37" s="5">
        <v>585621.9</v>
      </c>
      <c r="T37" s="5">
        <v>520095.69</v>
      </c>
      <c r="U37" s="5">
        <v>65526.21</v>
      </c>
      <c r="V37" s="6">
        <v>12.598875795336699</v>
      </c>
      <c r="W37">
        <f t="shared" si="0"/>
        <v>3</v>
      </c>
      <c r="X37" s="7">
        <v>32114</v>
      </c>
      <c r="Y37" s="7">
        <v>28978</v>
      </c>
      <c r="Z37" s="7">
        <v>3136</v>
      </c>
      <c r="AA37" s="7">
        <v>10.822002898750799</v>
      </c>
      <c r="AB37">
        <f t="shared" si="1"/>
        <v>2</v>
      </c>
      <c r="AC37" s="6">
        <v>26.075854767391199</v>
      </c>
      <c r="AD37" s="6">
        <v>27.462212713092701</v>
      </c>
      <c r="AE37" s="7">
        <v>-1.38635794570152</v>
      </c>
      <c r="AF37" s="8">
        <v>-5.0482383199973301E-2</v>
      </c>
      <c r="AG37" s="15">
        <f t="shared" si="18"/>
        <v>26</v>
      </c>
      <c r="AH37" s="6">
        <v>1.6702889897301201</v>
      </c>
      <c r="AI37" s="6">
        <v>1.70080422216637</v>
      </c>
      <c r="AJ37" s="6">
        <v>-3.0515232436256499E-2</v>
      </c>
      <c r="AK37" s="9">
        <v>-1.7941649037881799</v>
      </c>
      <c r="AL37" s="15">
        <f t="shared" si="2"/>
        <v>12</v>
      </c>
      <c r="AM37" s="6">
        <v>41.869014084507</v>
      </c>
      <c r="AN37" s="9">
        <v>38.4259837458441</v>
      </c>
      <c r="AO37" s="6">
        <v>3.44303033866291</v>
      </c>
      <c r="AP37" s="6">
        <v>8.96016185671572</v>
      </c>
      <c r="AQ37" s="15">
        <f t="shared" si="3"/>
        <v>2</v>
      </c>
      <c r="AR37" s="10">
        <v>1.4533206299999999</v>
      </c>
      <c r="AS37" s="10">
        <v>43.384961112518504</v>
      </c>
      <c r="AT37" s="10">
        <v>15.879929921725701</v>
      </c>
      <c r="AU37" s="10">
        <v>10.319646834561899</v>
      </c>
      <c r="AV37" s="10">
        <v>2.1982128173338</v>
      </c>
      <c r="AW37" s="10">
        <v>3.1577646836980899</v>
      </c>
      <c r="AX37" s="10">
        <v>27729.47</v>
      </c>
      <c r="AY37" s="10">
        <v>-2555.1000000000299</v>
      </c>
      <c r="AZ37" s="10">
        <v>166867.47</v>
      </c>
      <c r="BA37" s="10">
        <v>164195.53</v>
      </c>
      <c r="BB37" s="10">
        <v>-35455.406551573302</v>
      </c>
      <c r="BC37" s="10">
        <v>-8.0911206865694805</v>
      </c>
      <c r="BD37" s="11">
        <v>0.95555555555555605</v>
      </c>
      <c r="BE37" s="15">
        <f t="shared" si="4"/>
        <v>28</v>
      </c>
      <c r="BF37" s="11">
        <v>0.98693759071117604</v>
      </c>
      <c r="BG37" s="15">
        <f t="shared" si="5"/>
        <v>3</v>
      </c>
      <c r="BH37" s="12">
        <v>2.1472984531486898</v>
      </c>
      <c r="BI37" s="15">
        <f t="shared" si="6"/>
        <v>23</v>
      </c>
      <c r="BJ37" s="9">
        <v>2.3842804773098498</v>
      </c>
      <c r="BK37" s="76">
        <f t="shared" si="7"/>
        <v>20</v>
      </c>
      <c r="BL37" s="13">
        <v>87.616431812753802</v>
      </c>
      <c r="BM37" s="15">
        <f t="shared" si="8"/>
        <v>3</v>
      </c>
      <c r="BN37" s="13">
        <v>82.407640110580502</v>
      </c>
      <c r="BO37" s="14">
        <v>0.96553333333333302</v>
      </c>
      <c r="BP37" s="15">
        <f t="shared" si="9"/>
        <v>4</v>
      </c>
      <c r="BQ37" s="8">
        <v>-5.0049146547929101E-3</v>
      </c>
      <c r="BR37" s="15">
        <f t="shared" si="10"/>
        <v>22</v>
      </c>
      <c r="BS37" s="8">
        <v>-6.62909591284309E-3</v>
      </c>
      <c r="BT37" s="8">
        <v>-9.1066778752638793E-3</v>
      </c>
      <c r="BU37" s="8">
        <v>-5.0049146547929101E-3</v>
      </c>
      <c r="BV37" s="6">
        <v>-5333.07</v>
      </c>
      <c r="BW37" s="15">
        <f t="shared" si="11"/>
        <v>18</v>
      </c>
      <c r="BX37" s="7">
        <v>3094.98</v>
      </c>
      <c r="BY37">
        <v>103</v>
      </c>
      <c r="BZ37" s="18">
        <v>1129184.0900000001</v>
      </c>
      <c r="CA37" s="18">
        <v>1128857.07</v>
      </c>
      <c r="CB37" s="19">
        <f t="shared" si="12"/>
        <v>327.02000000001863</v>
      </c>
      <c r="CC37" s="20">
        <f t="shared" si="13"/>
        <v>2.8969123611018232E-2</v>
      </c>
      <c r="CD37" s="27">
        <v>1.3</v>
      </c>
      <c r="CE37" s="16">
        <v>-2492.5300000000002</v>
      </c>
      <c r="CF37">
        <f t="shared" si="14"/>
        <v>5</v>
      </c>
      <c r="CG37" s="16">
        <f t="shared" si="15"/>
        <v>4</v>
      </c>
    </row>
    <row r="38" spans="1:85" x14ac:dyDescent="0.25">
      <c r="A38">
        <v>86</v>
      </c>
      <c r="B38">
        <v>3</v>
      </c>
      <c r="C38" t="s">
        <v>60</v>
      </c>
      <c r="D38" t="s">
        <v>234</v>
      </c>
      <c r="E38" t="s">
        <v>96</v>
      </c>
      <c r="F38" t="s">
        <v>136</v>
      </c>
      <c r="G38" t="s">
        <v>265</v>
      </c>
      <c r="H38" s="1">
        <v>8562</v>
      </c>
      <c r="I38" t="s">
        <v>175</v>
      </c>
      <c r="J38" t="s">
        <v>203</v>
      </c>
      <c r="K38" t="s">
        <v>212</v>
      </c>
      <c r="L38" t="s">
        <v>218</v>
      </c>
      <c r="M38" s="2">
        <v>45557</v>
      </c>
      <c r="N38" s="2">
        <v>40948</v>
      </c>
      <c r="O38" s="2">
        <v>44896</v>
      </c>
      <c r="P38" s="3">
        <v>54.02</v>
      </c>
      <c r="Q38" s="4">
        <v>44896</v>
      </c>
      <c r="R38" s="3">
        <v>84.54</v>
      </c>
      <c r="S38" s="5">
        <v>812403.22</v>
      </c>
      <c r="T38" s="5">
        <v>795240.95</v>
      </c>
      <c r="U38" s="5">
        <v>17162.27</v>
      </c>
      <c r="V38" s="6">
        <v>2.1581220132086698</v>
      </c>
      <c r="W38">
        <f t="shared" si="0"/>
        <v>14</v>
      </c>
      <c r="X38" s="7">
        <v>41991</v>
      </c>
      <c r="Y38" s="7">
        <v>43964</v>
      </c>
      <c r="Z38" s="7">
        <v>-1973</v>
      </c>
      <c r="AA38" s="7">
        <v>-4.4877627149485901</v>
      </c>
      <c r="AB38">
        <f t="shared" si="1"/>
        <v>20</v>
      </c>
      <c r="AC38" s="6">
        <v>31.109047176775999</v>
      </c>
      <c r="AD38" s="6">
        <v>29.960877081248299</v>
      </c>
      <c r="AE38" s="7">
        <v>1.1481700955276799</v>
      </c>
      <c r="AF38" s="8">
        <v>3.8322312541587501E-2</v>
      </c>
      <c r="AG38" s="15">
        <f t="shared" si="18"/>
        <v>5</v>
      </c>
      <c r="AH38" s="6">
        <v>1.66194595422185</v>
      </c>
      <c r="AI38" s="6">
        <v>1.65031885818403</v>
      </c>
      <c r="AJ38" s="6">
        <v>1.16270960378213E-2</v>
      </c>
      <c r="AK38" s="9">
        <v>0.70453633733637999</v>
      </c>
      <c r="AL38" s="15">
        <f t="shared" si="2"/>
        <v>4</v>
      </c>
      <c r="AM38" s="6">
        <v>37.420691847075098</v>
      </c>
      <c r="AN38" s="9">
        <v>36.582986015272802</v>
      </c>
      <c r="AO38" s="6">
        <v>0.83770583180228197</v>
      </c>
      <c r="AP38" s="6">
        <v>2.2898782276891101</v>
      </c>
      <c r="AQ38" s="15">
        <f t="shared" si="3"/>
        <v>35</v>
      </c>
      <c r="AR38" s="10">
        <v>1.7064725700000001</v>
      </c>
      <c r="AS38" s="10">
        <v>41.7295141095559</v>
      </c>
      <c r="AT38" s="10">
        <v>10.9450789567597</v>
      </c>
      <c r="AU38" s="10">
        <v>5.2746342299612099</v>
      </c>
      <c r="AV38" s="10">
        <v>1.5428904279209501</v>
      </c>
      <c r="AW38" s="10">
        <v>2.7342073693573998</v>
      </c>
      <c r="AX38" s="10">
        <v>105951.07</v>
      </c>
      <c r="AY38" s="10">
        <v>104604.66</v>
      </c>
      <c r="AZ38" s="10">
        <v>306747.65999999997</v>
      </c>
      <c r="BA38" s="10">
        <v>304979.63</v>
      </c>
      <c r="BB38" s="10">
        <v>54402.330150971298</v>
      </c>
      <c r="BC38" s="10">
        <v>8.1361656651841603</v>
      </c>
      <c r="BD38" s="11">
        <v>0.89893617021276595</v>
      </c>
      <c r="BE38" s="15">
        <f t="shared" si="4"/>
        <v>39</v>
      </c>
      <c r="BF38" s="11">
        <v>0.83420776495278104</v>
      </c>
      <c r="BG38" s="15">
        <f t="shared" si="5"/>
        <v>38</v>
      </c>
      <c r="BH38" s="12">
        <v>2.5112603566490002</v>
      </c>
      <c r="BI38" s="15">
        <f t="shared" si="6"/>
        <v>12</v>
      </c>
      <c r="BJ38" s="9">
        <v>2.4133918153988398</v>
      </c>
      <c r="BK38" s="76">
        <f t="shared" si="7"/>
        <v>18</v>
      </c>
      <c r="BL38" s="13">
        <v>40.297022123555102</v>
      </c>
      <c r="BM38" s="15">
        <f t="shared" si="8"/>
        <v>39</v>
      </c>
      <c r="BN38" s="13">
        <v>38.718493774673597</v>
      </c>
      <c r="BO38" s="14">
        <v>0.764133333333333</v>
      </c>
      <c r="BP38" s="15">
        <f t="shared" si="9"/>
        <v>32</v>
      </c>
      <c r="BQ38" s="8">
        <v>-9.4665673630773498E-3</v>
      </c>
      <c r="BR38" s="15">
        <f t="shared" si="10"/>
        <v>37</v>
      </c>
      <c r="BS38" s="8">
        <v>-1.6333605377859099E-2</v>
      </c>
      <c r="BT38" s="8">
        <v>-5.0636554591696496E-3</v>
      </c>
      <c r="BU38" s="8">
        <v>-9.4665673630773498E-3</v>
      </c>
      <c r="BV38" s="6">
        <v>-4113.7299999999996</v>
      </c>
      <c r="BW38" s="15">
        <f t="shared" si="11"/>
        <v>13</v>
      </c>
      <c r="BX38" s="7">
        <v>403.21</v>
      </c>
      <c r="BY38">
        <v>109</v>
      </c>
      <c r="BZ38" s="18">
        <v>1694453.69</v>
      </c>
      <c r="CA38" s="18">
        <v>1714789.91</v>
      </c>
      <c r="CB38" s="19">
        <f t="shared" si="12"/>
        <v>-20336.219999999972</v>
      </c>
      <c r="CC38" s="20">
        <f t="shared" si="13"/>
        <v>-1.1859307009801554</v>
      </c>
      <c r="CD38" s="27">
        <v>1.7</v>
      </c>
      <c r="CE38" s="16">
        <v>-5393.4</v>
      </c>
      <c r="CF38">
        <f t="shared" si="14"/>
        <v>5</v>
      </c>
      <c r="CG38" s="16">
        <f t="shared" si="15"/>
        <v>37</v>
      </c>
    </row>
    <row r="39" spans="1:85" x14ac:dyDescent="0.25">
      <c r="A39">
        <v>89</v>
      </c>
      <c r="B39">
        <v>4</v>
      </c>
      <c r="C39" t="s">
        <v>61</v>
      </c>
      <c r="D39" t="s">
        <v>235</v>
      </c>
      <c r="E39" t="s">
        <v>97</v>
      </c>
      <c r="F39" t="s">
        <v>137</v>
      </c>
      <c r="G39" t="s">
        <v>266</v>
      </c>
      <c r="H39" s="1">
        <v>6987</v>
      </c>
      <c r="I39" t="s">
        <v>176</v>
      </c>
      <c r="J39" t="s">
        <v>199</v>
      </c>
      <c r="K39" t="s">
        <v>212</v>
      </c>
      <c r="L39" t="s">
        <v>218</v>
      </c>
      <c r="M39" s="2">
        <v>45994</v>
      </c>
      <c r="N39" s="2">
        <v>41538</v>
      </c>
      <c r="O39" s="2">
        <v>45035</v>
      </c>
      <c r="P39" s="3">
        <v>94.22</v>
      </c>
      <c r="Q39" s="4">
        <v>45035</v>
      </c>
      <c r="R39" s="3">
        <v>99.87</v>
      </c>
      <c r="S39" s="5">
        <v>1327427.78</v>
      </c>
      <c r="T39" s="5">
        <v>1572217.53</v>
      </c>
      <c r="U39" s="5">
        <v>-244789.75</v>
      </c>
      <c r="V39" s="6">
        <v>-15.569712544802799</v>
      </c>
      <c r="W39">
        <f t="shared" si="0"/>
        <v>39</v>
      </c>
      <c r="X39" s="7">
        <v>51550</v>
      </c>
      <c r="Y39" s="7">
        <v>61304</v>
      </c>
      <c r="Z39" s="7">
        <v>-9754</v>
      </c>
      <c r="AA39" s="7">
        <v>-15.910870416286</v>
      </c>
      <c r="AB39">
        <f t="shared" si="1"/>
        <v>38</v>
      </c>
      <c r="AC39" s="6">
        <v>35.032007759456803</v>
      </c>
      <c r="AD39" s="6">
        <v>34.508351820435898</v>
      </c>
      <c r="AE39" s="7">
        <v>0.52365593902097596</v>
      </c>
      <c r="AF39" s="8">
        <v>1.5174759482742601E-2</v>
      </c>
      <c r="AG39" s="15">
        <f t="shared" si="18"/>
        <v>13</v>
      </c>
      <c r="AH39" s="6">
        <v>1.6444432139099601</v>
      </c>
      <c r="AI39" s="6">
        <v>1.7282911841172299</v>
      </c>
      <c r="AJ39" s="6">
        <v>-8.3847970207268099E-2</v>
      </c>
      <c r="AK39" s="9">
        <v>-4.8514955684447099</v>
      </c>
      <c r="AL39" s="15">
        <f t="shared" si="2"/>
        <v>33</v>
      </c>
      <c r="AM39" s="6">
        <v>44.699053103007003</v>
      </c>
      <c r="AN39" s="9">
        <v>43.001409386794997</v>
      </c>
      <c r="AO39" s="6">
        <v>1.6976437162120299</v>
      </c>
      <c r="AP39" s="6">
        <v>3.9478792449378299</v>
      </c>
      <c r="AQ39" s="15">
        <f t="shared" si="3"/>
        <v>30</v>
      </c>
      <c r="AR39" s="10">
        <v>3.1308196100000001</v>
      </c>
      <c r="AS39" s="10">
        <v>44.295912179418401</v>
      </c>
      <c r="AT39" s="10">
        <v>10.226459277008299</v>
      </c>
      <c r="AU39" s="10">
        <v>7.5727171340000696</v>
      </c>
      <c r="AV39" s="10">
        <v>1.5346899733927399</v>
      </c>
      <c r="AW39" s="10">
        <v>3.44545411893679</v>
      </c>
      <c r="AX39" s="10">
        <v>189064.48</v>
      </c>
      <c r="AY39" s="10">
        <v>170919.12</v>
      </c>
      <c r="AZ39" s="10">
        <v>808527.47</v>
      </c>
      <c r="BA39" s="10">
        <v>766896.02</v>
      </c>
      <c r="BB39" s="10">
        <v>91625.176434612702</v>
      </c>
      <c r="BC39" s="10">
        <v>8.6756287768431104</v>
      </c>
      <c r="BD39" s="11">
        <v>0.97460317460317503</v>
      </c>
      <c r="BE39" s="15">
        <f t="shared" si="4"/>
        <v>14</v>
      </c>
      <c r="BF39" s="11">
        <v>0.94376391982182595</v>
      </c>
      <c r="BG39" s="15">
        <f t="shared" si="5"/>
        <v>22</v>
      </c>
      <c r="BH39" s="12">
        <v>1.5221280060900899</v>
      </c>
      <c r="BI39" s="15">
        <f t="shared" si="6"/>
        <v>33</v>
      </c>
      <c r="BJ39" s="9">
        <v>1.2510488927063399</v>
      </c>
      <c r="BK39" s="76">
        <f t="shared" si="7"/>
        <v>37</v>
      </c>
      <c r="BL39" s="13">
        <v>59.7153773741625</v>
      </c>
      <c r="BM39" s="15">
        <f t="shared" si="8"/>
        <v>24</v>
      </c>
      <c r="BN39" s="13">
        <v>53.264003781611898</v>
      </c>
      <c r="BO39" s="14">
        <v>0.88890000000000002</v>
      </c>
      <c r="BP39" s="15">
        <f t="shared" si="9"/>
        <v>14</v>
      </c>
      <c r="BQ39" s="8">
        <v>-5.4696776368753103E-3</v>
      </c>
      <c r="BR39" s="15">
        <f t="shared" si="10"/>
        <v>26</v>
      </c>
      <c r="BS39" s="8">
        <v>-8.4119503090263493E-3</v>
      </c>
      <c r="BT39" s="8">
        <v>-9.7786336820523505E-3</v>
      </c>
      <c r="BU39" s="8">
        <v>-5.4696776368753103E-3</v>
      </c>
      <c r="BV39" s="6">
        <v>-12980.43</v>
      </c>
      <c r="BW39" s="15">
        <f t="shared" si="11"/>
        <v>38</v>
      </c>
      <c r="BX39" s="7">
        <v>953.43</v>
      </c>
      <c r="BY39">
        <v>115</v>
      </c>
      <c r="BZ39" s="18">
        <v>3335777.94</v>
      </c>
      <c r="CA39" s="18">
        <v>3186245.94</v>
      </c>
      <c r="CB39" s="19">
        <f t="shared" si="12"/>
        <v>149532</v>
      </c>
      <c r="CC39" s="20">
        <f t="shared" si="13"/>
        <v>4.6930463880010462</v>
      </c>
      <c r="CD39" s="27">
        <v>2.4</v>
      </c>
      <c r="CE39" s="16">
        <v>-7627.66</v>
      </c>
      <c r="CF39">
        <f t="shared" si="14"/>
        <v>2</v>
      </c>
      <c r="CG39" s="16">
        <f t="shared" si="15"/>
        <v>29</v>
      </c>
    </row>
    <row r="40" spans="1:85" x14ac:dyDescent="0.25">
      <c r="A40">
        <v>90</v>
      </c>
      <c r="B40">
        <v>1</v>
      </c>
      <c r="C40" t="s">
        <v>58</v>
      </c>
      <c r="D40" t="s">
        <v>232</v>
      </c>
      <c r="E40" t="s">
        <v>98</v>
      </c>
      <c r="F40" t="s">
        <v>138</v>
      </c>
      <c r="G40" t="s">
        <v>267</v>
      </c>
      <c r="H40" s="1">
        <v>9451</v>
      </c>
      <c r="I40" t="s">
        <v>177</v>
      </c>
      <c r="J40" t="s">
        <v>183</v>
      </c>
      <c r="K40" t="s">
        <v>212</v>
      </c>
      <c r="L40" t="s">
        <v>218</v>
      </c>
      <c r="M40" s="2">
        <v>46067</v>
      </c>
      <c r="N40" s="2">
        <v>42432</v>
      </c>
      <c r="O40" s="2">
        <v>44967</v>
      </c>
      <c r="P40" s="3">
        <v>82.95</v>
      </c>
      <c r="Q40" s="4">
        <v>44967</v>
      </c>
      <c r="R40" s="3">
        <v>96.45</v>
      </c>
      <c r="S40" s="5">
        <v>1554759.28</v>
      </c>
      <c r="T40" s="5">
        <v>1617009.79</v>
      </c>
      <c r="U40" s="5">
        <v>-62250.51</v>
      </c>
      <c r="V40" s="6">
        <v>-3.8497299388644901</v>
      </c>
      <c r="W40">
        <f t="shared" si="0"/>
        <v>26</v>
      </c>
      <c r="X40" s="7">
        <v>61844</v>
      </c>
      <c r="Y40" s="7">
        <v>64778</v>
      </c>
      <c r="Z40" s="7">
        <v>-2934</v>
      </c>
      <c r="AA40" s="7">
        <v>-4.5293155083516004</v>
      </c>
      <c r="AB40">
        <f t="shared" si="1"/>
        <v>21</v>
      </c>
      <c r="AC40" s="6">
        <v>34.263631071728902</v>
      </c>
      <c r="AD40" s="6">
        <v>34.910000308746802</v>
      </c>
      <c r="AE40" s="7">
        <v>-0.64636923701792903</v>
      </c>
      <c r="AF40" s="8">
        <v>-1.8515303102302701E-2</v>
      </c>
      <c r="AG40" s="15">
        <f t="shared" si="18"/>
        <v>23</v>
      </c>
      <c r="AH40" s="6">
        <v>1.647711184521</v>
      </c>
      <c r="AI40" s="6">
        <v>1.72123463341293</v>
      </c>
      <c r="AJ40" s="6">
        <v>-7.3523448891929605E-2</v>
      </c>
      <c r="AK40" s="9">
        <v>-4.2715529576664704</v>
      </c>
      <c r="AL40" s="15">
        <f t="shared" si="2"/>
        <v>30</v>
      </c>
      <c r="AM40" s="6">
        <v>44.529837605613601</v>
      </c>
      <c r="AN40" s="9">
        <v>41.542744579179903</v>
      </c>
      <c r="AO40" s="6">
        <v>2.9870930264336999</v>
      </c>
      <c r="AP40" s="6">
        <v>7.1904084737115497</v>
      </c>
      <c r="AQ40" s="15">
        <f t="shared" si="3"/>
        <v>11</v>
      </c>
      <c r="AR40" s="10">
        <v>3.3989718600000001</v>
      </c>
      <c r="AS40" s="10">
        <v>44.405249396085303</v>
      </c>
      <c r="AT40" s="10">
        <v>9.36008409262827</v>
      </c>
      <c r="AU40" s="10">
        <v>7.0892308846939898</v>
      </c>
      <c r="AV40" s="10">
        <v>1.5554170553887801</v>
      </c>
      <c r="AW40" s="10">
        <v>1.5549721234018601</v>
      </c>
      <c r="AX40" s="10">
        <v>266105.82</v>
      </c>
      <c r="AY40" s="10">
        <v>253896.62</v>
      </c>
      <c r="AZ40" s="10">
        <v>845466.39</v>
      </c>
      <c r="BA40" s="10">
        <v>813129.8</v>
      </c>
      <c r="BB40" s="10">
        <v>160580.288695834</v>
      </c>
      <c r="BC40" s="10">
        <v>12.9199469998171</v>
      </c>
      <c r="BD40" s="11">
        <v>0.97920604914933795</v>
      </c>
      <c r="BE40" s="15">
        <f t="shared" si="4"/>
        <v>10</v>
      </c>
      <c r="BF40" s="11">
        <v>0.95849262697979198</v>
      </c>
      <c r="BG40" s="15">
        <f t="shared" si="5"/>
        <v>17</v>
      </c>
      <c r="BH40" s="12">
        <v>3.1017753436403401</v>
      </c>
      <c r="BI40" s="15">
        <f t="shared" si="6"/>
        <v>5</v>
      </c>
      <c r="BJ40" s="9">
        <v>3.6662295037805599</v>
      </c>
      <c r="BK40" s="76">
        <f t="shared" si="7"/>
        <v>2</v>
      </c>
      <c r="BL40" s="13">
        <v>76.224634261444095</v>
      </c>
      <c r="BM40" s="15">
        <f t="shared" si="8"/>
        <v>11</v>
      </c>
      <c r="BN40" s="13">
        <v>73.308569912443602</v>
      </c>
      <c r="BO40" s="14">
        <v>0.84760000000000002</v>
      </c>
      <c r="BP40" s="15">
        <f t="shared" si="9"/>
        <v>22</v>
      </c>
      <c r="BQ40" s="8">
        <v>-5.9595005875066002E-3</v>
      </c>
      <c r="BR40" s="15">
        <f t="shared" si="10"/>
        <v>29</v>
      </c>
      <c r="BS40" s="8">
        <v>-8.31191025589419E-3</v>
      </c>
      <c r="BT40" s="8">
        <v>-6.5147448420439704E-3</v>
      </c>
      <c r="BU40" s="8">
        <v>-5.9595005875066002E-3</v>
      </c>
      <c r="BV40" s="6">
        <v>-10128.86</v>
      </c>
      <c r="BW40" s="15">
        <f t="shared" si="11"/>
        <v>34</v>
      </c>
      <c r="BX40" s="7">
        <v>4068.52</v>
      </c>
      <c r="BY40">
        <v>116</v>
      </c>
      <c r="BZ40" s="18">
        <v>3456403.72</v>
      </c>
      <c r="CA40" s="18">
        <v>3395152.67</v>
      </c>
      <c r="CB40" s="19">
        <f t="shared" si="12"/>
        <v>61251.050000000279</v>
      </c>
      <c r="CC40" s="20">
        <f t="shared" si="13"/>
        <v>1.8040735116633293</v>
      </c>
      <c r="CD40" s="27">
        <v>2.2000000000000002</v>
      </c>
      <c r="CE40" s="16">
        <v>-6780.73</v>
      </c>
      <c r="CF40">
        <f t="shared" si="14"/>
        <v>3</v>
      </c>
      <c r="CG40" s="16">
        <f t="shared" si="15"/>
        <v>9</v>
      </c>
    </row>
    <row r="41" spans="1:85" x14ac:dyDescent="0.25">
      <c r="A41">
        <v>92</v>
      </c>
      <c r="B41">
        <v>2</v>
      </c>
      <c r="C41" t="s">
        <v>59</v>
      </c>
      <c r="D41" t="s">
        <v>233</v>
      </c>
      <c r="E41" t="s">
        <v>99</v>
      </c>
      <c r="F41" t="s">
        <v>139</v>
      </c>
      <c r="G41" t="s">
        <v>268</v>
      </c>
      <c r="H41" s="1">
        <v>7923</v>
      </c>
      <c r="I41" t="s">
        <v>178</v>
      </c>
      <c r="J41" t="s">
        <v>182</v>
      </c>
      <c r="K41" t="s">
        <v>214</v>
      </c>
      <c r="L41" t="s">
        <v>218</v>
      </c>
      <c r="M41" s="2">
        <v>46563</v>
      </c>
      <c r="N41" s="2">
        <v>45207</v>
      </c>
      <c r="O41" s="2">
        <v>45055</v>
      </c>
      <c r="P41" s="3">
        <v>56.96</v>
      </c>
      <c r="Q41" s="4">
        <v>45055</v>
      </c>
      <c r="R41" s="3">
        <v>95.29</v>
      </c>
      <c r="S41" s="5">
        <v>537901.18999999994</v>
      </c>
      <c r="T41" s="5">
        <v>615885.43999999994</v>
      </c>
      <c r="U41" s="5">
        <v>-77984.25</v>
      </c>
      <c r="V41" s="6">
        <v>-12.6621356725043</v>
      </c>
      <c r="W41">
        <f t="shared" si="0"/>
        <v>38</v>
      </c>
      <c r="X41" s="7">
        <v>28805</v>
      </c>
      <c r="Y41" s="7">
        <v>32664</v>
      </c>
      <c r="Z41" s="7">
        <v>-3859</v>
      </c>
      <c r="AA41" s="7">
        <v>-11.814229733039401</v>
      </c>
      <c r="AB41">
        <f t="shared" si="1"/>
        <v>35</v>
      </c>
      <c r="AC41" s="6">
        <v>27.8389168547127</v>
      </c>
      <c r="AD41" s="6">
        <v>27.9451383786432</v>
      </c>
      <c r="AE41" s="7">
        <v>-0.106221523930429</v>
      </c>
      <c r="AF41" s="8">
        <v>-3.80107346369801E-3</v>
      </c>
      <c r="AG41" s="15">
        <f t="shared" si="18"/>
        <v>18</v>
      </c>
      <c r="AH41" s="6">
        <v>1.62177328843996</v>
      </c>
      <c r="AI41" s="6">
        <v>1.65545574057844</v>
      </c>
      <c r="AJ41" s="6">
        <v>-3.3682452138484899E-2</v>
      </c>
      <c r="AK41" s="9">
        <v>-2.03463320177414</v>
      </c>
      <c r="AL41" s="15">
        <f t="shared" si="2"/>
        <v>14</v>
      </c>
      <c r="AM41" s="6">
        <v>41.361106497500998</v>
      </c>
      <c r="AN41" s="9">
        <v>40.757424392826401</v>
      </c>
      <c r="AO41" s="6">
        <v>0.60368210467451899</v>
      </c>
      <c r="AP41" s="6">
        <v>1.4811586199759199</v>
      </c>
      <c r="AQ41" s="15">
        <f t="shared" si="3"/>
        <v>37</v>
      </c>
      <c r="AR41" s="10">
        <v>1.1980569700000001</v>
      </c>
      <c r="AS41" s="10">
        <v>41.453874637813101</v>
      </c>
      <c r="AT41" s="10">
        <v>16.539829538293201</v>
      </c>
      <c r="AU41" s="10">
        <v>4.51470611469927</v>
      </c>
      <c r="AV41" s="10">
        <v>1.5380399125156301</v>
      </c>
      <c r="AW41" s="10">
        <v>4.0802303550705403</v>
      </c>
      <c r="AX41" s="10">
        <v>36223.94</v>
      </c>
      <c r="AY41" s="10">
        <v>33964.14</v>
      </c>
      <c r="AZ41" s="10">
        <v>200241.09</v>
      </c>
      <c r="BA41" s="10">
        <v>196179.93</v>
      </c>
      <c r="BB41" s="10">
        <v>2362.9768728978902</v>
      </c>
      <c r="BC41" s="10">
        <v>0.56141311961361995</v>
      </c>
      <c r="BD41" s="11">
        <v>0.93203883495145601</v>
      </c>
      <c r="BE41" s="15">
        <f t="shared" si="4"/>
        <v>35</v>
      </c>
      <c r="BF41" s="11">
        <v>0.86060279870828904</v>
      </c>
      <c r="BG41" s="15">
        <f t="shared" si="5"/>
        <v>36</v>
      </c>
      <c r="BH41" s="12">
        <v>1.5728279017192699</v>
      </c>
      <c r="BI41" s="15">
        <f t="shared" si="6"/>
        <v>32</v>
      </c>
      <c r="BJ41" s="9">
        <v>1.0488021928233899</v>
      </c>
      <c r="BK41" s="76">
        <f t="shared" si="7"/>
        <v>40</v>
      </c>
      <c r="BL41" s="13">
        <v>49.195660306771401</v>
      </c>
      <c r="BM41" s="15">
        <f t="shared" si="8"/>
        <v>36</v>
      </c>
      <c r="BN41" s="13">
        <v>35.122699386503101</v>
      </c>
      <c r="BO41" s="14">
        <v>0.75023333333333297</v>
      </c>
      <c r="BP41" s="15">
        <f t="shared" si="9"/>
        <v>35</v>
      </c>
      <c r="BQ41" s="8">
        <v>-2.35996230318825E-2</v>
      </c>
      <c r="BR41" s="15">
        <f t="shared" si="10"/>
        <v>40</v>
      </c>
      <c r="BS41" s="8">
        <v>-4.3650436666109703E-2</v>
      </c>
      <c r="BT41" s="8">
        <v>-2.7889137036488001E-2</v>
      </c>
      <c r="BU41" s="8">
        <v>-2.35996230318825E-2</v>
      </c>
      <c r="BV41" s="6">
        <v>-15001.6</v>
      </c>
      <c r="BW41" s="15">
        <f t="shared" si="11"/>
        <v>40</v>
      </c>
      <c r="BX41" s="7">
        <v>112.77</v>
      </c>
      <c r="BY41">
        <v>117</v>
      </c>
      <c r="BZ41" s="18">
        <v>1273402.1200000001</v>
      </c>
      <c r="CA41" s="18">
        <v>1363146.28</v>
      </c>
      <c r="CB41" s="19">
        <f t="shared" si="12"/>
        <v>-89744.159999999916</v>
      </c>
      <c r="CC41" s="20">
        <f t="shared" si="13"/>
        <v>-6.583604512349174</v>
      </c>
      <c r="CD41" s="27">
        <v>1.6</v>
      </c>
      <c r="CE41" s="16">
        <v>-2719.43</v>
      </c>
      <c r="CF41">
        <f t="shared" si="14"/>
        <v>3</v>
      </c>
      <c r="CG41" s="16">
        <f t="shared" si="15"/>
        <v>38</v>
      </c>
    </row>
    <row r="42" spans="1:85" x14ac:dyDescent="0.25">
      <c r="A42">
        <v>94</v>
      </c>
      <c r="B42">
        <v>3</v>
      </c>
      <c r="C42" t="s">
        <v>60</v>
      </c>
      <c r="D42" t="s">
        <v>234</v>
      </c>
      <c r="E42" t="s">
        <v>100</v>
      </c>
      <c r="F42" t="s">
        <v>140</v>
      </c>
      <c r="G42" t="s">
        <v>269</v>
      </c>
      <c r="H42" s="1">
        <v>5547</v>
      </c>
      <c r="I42" t="s">
        <v>179</v>
      </c>
      <c r="J42" t="s">
        <v>197</v>
      </c>
      <c r="K42" t="s">
        <v>214</v>
      </c>
      <c r="L42" t="s">
        <v>218</v>
      </c>
      <c r="M42" s="2">
        <v>45572</v>
      </c>
      <c r="N42" s="2">
        <v>45199</v>
      </c>
      <c r="O42" s="2">
        <v>44964</v>
      </c>
      <c r="P42" s="3">
        <v>93.02</v>
      </c>
      <c r="Q42" s="4">
        <v>44964</v>
      </c>
      <c r="R42" s="3">
        <v>99.42</v>
      </c>
      <c r="S42" s="5">
        <v>891840.47</v>
      </c>
      <c r="T42" s="5">
        <v>838402.28</v>
      </c>
      <c r="U42" s="5">
        <v>53438.19</v>
      </c>
      <c r="V42" s="6">
        <v>6.3738125807577504</v>
      </c>
      <c r="W42">
        <f t="shared" si="0"/>
        <v>6</v>
      </c>
      <c r="X42" s="7">
        <v>36846</v>
      </c>
      <c r="Y42" s="7">
        <v>37936</v>
      </c>
      <c r="Z42" s="7">
        <v>-1090</v>
      </c>
      <c r="AA42" s="7">
        <v>-2.8732602277520001</v>
      </c>
      <c r="AB42">
        <f t="shared" si="1"/>
        <v>15</v>
      </c>
      <c r="AC42" s="6">
        <v>32.801389567388597</v>
      </c>
      <c r="AD42" s="6">
        <v>32.267503163222301</v>
      </c>
      <c r="AE42" s="7">
        <v>0.53388640416632405</v>
      </c>
      <c r="AF42" s="8">
        <v>1.6545637307780098E-2</v>
      </c>
      <c r="AG42" s="15">
        <f t="shared" si="18"/>
        <v>11</v>
      </c>
      <c r="AH42" s="6">
        <v>1.6695349991726001</v>
      </c>
      <c r="AI42" s="6">
        <v>1.67037006780492</v>
      </c>
      <c r="AJ42" s="6">
        <v>-8.3506863232152295E-4</v>
      </c>
      <c r="AK42" s="9">
        <v>-4.9993031389679497E-2</v>
      </c>
      <c r="AL42" s="15">
        <f t="shared" si="2"/>
        <v>6</v>
      </c>
      <c r="AM42" s="6">
        <v>44.1986554663495</v>
      </c>
      <c r="AN42" s="9">
        <v>41.003681713698803</v>
      </c>
      <c r="AO42" s="6">
        <v>3.1949737526506499</v>
      </c>
      <c r="AP42" s="6">
        <v>7.7919192109601303</v>
      </c>
      <c r="AQ42" s="15">
        <f t="shared" si="3"/>
        <v>7</v>
      </c>
      <c r="AR42" s="10">
        <v>1.9114647600000001</v>
      </c>
      <c r="AS42" s="10">
        <v>43.2000568821882</v>
      </c>
      <c r="AT42" s="10">
        <v>11.5698409934182</v>
      </c>
      <c r="AU42" s="10">
        <v>8.5474119002403608</v>
      </c>
      <c r="AV42" s="10">
        <v>1.55782866743572</v>
      </c>
      <c r="AW42" s="10">
        <v>2.2483366450131799</v>
      </c>
      <c r="AX42" s="10">
        <v>115928.39</v>
      </c>
      <c r="AY42" s="10">
        <v>99300.53</v>
      </c>
      <c r="AZ42" s="10">
        <v>339610.64</v>
      </c>
      <c r="BA42" s="10">
        <v>304365.28000000003</v>
      </c>
      <c r="BB42" s="10">
        <v>45542.549790236299</v>
      </c>
      <c r="BC42" s="10">
        <v>6.3606361445156097</v>
      </c>
      <c r="BD42" s="11">
        <v>0.97142857142857097</v>
      </c>
      <c r="BE42" s="15">
        <f t="shared" si="4"/>
        <v>18</v>
      </c>
      <c r="BF42" s="11">
        <v>0.967741935483871</v>
      </c>
      <c r="BG42" s="15">
        <f t="shared" si="5"/>
        <v>14</v>
      </c>
      <c r="BH42" s="12">
        <v>2.2590912475635898</v>
      </c>
      <c r="BI42" s="15">
        <f t="shared" si="6"/>
        <v>20</v>
      </c>
      <c r="BJ42" s="9">
        <v>3.45649346278018</v>
      </c>
      <c r="BK42" s="76">
        <f t="shared" si="7"/>
        <v>4</v>
      </c>
      <c r="BL42" s="13">
        <v>91.262617905014096</v>
      </c>
      <c r="BM42" s="15">
        <f t="shared" si="8"/>
        <v>2</v>
      </c>
      <c r="BN42" s="13">
        <v>84.641777632546393</v>
      </c>
      <c r="BO42" s="14">
        <v>0.82163333333333299</v>
      </c>
      <c r="BP42" s="15">
        <f t="shared" si="9"/>
        <v>25</v>
      </c>
      <c r="BQ42" s="8">
        <v>-5.6555954327003298E-3</v>
      </c>
      <c r="BR42" s="15">
        <f t="shared" si="10"/>
        <v>28</v>
      </c>
      <c r="BS42" s="8">
        <v>-6.7835127577552E-3</v>
      </c>
      <c r="BT42" s="8">
        <v>-5.2885691540775197E-3</v>
      </c>
      <c r="BU42" s="8">
        <v>-5.6555954327003203E-3</v>
      </c>
      <c r="BV42" s="6">
        <v>-4716.5600000000004</v>
      </c>
      <c r="BW42" s="15">
        <f t="shared" si="11"/>
        <v>15</v>
      </c>
      <c r="BX42" s="7">
        <v>5537.02</v>
      </c>
      <c r="BY42">
        <v>119</v>
      </c>
      <c r="BZ42" s="18">
        <v>1865432.23</v>
      </c>
      <c r="CA42" s="18">
        <v>1794726.12</v>
      </c>
      <c r="CB42" s="19">
        <f t="shared" si="12"/>
        <v>70706.10999999987</v>
      </c>
      <c r="CC42" s="20">
        <f t="shared" si="13"/>
        <v>3.9396601638583086</v>
      </c>
      <c r="CD42" s="27">
        <v>1.6</v>
      </c>
      <c r="CE42" s="16">
        <v>-1796.67</v>
      </c>
      <c r="CF42">
        <f t="shared" si="14"/>
        <v>2</v>
      </c>
      <c r="CG42" s="16">
        <f t="shared" si="15"/>
        <v>2</v>
      </c>
    </row>
    <row r="43" spans="1:85" x14ac:dyDescent="0.25">
      <c r="P43">
        <f t="shared" ref="P43:CB43" si="19">SUM(P3:P42)</f>
        <v>3300.6499999999983</v>
      </c>
      <c r="Q43">
        <f t="shared" si="19"/>
        <v>1797386</v>
      </c>
      <c r="R43">
        <f t="shared" si="19"/>
        <v>3860.11</v>
      </c>
      <c r="S43">
        <f t="shared" si="19"/>
        <v>37697611.709999993</v>
      </c>
      <c r="T43">
        <f t="shared" si="19"/>
        <v>38212870.539999992</v>
      </c>
      <c r="U43">
        <f t="shared" si="19"/>
        <v>-515258.83</v>
      </c>
      <c r="V43">
        <f t="shared" si="19"/>
        <v>-29.422604133921467</v>
      </c>
      <c r="W43">
        <f t="shared" si="19"/>
        <v>820</v>
      </c>
      <c r="X43">
        <f t="shared" si="19"/>
        <v>2165973</v>
      </c>
      <c r="Y43">
        <f t="shared" si="19"/>
        <v>2265789</v>
      </c>
      <c r="Z43">
        <f t="shared" si="19"/>
        <v>-99816</v>
      </c>
      <c r="AA43">
        <f t="shared" si="19"/>
        <v>-174.71417338785278</v>
      </c>
      <c r="AB43">
        <f t="shared" si="19"/>
        <v>820</v>
      </c>
      <c r="AC43">
        <f t="shared" si="19"/>
        <v>1097.5250557771612</v>
      </c>
      <c r="AD43">
        <f t="shared" si="19"/>
        <v>1077.6202183552334</v>
      </c>
      <c r="AE43">
        <f t="shared" si="19"/>
        <v>19.904837421927926</v>
      </c>
      <c r="AF43">
        <f t="shared" si="19"/>
        <v>0.61451053223331398</v>
      </c>
      <c r="AG43">
        <f t="shared" si="19"/>
        <v>401</v>
      </c>
      <c r="AH43">
        <f t="shared" si="19"/>
        <v>65.655827551285213</v>
      </c>
      <c r="AI43">
        <f t="shared" si="19"/>
        <v>67.502345177033391</v>
      </c>
      <c r="AJ43">
        <f t="shared" si="19"/>
        <v>-1.8465176257482112</v>
      </c>
      <c r="AK43">
        <f t="shared" si="19"/>
        <v>-108.12551015652862</v>
      </c>
      <c r="AL43">
        <f t="shared" si="19"/>
        <v>820</v>
      </c>
      <c r="AM43">
        <f t="shared" si="19"/>
        <v>1717.8269452086106</v>
      </c>
      <c r="AN43">
        <f t="shared" si="19"/>
        <v>1631.7910762959962</v>
      </c>
      <c r="AO43">
        <f t="shared" si="19"/>
        <v>86.035868912613779</v>
      </c>
      <c r="AP43">
        <f t="shared" si="19"/>
        <v>211.93564103017999</v>
      </c>
      <c r="AQ43">
        <f t="shared" si="19"/>
        <v>820</v>
      </c>
      <c r="AR43">
        <f t="shared" si="19"/>
        <v>83.811429139999987</v>
      </c>
      <c r="AS43">
        <f t="shared" si="19"/>
        <v>1750.291374666986</v>
      </c>
      <c r="AT43">
        <f t="shared" si="19"/>
        <v>496.94206384522323</v>
      </c>
      <c r="AU43">
        <f t="shared" si="19"/>
        <v>403.71206783565219</v>
      </c>
      <c r="AV43">
        <f t="shared" si="19"/>
        <v>70.92635784783559</v>
      </c>
      <c r="AW43">
        <f t="shared" si="19"/>
        <v>116.20174493229142</v>
      </c>
      <c r="AX43">
        <f t="shared" si="19"/>
        <v>4224171.25</v>
      </c>
      <c r="AY43">
        <f t="shared" si="19"/>
        <v>3823387.9200000004</v>
      </c>
      <c r="AZ43">
        <f t="shared" si="19"/>
        <v>15196723.040000003</v>
      </c>
      <c r="BA43">
        <f t="shared" si="19"/>
        <v>14280987</v>
      </c>
      <c r="BB43">
        <f t="shared" si="19"/>
        <v>1586751.0672938465</v>
      </c>
      <c r="BC43">
        <f t="shared" si="19"/>
        <v>152.42672001086962</v>
      </c>
      <c r="BD43">
        <f t="shared" si="19"/>
        <v>38.432560491846843</v>
      </c>
      <c r="BE43">
        <f t="shared" si="19"/>
        <v>819</v>
      </c>
      <c r="BF43">
        <f t="shared" si="19"/>
        <v>37.390272116958243</v>
      </c>
      <c r="BG43">
        <f t="shared" si="19"/>
        <v>820</v>
      </c>
      <c r="BH43">
        <f t="shared" si="19"/>
        <v>89.854062812691936</v>
      </c>
      <c r="BI43">
        <f t="shared" si="19"/>
        <v>820</v>
      </c>
      <c r="BJ43">
        <f t="shared" si="19"/>
        <v>95.498677250258098</v>
      </c>
      <c r="BL43">
        <f t="shared" si="19"/>
        <v>2618.6368342619498</v>
      </c>
      <c r="BM43">
        <f t="shared" si="19"/>
        <v>820</v>
      </c>
      <c r="BN43">
        <f t="shared" si="19"/>
        <v>2445.0756009977126</v>
      </c>
      <c r="BO43">
        <f t="shared" si="19"/>
        <v>33.890466666666669</v>
      </c>
      <c r="BP43">
        <f t="shared" si="19"/>
        <v>819</v>
      </c>
      <c r="BQ43">
        <f t="shared" si="19"/>
        <v>-0.21240469490031083</v>
      </c>
      <c r="BR43">
        <f t="shared" si="19"/>
        <v>820</v>
      </c>
      <c r="BS43">
        <f t="shared" si="19"/>
        <v>-0.34790228106431975</v>
      </c>
      <c r="BT43">
        <f t="shared" si="19"/>
        <v>-0.27870517709612569</v>
      </c>
      <c r="BU43">
        <f t="shared" si="19"/>
        <v>-0.21240469490031078</v>
      </c>
      <c r="BV43">
        <f t="shared" si="19"/>
        <v>-248788.9899999999</v>
      </c>
      <c r="BW43">
        <f t="shared" si="19"/>
        <v>820</v>
      </c>
      <c r="BX43">
        <f t="shared" si="19"/>
        <v>114789.95000000001</v>
      </c>
      <c r="BY43">
        <f t="shared" si="19"/>
        <v>2486</v>
      </c>
      <c r="BZ43">
        <f t="shared" si="19"/>
        <v>84154549.760000005</v>
      </c>
      <c r="CA43">
        <f t="shared" si="19"/>
        <v>82544085.249999985</v>
      </c>
      <c r="CB43">
        <f t="shared" si="19"/>
        <v>1610464.51</v>
      </c>
      <c r="CC43">
        <f t="shared" ref="CC43:CD43" si="20">SUM(CC3:CC42)</f>
        <v>64.15872784066228</v>
      </c>
      <c r="CD43">
        <f t="shared" si="20"/>
        <v>76.100000000000009</v>
      </c>
      <c r="CE43">
        <f>SUM(CE3:CE42)</f>
        <v>-211968.70999999996</v>
      </c>
    </row>
  </sheetData>
  <sortState xmlns:xlrd2="http://schemas.microsoft.com/office/spreadsheetml/2017/richdata2" ref="A3:BX42">
    <sortCondition ref="L3:L42"/>
  </sortState>
  <mergeCells count="1">
    <mergeCell ref="BZ2:C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2B60-F62B-47F5-8627-75D1B24813DB}">
  <dimension ref="A1:Z361"/>
  <sheetViews>
    <sheetView workbookViewId="0"/>
  </sheetViews>
  <sheetFormatPr defaultRowHeight="15" x14ac:dyDescent="0.25"/>
  <cols>
    <col min="1" max="1" width="25.85546875" bestFit="1" customWidth="1"/>
    <col min="2" max="2" width="24.28515625" bestFit="1" customWidth="1"/>
    <col min="3" max="3" width="5.7109375" bestFit="1" customWidth="1"/>
    <col min="4" max="4" width="7.140625" bestFit="1" customWidth="1"/>
    <col min="5" max="5" width="7.140625" customWidth="1"/>
    <col min="6" max="6" width="5.28515625" bestFit="1" customWidth="1"/>
    <col min="7" max="7" width="17.42578125" bestFit="1" customWidth="1"/>
    <col min="8" max="9" width="10" bestFit="1" customWidth="1"/>
    <col min="10" max="10" width="9.7109375" bestFit="1" customWidth="1"/>
    <col min="11" max="11" width="12.7109375" bestFit="1" customWidth="1"/>
    <col min="12" max="12" width="6.140625" bestFit="1" customWidth="1"/>
    <col min="13" max="13" width="6" bestFit="1" customWidth="1"/>
    <col min="14" max="14" width="12.7109375" bestFit="1" customWidth="1"/>
  </cols>
  <sheetData>
    <row r="1" spans="1:26" x14ac:dyDescent="0.25">
      <c r="A1" t="s">
        <v>306</v>
      </c>
      <c r="B1" t="s">
        <v>303</v>
      </c>
      <c r="C1" t="s">
        <v>304</v>
      </c>
      <c r="D1" t="s">
        <v>0</v>
      </c>
      <c r="E1" t="s">
        <v>309</v>
      </c>
      <c r="F1" t="s">
        <v>305</v>
      </c>
      <c r="G1" t="s">
        <v>293</v>
      </c>
      <c r="H1" t="s">
        <v>224</v>
      </c>
      <c r="I1" t="s">
        <v>225</v>
      </c>
      <c r="J1" s="17" t="s">
        <v>226</v>
      </c>
      <c r="K1" t="s">
        <v>227</v>
      </c>
      <c r="L1" t="s">
        <v>228</v>
      </c>
      <c r="M1" t="s">
        <v>229</v>
      </c>
      <c r="N1" t="s">
        <v>230</v>
      </c>
      <c r="P1">
        <f>'Shoe Shop'!A2</f>
        <v>75</v>
      </c>
    </row>
    <row r="2" spans="1:26" x14ac:dyDescent="0.25">
      <c r="A2">
        <f>VALUE(CONCATENATE(D2,F2))</f>
        <v>11</v>
      </c>
      <c r="B2">
        <f>VALUE(CONCATENATE(C2,F2))</f>
        <v>111</v>
      </c>
      <c r="C2">
        <v>11</v>
      </c>
      <c r="D2">
        <f>VLOOKUP(C2,'Store Database'!A:C,2,FALSE)</f>
        <v>1</v>
      </c>
      <c r="E2" t="str">
        <f>VLOOKUP(D2,'Store Database'!$B$3:$C$100,2,FALSE)</f>
        <v>East</v>
      </c>
      <c r="F2">
        <v>1</v>
      </c>
      <c r="G2" s="55" t="s">
        <v>294</v>
      </c>
      <c r="H2">
        <v>192830.13</v>
      </c>
      <c r="I2">
        <v>184706.73</v>
      </c>
      <c r="J2">
        <v>8123.4</v>
      </c>
      <c r="K2">
        <v>4.3979989251068403</v>
      </c>
      <c r="L2">
        <v>3577</v>
      </c>
      <c r="M2">
        <v>3863</v>
      </c>
      <c r="N2">
        <v>-7.4035723530934501</v>
      </c>
      <c r="R2" t="s">
        <v>293</v>
      </c>
      <c r="S2" t="s">
        <v>224</v>
      </c>
      <c r="T2" t="s">
        <v>225</v>
      </c>
      <c r="U2" s="17" t="s">
        <v>226</v>
      </c>
      <c r="V2" s="16" t="s">
        <v>17</v>
      </c>
      <c r="W2" t="s">
        <v>224</v>
      </c>
      <c r="X2" t="s">
        <v>225</v>
      </c>
      <c r="Y2" s="17" t="s">
        <v>226</v>
      </c>
      <c r="Z2" s="16" t="s">
        <v>307</v>
      </c>
    </row>
    <row r="3" spans="1:26" x14ac:dyDescent="0.25">
      <c r="A3">
        <f t="shared" ref="A3:A66" si="0">VALUE(CONCATENATE(D3,F3))</f>
        <v>12</v>
      </c>
      <c r="B3">
        <f t="shared" ref="B3:B66" si="1">VALUE(CONCATENATE(C3,F3))</f>
        <v>112</v>
      </c>
      <c r="C3">
        <v>11</v>
      </c>
      <c r="D3">
        <f>VLOOKUP(C3,'Store Database'!A:C,2,FALSE)</f>
        <v>1</v>
      </c>
      <c r="E3" t="str">
        <f>VLOOKUP(D3,'Store Database'!$B$3:$C$100,2,FALSE)</f>
        <v>East</v>
      </c>
      <c r="F3">
        <v>2</v>
      </c>
      <c r="G3" s="55" t="s">
        <v>295</v>
      </c>
      <c r="H3">
        <v>212130</v>
      </c>
      <c r="I3">
        <v>218108.36</v>
      </c>
      <c r="J3">
        <v>-5978.36</v>
      </c>
      <c r="K3">
        <v>-2.7410045172042001</v>
      </c>
      <c r="L3">
        <v>3524</v>
      </c>
      <c r="M3">
        <v>2575</v>
      </c>
      <c r="N3">
        <v>36.854368932038803</v>
      </c>
      <c r="P3">
        <f>VALUE(CONCATENATE($P$1&amp;Q3))</f>
        <v>751</v>
      </c>
      <c r="Q3">
        <v>1</v>
      </c>
      <c r="R3" s="55" t="s">
        <v>294</v>
      </c>
      <c r="S3">
        <f>VLOOKUP($P3,$B:$N,7,FALSE)</f>
        <v>142080.99</v>
      </c>
      <c r="T3">
        <f>VLOOKUP($P3,$B:$N,8,FALSE)</f>
        <v>88309.97</v>
      </c>
      <c r="U3">
        <f>VLOOKUP($P3,$B:$N,9,FALSE)</f>
        <v>53771.02</v>
      </c>
      <c r="V3" s="27">
        <f>VLOOKUP($P3,$B:$N,10,FALSE)</f>
        <v>60.888957384992899</v>
      </c>
      <c r="W3">
        <f>VLOOKUP($P3,$B:$N,11,FALSE)</f>
        <v>2097</v>
      </c>
      <c r="X3">
        <f>VLOOKUP($P3,$B:$N,12,FALSE)</f>
        <v>1851</v>
      </c>
      <c r="Y3">
        <f>W3-X3</f>
        <v>246</v>
      </c>
      <c r="Z3" s="27">
        <f>VLOOKUP($P3,$B:$N,13,FALSE)</f>
        <v>13.290113452187999</v>
      </c>
    </row>
    <row r="4" spans="1:26" x14ac:dyDescent="0.25">
      <c r="A4">
        <f t="shared" si="0"/>
        <v>13</v>
      </c>
      <c r="B4">
        <f t="shared" si="1"/>
        <v>113</v>
      </c>
      <c r="C4">
        <v>11</v>
      </c>
      <c r="D4">
        <f>VLOOKUP(C4,'Store Database'!A:C,2,FALSE)</f>
        <v>1</v>
      </c>
      <c r="E4" t="str">
        <f>VLOOKUP(D4,'Store Database'!$B$3:$C$100,2,FALSE)</f>
        <v>East</v>
      </c>
      <c r="F4">
        <v>3</v>
      </c>
      <c r="G4" s="55" t="s">
        <v>296</v>
      </c>
      <c r="H4">
        <v>23942.98</v>
      </c>
      <c r="I4">
        <v>24964.76</v>
      </c>
      <c r="J4">
        <v>-1021.78</v>
      </c>
      <c r="K4">
        <v>-4.0928893368091703</v>
      </c>
      <c r="L4">
        <v>688</v>
      </c>
      <c r="M4">
        <v>387</v>
      </c>
      <c r="N4">
        <v>77.7777777777778</v>
      </c>
      <c r="P4">
        <f t="shared" ref="P4:P11" si="2">VALUE(CONCATENATE($P$1&amp;Q4))</f>
        <v>752</v>
      </c>
      <c r="Q4">
        <v>2</v>
      </c>
      <c r="R4" s="55" t="s">
        <v>295</v>
      </c>
      <c r="S4">
        <f t="shared" ref="S4:S11" si="3">VLOOKUP($P4,$B:$N,7,FALSE)</f>
        <v>157888.94</v>
      </c>
      <c r="T4">
        <f t="shared" ref="T4:T11" si="4">VLOOKUP($P4,$B:$N,8,FALSE)</f>
        <v>151322.26999999999</v>
      </c>
      <c r="U4">
        <f t="shared" ref="U4:U11" si="5">VLOOKUP($P4,$B:$N,9,FALSE)</f>
        <v>6566.67</v>
      </c>
      <c r="V4" s="27">
        <f t="shared" ref="V4:V11" si="6">VLOOKUP($P4,$B:$N,10,FALSE)</f>
        <v>4.3395264953400403</v>
      </c>
      <c r="W4">
        <f t="shared" ref="W4:W11" si="7">VLOOKUP($P4,$B:$N,11,FALSE)</f>
        <v>3303</v>
      </c>
      <c r="X4">
        <f t="shared" ref="X4:X11" si="8">VLOOKUP($P4,$B:$N,12,FALSE)</f>
        <v>2981</v>
      </c>
      <c r="Y4">
        <f t="shared" ref="Y4:Y11" si="9">W4-X4</f>
        <v>322</v>
      </c>
      <c r="Z4" s="27">
        <f t="shared" ref="Z4:Z11" si="10">VLOOKUP($P4,$B:$N,13,FALSE)</f>
        <v>10.8017443810802</v>
      </c>
    </row>
    <row r="5" spans="1:26" x14ac:dyDescent="0.25">
      <c r="A5">
        <f t="shared" si="0"/>
        <v>14</v>
      </c>
      <c r="B5">
        <f t="shared" si="1"/>
        <v>114</v>
      </c>
      <c r="C5">
        <v>11</v>
      </c>
      <c r="D5">
        <f>VLOOKUP(C5,'Store Database'!A:C,2,FALSE)</f>
        <v>1</v>
      </c>
      <c r="E5" t="str">
        <f>VLOOKUP(D5,'Store Database'!$B$3:$C$100,2,FALSE)</f>
        <v>East</v>
      </c>
      <c r="F5">
        <v>4</v>
      </c>
      <c r="G5" s="55" t="s">
        <v>297</v>
      </c>
      <c r="H5">
        <v>226929.53</v>
      </c>
      <c r="I5">
        <v>227044.29</v>
      </c>
      <c r="J5">
        <v>-114.76</v>
      </c>
      <c r="K5">
        <v>-5.0545204197824101E-2</v>
      </c>
      <c r="L5">
        <v>3029</v>
      </c>
      <c r="M5">
        <v>2503</v>
      </c>
      <c r="N5">
        <v>21.014782261286499</v>
      </c>
      <c r="P5">
        <f t="shared" si="2"/>
        <v>753</v>
      </c>
      <c r="Q5">
        <v>3</v>
      </c>
      <c r="R5" s="55" t="s">
        <v>296</v>
      </c>
      <c r="S5">
        <f t="shared" si="3"/>
        <v>13363.08</v>
      </c>
      <c r="T5">
        <f t="shared" si="4"/>
        <v>9294.42</v>
      </c>
      <c r="U5">
        <f t="shared" si="5"/>
        <v>4068.66</v>
      </c>
      <c r="V5" s="27">
        <f t="shared" si="6"/>
        <v>43.775297436526401</v>
      </c>
      <c r="W5">
        <f t="shared" si="7"/>
        <v>378</v>
      </c>
      <c r="X5">
        <f t="shared" si="8"/>
        <v>129</v>
      </c>
      <c r="Y5">
        <f t="shared" si="9"/>
        <v>249</v>
      </c>
      <c r="Z5" s="27">
        <f t="shared" si="10"/>
        <v>193.02325581395399</v>
      </c>
    </row>
    <row r="6" spans="1:26" x14ac:dyDescent="0.25">
      <c r="A6">
        <f t="shared" si="0"/>
        <v>15</v>
      </c>
      <c r="B6">
        <f t="shared" si="1"/>
        <v>115</v>
      </c>
      <c r="C6">
        <v>11</v>
      </c>
      <c r="D6">
        <f>VLOOKUP(C6,'Store Database'!A:C,2,FALSE)</f>
        <v>1</v>
      </c>
      <c r="E6" t="str">
        <f>VLOOKUP(D6,'Store Database'!$B$3:$C$100,2,FALSE)</f>
        <v>East</v>
      </c>
      <c r="F6">
        <v>5</v>
      </c>
      <c r="G6" s="55" t="s">
        <v>298</v>
      </c>
      <c r="H6">
        <v>211190.16</v>
      </c>
      <c r="I6">
        <v>195271.27</v>
      </c>
      <c r="J6">
        <v>15918.89</v>
      </c>
      <c r="K6">
        <v>8.1521925882901307</v>
      </c>
      <c r="L6">
        <v>2319</v>
      </c>
      <c r="M6">
        <v>2475</v>
      </c>
      <c r="N6">
        <v>-6.303030303030301</v>
      </c>
      <c r="P6">
        <f t="shared" si="2"/>
        <v>754</v>
      </c>
      <c r="Q6">
        <v>4</v>
      </c>
      <c r="R6" s="55" t="s">
        <v>297</v>
      </c>
      <c r="S6">
        <f t="shared" si="3"/>
        <v>162275.56</v>
      </c>
      <c r="T6">
        <f t="shared" si="4"/>
        <v>139728.09</v>
      </c>
      <c r="U6">
        <f t="shared" si="5"/>
        <v>22547.47</v>
      </c>
      <c r="V6" s="27">
        <f t="shared" si="6"/>
        <v>16.1366765980985</v>
      </c>
      <c r="W6">
        <f t="shared" si="7"/>
        <v>2077</v>
      </c>
      <c r="X6">
        <f t="shared" si="8"/>
        <v>1479</v>
      </c>
      <c r="Y6">
        <f t="shared" si="9"/>
        <v>598</v>
      </c>
      <c r="Z6" s="27">
        <f t="shared" si="10"/>
        <v>40.432724814063597</v>
      </c>
    </row>
    <row r="7" spans="1:26" x14ac:dyDescent="0.25">
      <c r="A7">
        <f t="shared" si="0"/>
        <v>16</v>
      </c>
      <c r="B7">
        <f t="shared" si="1"/>
        <v>116</v>
      </c>
      <c r="C7">
        <v>11</v>
      </c>
      <c r="D7">
        <f>VLOOKUP(C7,'Store Database'!A:C,2,FALSE)</f>
        <v>1</v>
      </c>
      <c r="E7" t="str">
        <f>VLOOKUP(D7,'Store Database'!$B$3:$C$100,2,FALSE)</f>
        <v>East</v>
      </c>
      <c r="F7">
        <v>6</v>
      </c>
      <c r="G7" s="55" t="s">
        <v>299</v>
      </c>
      <c r="H7">
        <v>203566.11</v>
      </c>
      <c r="I7">
        <v>197978.28</v>
      </c>
      <c r="J7">
        <v>5587.83</v>
      </c>
      <c r="K7">
        <v>2.8224459774072201</v>
      </c>
      <c r="L7">
        <v>2286</v>
      </c>
      <c r="M7">
        <v>2628</v>
      </c>
      <c r="N7">
        <v>-13.013698630137</v>
      </c>
      <c r="P7">
        <f t="shared" si="2"/>
        <v>755</v>
      </c>
      <c r="Q7">
        <v>5</v>
      </c>
      <c r="R7" s="55" t="s">
        <v>298</v>
      </c>
      <c r="S7">
        <f t="shared" si="3"/>
        <v>231517.82</v>
      </c>
      <c r="T7">
        <f t="shared" si="4"/>
        <v>152518.64000000001</v>
      </c>
      <c r="U7">
        <f t="shared" si="5"/>
        <v>78999.179999999993</v>
      </c>
      <c r="V7" s="27">
        <f t="shared" si="6"/>
        <v>51.796409933893997</v>
      </c>
      <c r="W7">
        <f t="shared" si="7"/>
        <v>1908</v>
      </c>
      <c r="X7">
        <f t="shared" si="8"/>
        <v>2049</v>
      </c>
      <c r="Y7">
        <f t="shared" si="9"/>
        <v>-141</v>
      </c>
      <c r="Z7" s="27">
        <f t="shared" si="10"/>
        <v>-6.881405563689599</v>
      </c>
    </row>
    <row r="8" spans="1:26" x14ac:dyDescent="0.25">
      <c r="A8">
        <f t="shared" si="0"/>
        <v>17</v>
      </c>
      <c r="B8">
        <f t="shared" si="1"/>
        <v>117</v>
      </c>
      <c r="C8">
        <v>11</v>
      </c>
      <c r="D8">
        <f>VLOOKUP(C8,'Store Database'!A:C,2,FALSE)</f>
        <v>1</v>
      </c>
      <c r="E8" t="str">
        <f>VLOOKUP(D8,'Store Database'!$B$3:$C$100,2,FALSE)</f>
        <v>East</v>
      </c>
      <c r="F8">
        <v>7</v>
      </c>
      <c r="G8" s="55" t="s">
        <v>300</v>
      </c>
      <c r="H8">
        <v>76783.820000000007</v>
      </c>
      <c r="I8">
        <v>76592.490000000005</v>
      </c>
      <c r="J8">
        <v>191.33</v>
      </c>
      <c r="K8">
        <v>0.24980255897151299</v>
      </c>
      <c r="L8">
        <v>2065</v>
      </c>
      <c r="M8">
        <v>1702</v>
      </c>
      <c r="N8">
        <v>21.3278495887192</v>
      </c>
      <c r="P8">
        <f t="shared" si="2"/>
        <v>756</v>
      </c>
      <c r="Q8">
        <v>6</v>
      </c>
      <c r="R8" s="55" t="s">
        <v>299</v>
      </c>
      <c r="S8">
        <f t="shared" si="3"/>
        <v>181894.13</v>
      </c>
      <c r="T8">
        <f t="shared" si="4"/>
        <v>156358.34</v>
      </c>
      <c r="U8">
        <f t="shared" si="5"/>
        <v>25535.79</v>
      </c>
      <c r="V8" s="27">
        <f t="shared" si="6"/>
        <v>16.331581673225699</v>
      </c>
      <c r="W8">
        <f t="shared" si="7"/>
        <v>1995</v>
      </c>
      <c r="X8">
        <f t="shared" si="8"/>
        <v>2123</v>
      </c>
      <c r="Y8">
        <f t="shared" si="9"/>
        <v>-128</v>
      </c>
      <c r="Z8" s="27">
        <f t="shared" si="10"/>
        <v>-6.0292039566650999</v>
      </c>
    </row>
    <row r="9" spans="1:26" x14ac:dyDescent="0.25">
      <c r="A9">
        <f t="shared" si="0"/>
        <v>18</v>
      </c>
      <c r="B9">
        <f t="shared" si="1"/>
        <v>118</v>
      </c>
      <c r="C9">
        <v>11</v>
      </c>
      <c r="D9">
        <f>VLOOKUP(C9,'Store Database'!A:C,2,FALSE)</f>
        <v>1</v>
      </c>
      <c r="E9" t="str">
        <f>VLOOKUP(D9,'Store Database'!$B$3:$C$100,2,FALSE)</f>
        <v>East</v>
      </c>
      <c r="F9">
        <v>8</v>
      </c>
      <c r="G9" s="55" t="s">
        <v>301</v>
      </c>
      <c r="H9">
        <v>101078.13</v>
      </c>
      <c r="I9">
        <v>109142.95</v>
      </c>
      <c r="J9">
        <v>-8064.82</v>
      </c>
      <c r="K9">
        <v>-7.3892266976474401</v>
      </c>
      <c r="L9">
        <v>1860</v>
      </c>
      <c r="M9">
        <v>1551</v>
      </c>
      <c r="N9">
        <v>19.9226305609284</v>
      </c>
      <c r="P9">
        <f t="shared" si="2"/>
        <v>757</v>
      </c>
      <c r="Q9">
        <v>7</v>
      </c>
      <c r="R9" s="55" t="s">
        <v>300</v>
      </c>
      <c r="S9">
        <f t="shared" si="3"/>
        <v>80774.12</v>
      </c>
      <c r="T9">
        <f t="shared" si="4"/>
        <v>62608.25</v>
      </c>
      <c r="U9">
        <f t="shared" si="5"/>
        <v>18165.87</v>
      </c>
      <c r="V9" s="27">
        <f t="shared" si="6"/>
        <v>29.0151377813627</v>
      </c>
      <c r="W9">
        <f t="shared" si="7"/>
        <v>2477</v>
      </c>
      <c r="X9">
        <f t="shared" si="8"/>
        <v>1783</v>
      </c>
      <c r="Y9">
        <f t="shared" si="9"/>
        <v>694</v>
      </c>
      <c r="Z9" s="27">
        <f t="shared" si="10"/>
        <v>38.923163208076303</v>
      </c>
    </row>
    <row r="10" spans="1:26" x14ac:dyDescent="0.25">
      <c r="A10">
        <f t="shared" si="0"/>
        <v>19</v>
      </c>
      <c r="B10">
        <f t="shared" si="1"/>
        <v>119</v>
      </c>
      <c r="C10">
        <v>11</v>
      </c>
      <c r="D10">
        <f>VLOOKUP(C10,'Store Database'!A:C,2,FALSE)</f>
        <v>1</v>
      </c>
      <c r="E10" t="str">
        <f>VLOOKUP(D10,'Store Database'!$B$3:$C$100,2,FALSE)</f>
        <v>East</v>
      </c>
      <c r="F10">
        <v>9</v>
      </c>
      <c r="G10" s="55" t="s">
        <v>302</v>
      </c>
      <c r="H10">
        <v>43505.85</v>
      </c>
      <c r="I10">
        <v>41440.75</v>
      </c>
      <c r="J10">
        <v>2065.1</v>
      </c>
      <c r="K10">
        <v>4.9832592315534798</v>
      </c>
      <c r="L10">
        <v>4883</v>
      </c>
      <c r="M10">
        <v>2629</v>
      </c>
      <c r="N10">
        <v>85.736021300874896</v>
      </c>
      <c r="P10">
        <f t="shared" si="2"/>
        <v>758</v>
      </c>
      <c r="Q10">
        <v>8</v>
      </c>
      <c r="R10" s="55" t="s">
        <v>301</v>
      </c>
      <c r="S10">
        <f t="shared" si="3"/>
        <v>67905.740000000005</v>
      </c>
      <c r="T10">
        <f t="shared" si="4"/>
        <v>45635.15</v>
      </c>
      <c r="U10">
        <f t="shared" si="5"/>
        <v>22270.59</v>
      </c>
      <c r="V10" s="27">
        <f t="shared" si="6"/>
        <v>48.801395415595202</v>
      </c>
      <c r="W10">
        <f t="shared" si="7"/>
        <v>1662</v>
      </c>
      <c r="X10">
        <f t="shared" si="8"/>
        <v>1388</v>
      </c>
      <c r="Y10">
        <f t="shared" si="9"/>
        <v>274</v>
      </c>
      <c r="Z10" s="27">
        <f t="shared" si="10"/>
        <v>19.740634005763699</v>
      </c>
    </row>
    <row r="11" spans="1:26" x14ac:dyDescent="0.25">
      <c r="A11">
        <f t="shared" si="0"/>
        <v>21</v>
      </c>
      <c r="B11">
        <f t="shared" si="1"/>
        <v>121</v>
      </c>
      <c r="C11">
        <v>12</v>
      </c>
      <c r="D11">
        <f>VLOOKUP(C11,'Store Database'!A:C,2,FALSE)</f>
        <v>2</v>
      </c>
      <c r="E11" t="str">
        <f>VLOOKUP(D11,'Store Database'!$B$3:$C$100,2,FALSE)</f>
        <v>West</v>
      </c>
      <c r="F11">
        <v>1</v>
      </c>
      <c r="G11" s="55" t="s">
        <v>294</v>
      </c>
      <c r="H11">
        <v>188244.69</v>
      </c>
      <c r="I11">
        <v>166294.93</v>
      </c>
      <c r="J11">
        <v>21949.759999999998</v>
      </c>
      <c r="K11">
        <v>13.1992959737257</v>
      </c>
      <c r="L11">
        <v>3351</v>
      </c>
      <c r="M11">
        <v>3178</v>
      </c>
      <c r="N11">
        <v>5.44367526746381</v>
      </c>
      <c r="P11">
        <f t="shared" si="2"/>
        <v>759</v>
      </c>
      <c r="Q11">
        <v>9</v>
      </c>
      <c r="R11" s="55" t="s">
        <v>302</v>
      </c>
      <c r="S11">
        <f t="shared" si="3"/>
        <v>63086.97</v>
      </c>
      <c r="T11">
        <f t="shared" si="4"/>
        <v>41351.699999999997</v>
      </c>
      <c r="U11">
        <f t="shared" si="5"/>
        <v>21735.27</v>
      </c>
      <c r="V11" s="27">
        <f t="shared" si="6"/>
        <v>52.561974477470102</v>
      </c>
      <c r="W11">
        <f t="shared" si="7"/>
        <v>4852</v>
      </c>
      <c r="X11">
        <f t="shared" si="8"/>
        <v>3112</v>
      </c>
      <c r="Y11">
        <f t="shared" si="9"/>
        <v>1740</v>
      </c>
      <c r="Z11" s="27">
        <f t="shared" si="10"/>
        <v>55.912596401028303</v>
      </c>
    </row>
    <row r="12" spans="1:26" x14ac:dyDescent="0.25">
      <c r="A12">
        <f t="shared" si="0"/>
        <v>22</v>
      </c>
      <c r="B12">
        <f t="shared" si="1"/>
        <v>122</v>
      </c>
      <c r="C12">
        <v>12</v>
      </c>
      <c r="D12">
        <f>VLOOKUP(C12,'Store Database'!A:C,2,FALSE)</f>
        <v>2</v>
      </c>
      <c r="E12" t="str">
        <f>VLOOKUP(D12,'Store Database'!$B$3:$C$100,2,FALSE)</f>
        <v>West</v>
      </c>
      <c r="F12">
        <v>2</v>
      </c>
      <c r="G12" s="55" t="s">
        <v>295</v>
      </c>
      <c r="H12">
        <v>99692.56</v>
      </c>
      <c r="I12">
        <v>114608.32000000001</v>
      </c>
      <c r="J12">
        <v>-14915.76</v>
      </c>
      <c r="K12">
        <v>-13.014552521143299</v>
      </c>
      <c r="L12">
        <v>2877</v>
      </c>
      <c r="M12">
        <v>2443</v>
      </c>
      <c r="N12">
        <v>17.765042979942699</v>
      </c>
      <c r="R12" t="s">
        <v>308</v>
      </c>
      <c r="S12">
        <f>SUM(S3:S11)</f>
        <v>1100787.3500000001</v>
      </c>
      <c r="T12">
        <f>SUM(T3:T11)</f>
        <v>847126.83</v>
      </c>
      <c r="U12">
        <f>S12-T12</f>
        <v>253660.52000000014</v>
      </c>
      <c r="V12" s="27">
        <f>U12/T12*100</f>
        <v>29.943629574334242</v>
      </c>
      <c r="W12">
        <f>SUM(W3:W11)</f>
        <v>20749</v>
      </c>
      <c r="X12">
        <f>SUM(X3:X11)</f>
        <v>16895</v>
      </c>
      <c r="Y12">
        <f>W12-X12</f>
        <v>3854</v>
      </c>
      <c r="Z12" s="27">
        <f>Y12/X12*100</f>
        <v>22.81148268718556</v>
      </c>
    </row>
    <row r="13" spans="1:26" x14ac:dyDescent="0.25">
      <c r="A13">
        <f t="shared" si="0"/>
        <v>23</v>
      </c>
      <c r="B13">
        <f t="shared" si="1"/>
        <v>123</v>
      </c>
      <c r="C13">
        <v>12</v>
      </c>
      <c r="D13">
        <f>VLOOKUP(C13,'Store Database'!A:C,2,FALSE)</f>
        <v>2</v>
      </c>
      <c r="E13" t="str">
        <f>VLOOKUP(D13,'Store Database'!$B$3:$C$100,2,FALSE)</f>
        <v>West</v>
      </c>
      <c r="F13">
        <v>3</v>
      </c>
      <c r="G13" s="55" t="s">
        <v>296</v>
      </c>
      <c r="H13">
        <v>14215.27</v>
      </c>
      <c r="I13">
        <v>18735.84</v>
      </c>
      <c r="J13">
        <v>-4520.57</v>
      </c>
      <c r="K13">
        <v>-24.127928077951101</v>
      </c>
      <c r="L13">
        <v>976</v>
      </c>
      <c r="M13">
        <v>542</v>
      </c>
      <c r="N13">
        <v>80.073800738007392</v>
      </c>
      <c r="V13" s="27"/>
      <c r="Z13" s="27"/>
    </row>
    <row r="14" spans="1:26" x14ac:dyDescent="0.25">
      <c r="A14">
        <f t="shared" si="0"/>
        <v>24</v>
      </c>
      <c r="B14">
        <f t="shared" si="1"/>
        <v>124</v>
      </c>
      <c r="C14">
        <v>12</v>
      </c>
      <c r="D14">
        <f>VLOOKUP(C14,'Store Database'!A:C,2,FALSE)</f>
        <v>2</v>
      </c>
      <c r="E14" t="str">
        <f>VLOOKUP(D14,'Store Database'!$B$3:$C$100,2,FALSE)</f>
        <v>West</v>
      </c>
      <c r="F14">
        <v>4</v>
      </c>
      <c r="G14" s="55" t="s">
        <v>297</v>
      </c>
      <c r="H14">
        <v>213660.53</v>
      </c>
      <c r="I14">
        <v>226762.64</v>
      </c>
      <c r="J14">
        <v>-13102.11</v>
      </c>
      <c r="K14">
        <v>-5.7778962178249502</v>
      </c>
      <c r="L14">
        <v>3778</v>
      </c>
      <c r="M14">
        <v>2398</v>
      </c>
      <c r="N14">
        <v>57.547956630525398</v>
      </c>
      <c r="P14">
        <f>VLOOKUP($P$1,$C:$D,2,FALSE)</f>
        <v>2</v>
      </c>
    </row>
    <row r="15" spans="1:26" x14ac:dyDescent="0.25">
      <c r="A15">
        <f t="shared" si="0"/>
        <v>25</v>
      </c>
      <c r="B15">
        <f t="shared" si="1"/>
        <v>125</v>
      </c>
      <c r="C15">
        <v>12</v>
      </c>
      <c r="D15">
        <f>VLOOKUP(C15,'Store Database'!A:C,2,FALSE)</f>
        <v>2</v>
      </c>
      <c r="E15" t="str">
        <f>VLOOKUP(D15,'Store Database'!$B$3:$C$100,2,FALSE)</f>
        <v>West</v>
      </c>
      <c r="F15">
        <v>5</v>
      </c>
      <c r="G15" s="55" t="s">
        <v>298</v>
      </c>
      <c r="H15">
        <v>233889.29</v>
      </c>
      <c r="I15">
        <v>220410.85</v>
      </c>
      <c r="J15">
        <v>13478.44</v>
      </c>
      <c r="K15">
        <v>6.1151436056800303</v>
      </c>
      <c r="L15">
        <v>2988</v>
      </c>
      <c r="M15">
        <v>2317</v>
      </c>
      <c r="N15">
        <v>28.9598618903755</v>
      </c>
      <c r="R15" t="s">
        <v>293</v>
      </c>
      <c r="S15" t="s">
        <v>224</v>
      </c>
      <c r="T15" t="s">
        <v>225</v>
      </c>
      <c r="U15" s="17" t="s">
        <v>226</v>
      </c>
      <c r="V15" s="16" t="s">
        <v>17</v>
      </c>
      <c r="W15" t="s">
        <v>224</v>
      </c>
      <c r="X15" t="s">
        <v>225</v>
      </c>
      <c r="Y15" s="17" t="s">
        <v>226</v>
      </c>
      <c r="Z15" s="16" t="s">
        <v>307</v>
      </c>
    </row>
    <row r="16" spans="1:26" x14ac:dyDescent="0.25">
      <c r="A16">
        <f t="shared" si="0"/>
        <v>26</v>
      </c>
      <c r="B16">
        <f t="shared" si="1"/>
        <v>126</v>
      </c>
      <c r="C16">
        <v>12</v>
      </c>
      <c r="D16">
        <f>VLOOKUP(C16,'Store Database'!A:C,2,FALSE)</f>
        <v>2</v>
      </c>
      <c r="E16" t="str">
        <f>VLOOKUP(D16,'Store Database'!$B$3:$C$100,2,FALSE)</f>
        <v>West</v>
      </c>
      <c r="F16">
        <v>6</v>
      </c>
      <c r="G16" s="55" t="s">
        <v>299</v>
      </c>
      <c r="H16">
        <v>214514.4</v>
      </c>
      <c r="I16">
        <v>220034.46</v>
      </c>
      <c r="J16">
        <v>-5520.06</v>
      </c>
      <c r="K16">
        <v>-2.5087252242217</v>
      </c>
      <c r="L16">
        <v>2989</v>
      </c>
      <c r="M16">
        <v>3078</v>
      </c>
      <c r="N16">
        <v>-2.8914879792072803</v>
      </c>
      <c r="P16">
        <f>VALUE(CONCATENATE($P$14,Q16))</f>
        <v>21</v>
      </c>
      <c r="Q16">
        <v>1</v>
      </c>
      <c r="R16" s="55" t="s">
        <v>294</v>
      </c>
      <c r="S16">
        <f>VLOOKUP($P16,$A:$N,8,FALSE)</f>
        <v>188244.69</v>
      </c>
      <c r="T16">
        <f>VLOOKUP($P16,$A:$N,9,FALSE)</f>
        <v>166294.93</v>
      </c>
      <c r="U16">
        <f>VLOOKUP($P16,$A:$N,10,FALSE)</f>
        <v>21949.759999999998</v>
      </c>
      <c r="V16">
        <f>VLOOKUP($P16,$A:$N,11,FALSE)</f>
        <v>13.1992959737257</v>
      </c>
      <c r="W16">
        <f>VLOOKUP($P16,$A:$N,12,FALSE)</f>
        <v>3351</v>
      </c>
      <c r="X16">
        <f>VLOOKUP($P16,$A:$N,13,FALSE)</f>
        <v>3178</v>
      </c>
      <c r="Y16">
        <f>W16-X16</f>
        <v>173</v>
      </c>
      <c r="Z16" s="27">
        <f>VLOOKUP($P16,$A:$N,14,FALSE)</f>
        <v>5.44367526746381</v>
      </c>
    </row>
    <row r="17" spans="1:26" x14ac:dyDescent="0.25">
      <c r="A17">
        <f t="shared" si="0"/>
        <v>27</v>
      </c>
      <c r="B17">
        <f t="shared" si="1"/>
        <v>127</v>
      </c>
      <c r="C17">
        <v>12</v>
      </c>
      <c r="D17">
        <f>VLOOKUP(C17,'Store Database'!A:C,2,FALSE)</f>
        <v>2</v>
      </c>
      <c r="E17" t="str">
        <f>VLOOKUP(D17,'Store Database'!$B$3:$C$100,2,FALSE)</f>
        <v>West</v>
      </c>
      <c r="F17">
        <v>7</v>
      </c>
      <c r="G17" s="55" t="s">
        <v>300</v>
      </c>
      <c r="H17">
        <v>86266.34</v>
      </c>
      <c r="I17">
        <v>73456.87</v>
      </c>
      <c r="J17">
        <v>12809.47</v>
      </c>
      <c r="K17">
        <v>17.438083054723101</v>
      </c>
      <c r="L17">
        <v>2025</v>
      </c>
      <c r="M17">
        <v>1923</v>
      </c>
      <c r="N17">
        <v>5.3042121684867398</v>
      </c>
      <c r="P17">
        <f t="shared" ref="P17:P24" si="11">VALUE(CONCATENATE($P$14,Q17))</f>
        <v>22</v>
      </c>
      <c r="Q17">
        <v>2</v>
      </c>
      <c r="R17" s="55" t="s">
        <v>295</v>
      </c>
      <c r="S17">
        <f t="shared" ref="S17:S24" si="12">VLOOKUP($P17,$A:$N,8,FALSE)</f>
        <v>99692.56</v>
      </c>
      <c r="T17">
        <f t="shared" ref="T17:T24" si="13">VLOOKUP($P17,$A:$N,9,FALSE)</f>
        <v>114608.32000000001</v>
      </c>
      <c r="U17">
        <f t="shared" ref="U17:U24" si="14">VLOOKUP($P17,$A:$N,10,FALSE)</f>
        <v>-14915.76</v>
      </c>
      <c r="V17">
        <f t="shared" ref="V17:V24" si="15">VLOOKUP($P17,$A:$N,11,FALSE)</f>
        <v>-13.014552521143299</v>
      </c>
      <c r="W17">
        <f t="shared" ref="W17:W24" si="16">VLOOKUP($P17,$A:$N,12,FALSE)</f>
        <v>2877</v>
      </c>
      <c r="X17">
        <f t="shared" ref="X17:X24" si="17">VLOOKUP($P17,$A:$N,13,FALSE)</f>
        <v>2443</v>
      </c>
      <c r="Y17">
        <f t="shared" ref="Y17:Y24" si="18">W17-X17</f>
        <v>434</v>
      </c>
      <c r="Z17" s="27">
        <f t="shared" ref="Z17:Z24" si="19">VLOOKUP($P17,$A:$N,14,FALSE)</f>
        <v>17.765042979942699</v>
      </c>
    </row>
    <row r="18" spans="1:26" x14ac:dyDescent="0.25">
      <c r="A18">
        <f t="shared" si="0"/>
        <v>28</v>
      </c>
      <c r="B18">
        <f t="shared" si="1"/>
        <v>128</v>
      </c>
      <c r="C18">
        <v>12</v>
      </c>
      <c r="D18">
        <f>VLOOKUP(C18,'Store Database'!A:C,2,FALSE)</f>
        <v>2</v>
      </c>
      <c r="E18" t="str">
        <f>VLOOKUP(D18,'Store Database'!$B$3:$C$100,2,FALSE)</f>
        <v>West</v>
      </c>
      <c r="F18">
        <v>8</v>
      </c>
      <c r="G18" s="55" t="s">
        <v>301</v>
      </c>
      <c r="H18">
        <v>114078.32</v>
      </c>
      <c r="I18">
        <v>121636.7</v>
      </c>
      <c r="J18">
        <v>-7558.38</v>
      </c>
      <c r="K18">
        <v>-6.2138976147823799</v>
      </c>
      <c r="L18">
        <v>2120</v>
      </c>
      <c r="M18">
        <v>2071</v>
      </c>
      <c r="N18">
        <v>2.3660067600193102</v>
      </c>
      <c r="P18">
        <f t="shared" si="11"/>
        <v>23</v>
      </c>
      <c r="Q18">
        <v>3</v>
      </c>
      <c r="R18" s="55" t="s">
        <v>296</v>
      </c>
      <c r="S18">
        <f t="shared" si="12"/>
        <v>14215.27</v>
      </c>
      <c r="T18">
        <f t="shared" si="13"/>
        <v>18735.84</v>
      </c>
      <c r="U18">
        <f t="shared" si="14"/>
        <v>-4520.57</v>
      </c>
      <c r="V18">
        <f t="shared" si="15"/>
        <v>-24.127928077951101</v>
      </c>
      <c r="W18">
        <f t="shared" si="16"/>
        <v>976</v>
      </c>
      <c r="X18">
        <f t="shared" si="17"/>
        <v>542</v>
      </c>
      <c r="Y18">
        <f t="shared" si="18"/>
        <v>434</v>
      </c>
      <c r="Z18" s="27">
        <f t="shared" si="19"/>
        <v>80.073800738007392</v>
      </c>
    </row>
    <row r="19" spans="1:26" x14ac:dyDescent="0.25">
      <c r="A19">
        <f t="shared" si="0"/>
        <v>29</v>
      </c>
      <c r="B19">
        <f t="shared" si="1"/>
        <v>129</v>
      </c>
      <c r="C19">
        <v>12</v>
      </c>
      <c r="D19">
        <f>VLOOKUP(C19,'Store Database'!A:C,2,FALSE)</f>
        <v>2</v>
      </c>
      <c r="E19" t="str">
        <f>VLOOKUP(D19,'Store Database'!$B$3:$C$100,2,FALSE)</f>
        <v>West</v>
      </c>
      <c r="F19">
        <v>9</v>
      </c>
      <c r="G19" s="55" t="s">
        <v>302</v>
      </c>
      <c r="H19">
        <v>44056.639999999999</v>
      </c>
      <c r="I19">
        <v>46801.2</v>
      </c>
      <c r="J19">
        <v>-2744.56</v>
      </c>
      <c r="K19">
        <v>-5.86429407792963</v>
      </c>
      <c r="L19">
        <v>6869</v>
      </c>
      <c r="M19">
        <v>2398</v>
      </c>
      <c r="N19">
        <v>186.44703919933301</v>
      </c>
      <c r="P19">
        <f t="shared" si="11"/>
        <v>24</v>
      </c>
      <c r="Q19">
        <v>4</v>
      </c>
      <c r="R19" s="55" t="s">
        <v>297</v>
      </c>
      <c r="S19">
        <f t="shared" si="12"/>
        <v>213660.53</v>
      </c>
      <c r="T19">
        <f t="shared" si="13"/>
        <v>226762.64</v>
      </c>
      <c r="U19">
        <f t="shared" si="14"/>
        <v>-13102.11</v>
      </c>
      <c r="V19">
        <f t="shared" si="15"/>
        <v>-5.7778962178249502</v>
      </c>
      <c r="W19">
        <f t="shared" si="16"/>
        <v>3778</v>
      </c>
      <c r="X19">
        <f t="shared" si="17"/>
        <v>2398</v>
      </c>
      <c r="Y19">
        <f t="shared" si="18"/>
        <v>1380</v>
      </c>
      <c r="Z19" s="27">
        <f t="shared" si="19"/>
        <v>57.547956630525398</v>
      </c>
    </row>
    <row r="20" spans="1:26" x14ac:dyDescent="0.25">
      <c r="A20">
        <f t="shared" si="0"/>
        <v>31</v>
      </c>
      <c r="B20">
        <f t="shared" si="1"/>
        <v>141</v>
      </c>
      <c r="C20">
        <v>14</v>
      </c>
      <c r="D20">
        <f>VLOOKUP(C20,'Store Database'!A:C,2,FALSE)</f>
        <v>3</v>
      </c>
      <c r="E20" t="str">
        <f>VLOOKUP(D20,'Store Database'!$B$3:$C$100,2,FALSE)</f>
        <v>North</v>
      </c>
      <c r="F20">
        <v>1</v>
      </c>
      <c r="G20" s="55" t="s">
        <v>294</v>
      </c>
      <c r="H20">
        <v>123237.61</v>
      </c>
      <c r="I20">
        <v>95023.89</v>
      </c>
      <c r="J20">
        <v>28213.72</v>
      </c>
      <c r="K20">
        <v>29.691186079626899</v>
      </c>
      <c r="L20">
        <v>2423</v>
      </c>
      <c r="M20">
        <v>2181</v>
      </c>
      <c r="N20">
        <v>11.095827602017399</v>
      </c>
      <c r="P20">
        <f t="shared" si="11"/>
        <v>25</v>
      </c>
      <c r="Q20">
        <v>5</v>
      </c>
      <c r="R20" s="55" t="s">
        <v>298</v>
      </c>
      <c r="S20">
        <f t="shared" si="12"/>
        <v>233889.29</v>
      </c>
      <c r="T20">
        <f t="shared" si="13"/>
        <v>220410.85</v>
      </c>
      <c r="U20">
        <f t="shared" si="14"/>
        <v>13478.44</v>
      </c>
      <c r="V20">
        <f t="shared" si="15"/>
        <v>6.1151436056800303</v>
      </c>
      <c r="W20">
        <f t="shared" si="16"/>
        <v>2988</v>
      </c>
      <c r="X20">
        <f t="shared" si="17"/>
        <v>2317</v>
      </c>
      <c r="Y20">
        <f t="shared" si="18"/>
        <v>671</v>
      </c>
      <c r="Z20" s="27">
        <f t="shared" si="19"/>
        <v>28.9598618903755</v>
      </c>
    </row>
    <row r="21" spans="1:26" x14ac:dyDescent="0.25">
      <c r="A21">
        <f t="shared" si="0"/>
        <v>32</v>
      </c>
      <c r="B21">
        <f t="shared" si="1"/>
        <v>142</v>
      </c>
      <c r="C21">
        <v>14</v>
      </c>
      <c r="D21">
        <f>VLOOKUP(C21,'Store Database'!A:C,2,FALSE)</f>
        <v>3</v>
      </c>
      <c r="E21" t="str">
        <f>VLOOKUP(D21,'Store Database'!$B$3:$C$100,2,FALSE)</f>
        <v>North</v>
      </c>
      <c r="F21">
        <v>2</v>
      </c>
      <c r="G21" s="55" t="s">
        <v>295</v>
      </c>
      <c r="H21">
        <v>122774.18</v>
      </c>
      <c r="I21">
        <v>155204.47</v>
      </c>
      <c r="J21">
        <v>-32430.29</v>
      </c>
      <c r="K21">
        <v>-20.895203598195302</v>
      </c>
      <c r="L21">
        <v>5321</v>
      </c>
      <c r="M21">
        <v>3946</v>
      </c>
      <c r="N21">
        <v>34.845413076533198</v>
      </c>
      <c r="P21">
        <f t="shared" si="11"/>
        <v>26</v>
      </c>
      <c r="Q21">
        <v>6</v>
      </c>
      <c r="R21" s="55" t="s">
        <v>299</v>
      </c>
      <c r="S21">
        <f t="shared" si="12"/>
        <v>214514.4</v>
      </c>
      <c r="T21">
        <f t="shared" si="13"/>
        <v>220034.46</v>
      </c>
      <c r="U21">
        <f t="shared" si="14"/>
        <v>-5520.06</v>
      </c>
      <c r="V21">
        <f t="shared" si="15"/>
        <v>-2.5087252242217</v>
      </c>
      <c r="W21">
        <f t="shared" si="16"/>
        <v>2989</v>
      </c>
      <c r="X21">
        <f t="shared" si="17"/>
        <v>3078</v>
      </c>
      <c r="Y21">
        <f t="shared" si="18"/>
        <v>-89</v>
      </c>
      <c r="Z21" s="27">
        <f t="shared" si="19"/>
        <v>-2.8914879792072803</v>
      </c>
    </row>
    <row r="22" spans="1:26" x14ac:dyDescent="0.25">
      <c r="A22">
        <f t="shared" si="0"/>
        <v>33</v>
      </c>
      <c r="B22">
        <f t="shared" si="1"/>
        <v>143</v>
      </c>
      <c r="C22">
        <v>14</v>
      </c>
      <c r="D22">
        <f>VLOOKUP(C22,'Store Database'!A:C,2,FALSE)</f>
        <v>3</v>
      </c>
      <c r="E22" t="str">
        <f>VLOOKUP(D22,'Store Database'!$B$3:$C$100,2,FALSE)</f>
        <v>North</v>
      </c>
      <c r="F22">
        <v>3</v>
      </c>
      <c r="G22" s="55" t="s">
        <v>296</v>
      </c>
      <c r="H22">
        <v>11164.89</v>
      </c>
      <c r="I22">
        <v>13111.77</v>
      </c>
      <c r="J22">
        <v>-1946.88</v>
      </c>
      <c r="K22">
        <v>-14.848338553833701</v>
      </c>
      <c r="L22">
        <v>411</v>
      </c>
      <c r="M22">
        <v>295</v>
      </c>
      <c r="N22">
        <v>39.322033898305101</v>
      </c>
      <c r="P22">
        <f t="shared" si="11"/>
        <v>27</v>
      </c>
      <c r="Q22">
        <v>7</v>
      </c>
      <c r="R22" s="55" t="s">
        <v>300</v>
      </c>
      <c r="S22">
        <f t="shared" si="12"/>
        <v>86266.34</v>
      </c>
      <c r="T22">
        <f t="shared" si="13"/>
        <v>73456.87</v>
      </c>
      <c r="U22">
        <f t="shared" si="14"/>
        <v>12809.47</v>
      </c>
      <c r="V22">
        <f t="shared" si="15"/>
        <v>17.438083054723101</v>
      </c>
      <c r="W22">
        <f t="shared" si="16"/>
        <v>2025</v>
      </c>
      <c r="X22">
        <f t="shared" si="17"/>
        <v>1923</v>
      </c>
      <c r="Y22">
        <f t="shared" si="18"/>
        <v>102</v>
      </c>
      <c r="Z22" s="27">
        <f t="shared" si="19"/>
        <v>5.3042121684867398</v>
      </c>
    </row>
    <row r="23" spans="1:26" x14ac:dyDescent="0.25">
      <c r="A23">
        <f t="shared" si="0"/>
        <v>34</v>
      </c>
      <c r="B23">
        <f t="shared" si="1"/>
        <v>144</v>
      </c>
      <c r="C23">
        <v>14</v>
      </c>
      <c r="D23">
        <f>VLOOKUP(C23,'Store Database'!A:C,2,FALSE)</f>
        <v>3</v>
      </c>
      <c r="E23" t="str">
        <f>VLOOKUP(D23,'Store Database'!$B$3:$C$100,2,FALSE)</f>
        <v>North</v>
      </c>
      <c r="F23">
        <v>4</v>
      </c>
      <c r="G23" s="55" t="s">
        <v>297</v>
      </c>
      <c r="H23">
        <v>144436.35</v>
      </c>
      <c r="I23">
        <v>198562.93</v>
      </c>
      <c r="J23">
        <v>-54126.58</v>
      </c>
      <c r="K23">
        <v>-27.2591565807374</v>
      </c>
      <c r="L23">
        <v>2904</v>
      </c>
      <c r="M23">
        <v>2481</v>
      </c>
      <c r="N23">
        <v>17.049576783555001</v>
      </c>
      <c r="P23">
        <f t="shared" si="11"/>
        <v>28</v>
      </c>
      <c r="Q23">
        <v>8</v>
      </c>
      <c r="R23" s="55" t="s">
        <v>301</v>
      </c>
      <c r="S23">
        <f t="shared" si="12"/>
        <v>114078.32</v>
      </c>
      <c r="T23">
        <f t="shared" si="13"/>
        <v>121636.7</v>
      </c>
      <c r="U23">
        <f t="shared" si="14"/>
        <v>-7558.38</v>
      </c>
      <c r="V23">
        <f t="shared" si="15"/>
        <v>-6.2138976147823799</v>
      </c>
      <c r="W23">
        <f t="shared" si="16"/>
        <v>2120</v>
      </c>
      <c r="X23">
        <f t="shared" si="17"/>
        <v>2071</v>
      </c>
      <c r="Y23">
        <f t="shared" si="18"/>
        <v>49</v>
      </c>
      <c r="Z23" s="27">
        <f t="shared" si="19"/>
        <v>2.3660067600193102</v>
      </c>
    </row>
    <row r="24" spans="1:26" x14ac:dyDescent="0.25">
      <c r="A24">
        <f t="shared" si="0"/>
        <v>35</v>
      </c>
      <c r="B24">
        <f t="shared" si="1"/>
        <v>145</v>
      </c>
      <c r="C24">
        <v>14</v>
      </c>
      <c r="D24">
        <f>VLOOKUP(C24,'Store Database'!A:C,2,FALSE)</f>
        <v>3</v>
      </c>
      <c r="E24" t="str">
        <f>VLOOKUP(D24,'Store Database'!$B$3:$C$100,2,FALSE)</f>
        <v>North</v>
      </c>
      <c r="F24">
        <v>5</v>
      </c>
      <c r="G24" s="55" t="s">
        <v>298</v>
      </c>
      <c r="H24">
        <v>195406.32</v>
      </c>
      <c r="I24">
        <v>190022.92</v>
      </c>
      <c r="J24">
        <v>5383.4</v>
      </c>
      <c r="K24">
        <v>2.8330266685723999</v>
      </c>
      <c r="L24">
        <v>3495</v>
      </c>
      <c r="M24">
        <v>2865</v>
      </c>
      <c r="N24">
        <v>21.989528795811498</v>
      </c>
      <c r="P24">
        <f t="shared" si="11"/>
        <v>29</v>
      </c>
      <c r="Q24">
        <v>9</v>
      </c>
      <c r="R24" s="55" t="s">
        <v>302</v>
      </c>
      <c r="S24">
        <f t="shared" si="12"/>
        <v>44056.639999999999</v>
      </c>
      <c r="T24">
        <f t="shared" si="13"/>
        <v>46801.2</v>
      </c>
      <c r="U24">
        <f t="shared" si="14"/>
        <v>-2744.56</v>
      </c>
      <c r="V24">
        <f t="shared" si="15"/>
        <v>-5.86429407792963</v>
      </c>
      <c r="W24">
        <f t="shared" si="16"/>
        <v>6869</v>
      </c>
      <c r="X24">
        <f t="shared" si="17"/>
        <v>2398</v>
      </c>
      <c r="Y24">
        <f t="shared" si="18"/>
        <v>4471</v>
      </c>
      <c r="Z24" s="27">
        <f t="shared" si="19"/>
        <v>186.44703919933301</v>
      </c>
    </row>
    <row r="25" spans="1:26" x14ac:dyDescent="0.25">
      <c r="A25">
        <f t="shared" si="0"/>
        <v>36</v>
      </c>
      <c r="B25">
        <f t="shared" si="1"/>
        <v>146</v>
      </c>
      <c r="C25">
        <v>14</v>
      </c>
      <c r="D25">
        <f>VLOOKUP(C25,'Store Database'!A:C,2,FALSE)</f>
        <v>3</v>
      </c>
      <c r="E25" t="str">
        <f>VLOOKUP(D25,'Store Database'!$B$3:$C$100,2,FALSE)</f>
        <v>North</v>
      </c>
      <c r="F25">
        <v>6</v>
      </c>
      <c r="G25" s="55" t="s">
        <v>299</v>
      </c>
      <c r="H25">
        <v>145333.93</v>
      </c>
      <c r="I25">
        <v>195562.92</v>
      </c>
      <c r="J25">
        <v>-50228.99</v>
      </c>
      <c r="K25">
        <v>-25.684311729442399</v>
      </c>
      <c r="L25">
        <v>2637</v>
      </c>
      <c r="M25">
        <v>2636</v>
      </c>
      <c r="N25">
        <v>3.7936267071320202E-2</v>
      </c>
      <c r="R25" t="s">
        <v>308</v>
      </c>
      <c r="S25">
        <f>SUM(S16:S24)</f>
        <v>1208618.04</v>
      </c>
      <c r="T25">
        <f>SUM(T16:T24)</f>
        <v>1208741.8099999998</v>
      </c>
      <c r="U25">
        <f>S25-T25</f>
        <v>-123.7699999997858</v>
      </c>
      <c r="V25">
        <f>U25/T25*100</f>
        <v>-1.0239572998619599E-2</v>
      </c>
      <c r="W25">
        <f>SUM(W16:W24)</f>
        <v>27973</v>
      </c>
      <c r="X25">
        <f>SUM(X16:X24)</f>
        <v>20348</v>
      </c>
      <c r="Y25">
        <f>W25-X25</f>
        <v>7625</v>
      </c>
      <c r="Z25" s="27">
        <f>Y25/X25*100</f>
        <v>37.472970316493019</v>
      </c>
    </row>
    <row r="26" spans="1:26" x14ac:dyDescent="0.25">
      <c r="A26">
        <f t="shared" si="0"/>
        <v>37</v>
      </c>
      <c r="B26">
        <f t="shared" si="1"/>
        <v>147</v>
      </c>
      <c r="C26">
        <v>14</v>
      </c>
      <c r="D26">
        <f>VLOOKUP(C26,'Store Database'!A:C,2,FALSE)</f>
        <v>3</v>
      </c>
      <c r="E26" t="str">
        <f>VLOOKUP(D26,'Store Database'!$B$3:$C$100,2,FALSE)</f>
        <v>North</v>
      </c>
      <c r="F26">
        <v>7</v>
      </c>
      <c r="G26" s="55" t="s">
        <v>300</v>
      </c>
      <c r="H26">
        <v>67231.31</v>
      </c>
      <c r="I26">
        <v>76509</v>
      </c>
      <c r="J26">
        <v>-9277.69</v>
      </c>
      <c r="K26">
        <v>-12.126272726084499</v>
      </c>
      <c r="L26">
        <v>3913</v>
      </c>
      <c r="M26">
        <v>2679</v>
      </c>
      <c r="N26">
        <v>46.061963419186306</v>
      </c>
    </row>
    <row r="27" spans="1:26" x14ac:dyDescent="0.25">
      <c r="A27">
        <f t="shared" si="0"/>
        <v>38</v>
      </c>
      <c r="B27">
        <f t="shared" si="1"/>
        <v>148</v>
      </c>
      <c r="C27">
        <v>14</v>
      </c>
      <c r="D27">
        <f>VLOOKUP(C27,'Store Database'!A:C,2,FALSE)</f>
        <v>3</v>
      </c>
      <c r="E27" t="str">
        <f>VLOOKUP(D27,'Store Database'!$B$3:$C$100,2,FALSE)</f>
        <v>North</v>
      </c>
      <c r="F27">
        <v>8</v>
      </c>
      <c r="G27" s="55" t="s">
        <v>301</v>
      </c>
      <c r="H27">
        <v>75434.179999999993</v>
      </c>
      <c r="I27">
        <v>86308.9</v>
      </c>
      <c r="J27">
        <v>-10874.72</v>
      </c>
      <c r="K27">
        <v>-12.599766652106601</v>
      </c>
      <c r="L27">
        <v>1762</v>
      </c>
      <c r="M27">
        <v>1697</v>
      </c>
      <c r="N27">
        <v>3.8302887448438399</v>
      </c>
    </row>
    <row r="28" spans="1:26" x14ac:dyDescent="0.25">
      <c r="A28">
        <f t="shared" si="0"/>
        <v>39</v>
      </c>
      <c r="B28">
        <f t="shared" si="1"/>
        <v>149</v>
      </c>
      <c r="C28">
        <v>14</v>
      </c>
      <c r="D28">
        <f>VLOOKUP(C28,'Store Database'!A:C,2,FALSE)</f>
        <v>3</v>
      </c>
      <c r="E28" t="str">
        <f>VLOOKUP(D28,'Store Database'!$B$3:$C$100,2,FALSE)</f>
        <v>North</v>
      </c>
      <c r="F28">
        <v>9</v>
      </c>
      <c r="G28" s="55" t="s">
        <v>302</v>
      </c>
      <c r="H28">
        <v>29274.37</v>
      </c>
      <c r="I28">
        <v>31230.54</v>
      </c>
      <c r="J28">
        <v>-1956.17</v>
      </c>
      <c r="K28">
        <v>-6.2636444967009899</v>
      </c>
      <c r="L28">
        <v>5173</v>
      </c>
      <c r="M28">
        <v>2586</v>
      </c>
      <c r="N28">
        <v>100.038669760247</v>
      </c>
      <c r="R28" t="s">
        <v>293</v>
      </c>
      <c r="S28" t="s">
        <v>224</v>
      </c>
      <c r="T28" t="s">
        <v>225</v>
      </c>
      <c r="U28" s="17" t="s">
        <v>226</v>
      </c>
      <c r="V28" s="16" t="s">
        <v>17</v>
      </c>
      <c r="W28" t="s">
        <v>224</v>
      </c>
      <c r="X28" t="s">
        <v>225</v>
      </c>
      <c r="Y28" s="17" t="s">
        <v>226</v>
      </c>
      <c r="Z28" s="16" t="s">
        <v>307</v>
      </c>
    </row>
    <row r="29" spans="1:26" x14ac:dyDescent="0.25">
      <c r="A29">
        <f t="shared" si="0"/>
        <v>41</v>
      </c>
      <c r="B29">
        <f t="shared" si="1"/>
        <v>151</v>
      </c>
      <c r="C29">
        <v>15</v>
      </c>
      <c r="D29">
        <f>VLOOKUP(C29,'Store Database'!A:C,2,FALSE)</f>
        <v>4</v>
      </c>
      <c r="E29" t="str">
        <f>VLOOKUP(D29,'Store Database'!$B$3:$C$100,2,FALSE)</f>
        <v>South</v>
      </c>
      <c r="F29">
        <v>1</v>
      </c>
      <c r="G29" s="55" t="s">
        <v>294</v>
      </c>
      <c r="H29">
        <v>172692.59</v>
      </c>
      <c r="I29">
        <v>159918.01</v>
      </c>
      <c r="J29">
        <v>12774.58</v>
      </c>
      <c r="K29">
        <v>7.9882059562897298</v>
      </c>
      <c r="L29">
        <v>3760</v>
      </c>
      <c r="M29">
        <v>3453</v>
      </c>
      <c r="N29">
        <v>8.8908195771792595</v>
      </c>
      <c r="Q29">
        <v>1</v>
      </c>
      <c r="R29" s="55" t="s">
        <v>294</v>
      </c>
      <c r="S29">
        <f>SUMIF($F:$F,"="&amp;$Q29,H:H)</f>
        <v>5602654.9499999983</v>
      </c>
      <c r="T29">
        <f>SUMIF($F:$F,"="&amp;$Q29,I:I)</f>
        <v>4997639.18</v>
      </c>
      <c r="U29">
        <f>S29-T29</f>
        <v>605015.76999999862</v>
      </c>
      <c r="V29">
        <f>U29/T29*100</f>
        <v>12.106031432225137</v>
      </c>
      <c r="W29">
        <f>SUMIF($F:$F,"="&amp;$Q29,L:L)</f>
        <v>117873</v>
      </c>
      <c r="X29">
        <f>SUMIF($F:$F,"="&amp;$Q29,M:M)</f>
        <v>107852</v>
      </c>
      <c r="Y29">
        <f>W29-X29</f>
        <v>10021</v>
      </c>
      <c r="Z29">
        <f>Y29/X29*100</f>
        <v>9.291436412862069</v>
      </c>
    </row>
    <row r="30" spans="1:26" x14ac:dyDescent="0.25">
      <c r="A30">
        <f t="shared" si="0"/>
        <v>42</v>
      </c>
      <c r="B30">
        <f t="shared" si="1"/>
        <v>152</v>
      </c>
      <c r="C30">
        <v>15</v>
      </c>
      <c r="D30">
        <f>VLOOKUP(C30,'Store Database'!A:C,2,FALSE)</f>
        <v>4</v>
      </c>
      <c r="E30" t="str">
        <f>VLOOKUP(D30,'Store Database'!$B$3:$C$100,2,FALSE)</f>
        <v>South</v>
      </c>
      <c r="F30">
        <v>2</v>
      </c>
      <c r="G30" s="55" t="s">
        <v>295</v>
      </c>
      <c r="H30">
        <v>69944.639999999999</v>
      </c>
      <c r="I30">
        <v>77923.839999999997</v>
      </c>
      <c r="J30">
        <v>-7979.2</v>
      </c>
      <c r="K30">
        <v>-10.2397417786392</v>
      </c>
      <c r="L30">
        <v>2493</v>
      </c>
      <c r="M30">
        <v>1906</v>
      </c>
      <c r="N30">
        <v>30.797481636936002</v>
      </c>
      <c r="Q30">
        <v>2</v>
      </c>
      <c r="R30" s="55" t="s">
        <v>295</v>
      </c>
      <c r="S30">
        <f t="shared" ref="S30:S37" si="20">SUMIF($F:$F,"="&amp;$Q30,H:H)</f>
        <v>3927227.4100000006</v>
      </c>
      <c r="T30">
        <f t="shared" ref="T30:T37" si="21">SUMIF($F:$F,"="&amp;$Q30,I:I)</f>
        <v>4146746.6100000008</v>
      </c>
      <c r="U30">
        <f t="shared" ref="U30:U38" si="22">S30-T30</f>
        <v>-219519.20000000019</v>
      </c>
      <c r="V30">
        <f t="shared" ref="V30:V37" si="23">U30/T30*100</f>
        <v>-5.2937693243812678</v>
      </c>
      <c r="W30">
        <f t="shared" ref="W30:X37" si="24">SUMIF($F:$F,"="&amp;$Q30,L:L)</f>
        <v>116536</v>
      </c>
      <c r="X30">
        <f t="shared" si="24"/>
        <v>93819</v>
      </c>
      <c r="Y30">
        <f t="shared" ref="Y30:Y38" si="25">W30-X30</f>
        <v>22717</v>
      </c>
      <c r="Z30">
        <f t="shared" ref="Z30:Z37" si="26">Y30/X30*100</f>
        <v>24.213645423634873</v>
      </c>
    </row>
    <row r="31" spans="1:26" x14ac:dyDescent="0.25">
      <c r="A31">
        <f t="shared" si="0"/>
        <v>43</v>
      </c>
      <c r="B31">
        <f t="shared" si="1"/>
        <v>153</v>
      </c>
      <c r="C31">
        <v>15</v>
      </c>
      <c r="D31">
        <f>VLOOKUP(C31,'Store Database'!A:C,2,FALSE)</f>
        <v>4</v>
      </c>
      <c r="E31" t="str">
        <f>VLOOKUP(D31,'Store Database'!$B$3:$C$100,2,FALSE)</f>
        <v>South</v>
      </c>
      <c r="F31">
        <v>3</v>
      </c>
      <c r="G31" s="55" t="s">
        <v>296</v>
      </c>
      <c r="H31">
        <v>13666.13</v>
      </c>
      <c r="I31">
        <v>18178.16</v>
      </c>
      <c r="J31">
        <v>-4512.03</v>
      </c>
      <c r="K31">
        <v>-24.821159017194301</v>
      </c>
      <c r="L31">
        <v>795</v>
      </c>
      <c r="M31">
        <v>431</v>
      </c>
      <c r="N31">
        <v>84.454756380510403</v>
      </c>
      <c r="Q31">
        <v>3</v>
      </c>
      <c r="R31" s="55" t="s">
        <v>296</v>
      </c>
      <c r="S31">
        <f t="shared" si="20"/>
        <v>606375.32000000018</v>
      </c>
      <c r="T31">
        <f t="shared" si="21"/>
        <v>745976.72</v>
      </c>
      <c r="U31">
        <f t="shared" si="22"/>
        <v>-139601.39999999979</v>
      </c>
      <c r="V31">
        <f t="shared" si="23"/>
        <v>-18.713908391135824</v>
      </c>
      <c r="W31">
        <f t="shared" si="24"/>
        <v>31581</v>
      </c>
      <c r="X31">
        <f t="shared" si="24"/>
        <v>19061</v>
      </c>
      <c r="Y31">
        <f t="shared" si="25"/>
        <v>12520</v>
      </c>
      <c r="Z31">
        <f t="shared" si="26"/>
        <v>65.683857090394</v>
      </c>
    </row>
    <row r="32" spans="1:26" x14ac:dyDescent="0.25">
      <c r="A32">
        <f t="shared" si="0"/>
        <v>44</v>
      </c>
      <c r="B32">
        <f t="shared" si="1"/>
        <v>154</v>
      </c>
      <c r="C32">
        <v>15</v>
      </c>
      <c r="D32">
        <f>VLOOKUP(C32,'Store Database'!A:C,2,FALSE)</f>
        <v>4</v>
      </c>
      <c r="E32" t="str">
        <f>VLOOKUP(D32,'Store Database'!$B$3:$C$100,2,FALSE)</f>
        <v>South</v>
      </c>
      <c r="F32">
        <v>4</v>
      </c>
      <c r="G32" s="55" t="s">
        <v>297</v>
      </c>
      <c r="H32">
        <v>138384.01999999999</v>
      </c>
      <c r="I32">
        <v>152376.79999999999</v>
      </c>
      <c r="J32">
        <v>-13992.78</v>
      </c>
      <c r="K32">
        <v>-9.1830121120800605</v>
      </c>
      <c r="L32">
        <v>2945</v>
      </c>
      <c r="M32">
        <v>1768</v>
      </c>
      <c r="N32">
        <v>66.572398190045305</v>
      </c>
      <c r="Q32">
        <v>4</v>
      </c>
      <c r="R32" s="55" t="s">
        <v>297</v>
      </c>
      <c r="S32">
        <f t="shared" si="20"/>
        <v>6237429.5500000007</v>
      </c>
      <c r="T32">
        <f t="shared" si="21"/>
        <v>6905890.5899999999</v>
      </c>
      <c r="U32">
        <f t="shared" si="22"/>
        <v>-668461.03999999911</v>
      </c>
      <c r="V32">
        <f t="shared" si="23"/>
        <v>-9.6795776198359835</v>
      </c>
      <c r="W32">
        <f t="shared" si="24"/>
        <v>115807</v>
      </c>
      <c r="X32">
        <f t="shared" si="24"/>
        <v>83966</v>
      </c>
      <c r="Y32">
        <f t="shared" si="25"/>
        <v>31841</v>
      </c>
      <c r="Z32">
        <f t="shared" si="26"/>
        <v>37.92130147917014</v>
      </c>
    </row>
    <row r="33" spans="1:26" x14ac:dyDescent="0.25">
      <c r="A33">
        <f t="shared" si="0"/>
        <v>45</v>
      </c>
      <c r="B33">
        <f t="shared" si="1"/>
        <v>155</v>
      </c>
      <c r="C33">
        <v>15</v>
      </c>
      <c r="D33">
        <f>VLOOKUP(C33,'Store Database'!A:C,2,FALSE)</f>
        <v>4</v>
      </c>
      <c r="E33" t="str">
        <f>VLOOKUP(D33,'Store Database'!$B$3:$C$100,2,FALSE)</f>
        <v>South</v>
      </c>
      <c r="F33">
        <v>5</v>
      </c>
      <c r="G33" s="55" t="s">
        <v>298</v>
      </c>
      <c r="H33">
        <v>168797.74</v>
      </c>
      <c r="I33">
        <v>161461.04999999999</v>
      </c>
      <c r="J33">
        <v>7336.69</v>
      </c>
      <c r="K33">
        <v>4.5439379961916497</v>
      </c>
      <c r="L33">
        <v>2499</v>
      </c>
      <c r="M33">
        <v>2253</v>
      </c>
      <c r="N33">
        <v>10.918774966711101</v>
      </c>
      <c r="Q33">
        <v>5</v>
      </c>
      <c r="R33" s="55" t="s">
        <v>298</v>
      </c>
      <c r="S33">
        <f t="shared" si="20"/>
        <v>7156971.3999999985</v>
      </c>
      <c r="T33">
        <f t="shared" si="21"/>
        <v>6718394.4000000004</v>
      </c>
      <c r="U33">
        <f t="shared" si="22"/>
        <v>438576.99999999814</v>
      </c>
      <c r="V33">
        <f t="shared" si="23"/>
        <v>6.5280031788547301</v>
      </c>
      <c r="W33">
        <f t="shared" si="24"/>
        <v>110195</v>
      </c>
      <c r="X33">
        <f t="shared" si="24"/>
        <v>99580</v>
      </c>
      <c r="Y33">
        <f t="shared" si="25"/>
        <v>10615</v>
      </c>
      <c r="Z33">
        <f t="shared" si="26"/>
        <v>10.659771038361116</v>
      </c>
    </row>
    <row r="34" spans="1:26" x14ac:dyDescent="0.25">
      <c r="A34">
        <f t="shared" si="0"/>
        <v>46</v>
      </c>
      <c r="B34">
        <f t="shared" si="1"/>
        <v>156</v>
      </c>
      <c r="C34">
        <v>15</v>
      </c>
      <c r="D34">
        <f>VLOOKUP(C34,'Store Database'!A:C,2,FALSE)</f>
        <v>4</v>
      </c>
      <c r="E34" t="str">
        <f>VLOOKUP(D34,'Store Database'!$B$3:$C$100,2,FALSE)</f>
        <v>South</v>
      </c>
      <c r="F34">
        <v>6</v>
      </c>
      <c r="G34" s="55" t="s">
        <v>299</v>
      </c>
      <c r="H34">
        <v>144468.51999999999</v>
      </c>
      <c r="I34">
        <v>138831.14000000001</v>
      </c>
      <c r="J34">
        <v>5637.38</v>
      </c>
      <c r="K34">
        <v>4.0606019658125696</v>
      </c>
      <c r="L34">
        <v>1831</v>
      </c>
      <c r="M34">
        <v>1769</v>
      </c>
      <c r="N34">
        <v>3.5048049745619001</v>
      </c>
      <c r="Q34">
        <v>6</v>
      </c>
      <c r="R34" s="55" t="s">
        <v>299</v>
      </c>
      <c r="S34">
        <f t="shared" si="20"/>
        <v>6331384.4000000013</v>
      </c>
      <c r="T34">
        <f t="shared" si="21"/>
        <v>6734637.5999999996</v>
      </c>
      <c r="U34">
        <f t="shared" si="22"/>
        <v>-403253.19999999832</v>
      </c>
      <c r="V34">
        <f t="shared" si="23"/>
        <v>-5.9877490661115651</v>
      </c>
      <c r="W34">
        <f t="shared" si="24"/>
        <v>88557</v>
      </c>
      <c r="X34">
        <f t="shared" si="24"/>
        <v>89057</v>
      </c>
      <c r="Y34">
        <f t="shared" si="25"/>
        <v>-500</v>
      </c>
      <c r="Z34">
        <f t="shared" si="26"/>
        <v>-0.56143818004199564</v>
      </c>
    </row>
    <row r="35" spans="1:26" x14ac:dyDescent="0.25">
      <c r="A35">
        <f t="shared" si="0"/>
        <v>47</v>
      </c>
      <c r="B35">
        <f t="shared" si="1"/>
        <v>157</v>
      </c>
      <c r="C35">
        <v>15</v>
      </c>
      <c r="D35">
        <f>VLOOKUP(C35,'Store Database'!A:C,2,FALSE)</f>
        <v>4</v>
      </c>
      <c r="E35" t="str">
        <f>VLOOKUP(D35,'Store Database'!$B$3:$C$100,2,FALSE)</f>
        <v>South</v>
      </c>
      <c r="F35">
        <v>7</v>
      </c>
      <c r="G35" s="55" t="s">
        <v>300</v>
      </c>
      <c r="H35">
        <v>73112.98</v>
      </c>
      <c r="I35">
        <v>65735.67</v>
      </c>
      <c r="J35">
        <v>7377.31</v>
      </c>
      <c r="K35">
        <v>11.222689294868401</v>
      </c>
      <c r="L35">
        <v>1858</v>
      </c>
      <c r="M35">
        <v>1424</v>
      </c>
      <c r="N35">
        <v>30.477528089887603</v>
      </c>
      <c r="Q35">
        <v>7</v>
      </c>
      <c r="R35" s="55" t="s">
        <v>300</v>
      </c>
      <c r="S35">
        <f t="shared" si="20"/>
        <v>2659198.1799999992</v>
      </c>
      <c r="T35">
        <f t="shared" si="21"/>
        <v>2576995.2199999997</v>
      </c>
      <c r="U35">
        <f t="shared" si="22"/>
        <v>82202.959999999497</v>
      </c>
      <c r="V35">
        <f t="shared" si="23"/>
        <v>3.1898763087344615</v>
      </c>
      <c r="W35">
        <f t="shared" si="24"/>
        <v>87339</v>
      </c>
      <c r="X35">
        <f t="shared" si="24"/>
        <v>67456</v>
      </c>
      <c r="Y35">
        <f t="shared" si="25"/>
        <v>19883</v>
      </c>
      <c r="Z35">
        <f t="shared" si="26"/>
        <v>29.475509962049333</v>
      </c>
    </row>
    <row r="36" spans="1:26" x14ac:dyDescent="0.25">
      <c r="A36">
        <f t="shared" si="0"/>
        <v>48</v>
      </c>
      <c r="B36">
        <f t="shared" si="1"/>
        <v>158</v>
      </c>
      <c r="C36">
        <v>15</v>
      </c>
      <c r="D36">
        <f>VLOOKUP(C36,'Store Database'!A:C,2,FALSE)</f>
        <v>4</v>
      </c>
      <c r="E36" t="str">
        <f>VLOOKUP(D36,'Store Database'!$B$3:$C$100,2,FALSE)</f>
        <v>South</v>
      </c>
      <c r="F36">
        <v>8</v>
      </c>
      <c r="G36" s="55" t="s">
        <v>301</v>
      </c>
      <c r="H36">
        <v>97644.66</v>
      </c>
      <c r="I36">
        <v>102955.75</v>
      </c>
      <c r="J36">
        <v>-5311.09</v>
      </c>
      <c r="K36">
        <v>-5.1586142590384698</v>
      </c>
      <c r="L36">
        <v>1914</v>
      </c>
      <c r="M36">
        <v>1322</v>
      </c>
      <c r="N36">
        <v>44.780635400907698</v>
      </c>
      <c r="Q36">
        <v>8</v>
      </c>
      <c r="R36" s="55" t="s">
        <v>301</v>
      </c>
      <c r="S36">
        <f t="shared" si="20"/>
        <v>3858439.5200000009</v>
      </c>
      <c r="T36">
        <f t="shared" si="21"/>
        <v>4036382.379999999</v>
      </c>
      <c r="U36">
        <f t="shared" si="22"/>
        <v>-177942.85999999801</v>
      </c>
      <c r="V36">
        <f t="shared" si="23"/>
        <v>-4.4084738076772112</v>
      </c>
      <c r="W36">
        <f t="shared" si="24"/>
        <v>78927</v>
      </c>
      <c r="X36">
        <f t="shared" si="24"/>
        <v>66488</v>
      </c>
      <c r="Y36">
        <f t="shared" si="25"/>
        <v>12439</v>
      </c>
      <c r="Z36">
        <f t="shared" si="26"/>
        <v>18.708639152929852</v>
      </c>
    </row>
    <row r="37" spans="1:26" x14ac:dyDescent="0.25">
      <c r="A37">
        <f t="shared" si="0"/>
        <v>49</v>
      </c>
      <c r="B37">
        <f t="shared" si="1"/>
        <v>159</v>
      </c>
      <c r="C37">
        <v>15</v>
      </c>
      <c r="D37">
        <f>VLOOKUP(C37,'Store Database'!A:C,2,FALSE)</f>
        <v>4</v>
      </c>
      <c r="E37" t="str">
        <f>VLOOKUP(D37,'Store Database'!$B$3:$C$100,2,FALSE)</f>
        <v>South</v>
      </c>
      <c r="F37">
        <v>9</v>
      </c>
      <c r="G37" s="55" t="s">
        <v>302</v>
      </c>
      <c r="H37">
        <v>28867.53</v>
      </c>
      <c r="I37">
        <v>33122.379999999997</v>
      </c>
      <c r="J37">
        <v>-4254.8500000000004</v>
      </c>
      <c r="K37">
        <v>-12.8458462224031</v>
      </c>
      <c r="L37">
        <v>5348</v>
      </c>
      <c r="M37">
        <v>2176</v>
      </c>
      <c r="N37">
        <v>145.77205882352899</v>
      </c>
      <c r="Q37">
        <v>9</v>
      </c>
      <c r="R37" s="55" t="s">
        <v>302</v>
      </c>
      <c r="S37">
        <f t="shared" si="20"/>
        <v>1317930.9800000002</v>
      </c>
      <c r="T37">
        <f t="shared" si="21"/>
        <v>1350207.84</v>
      </c>
      <c r="U37">
        <f t="shared" si="22"/>
        <v>-32276.85999999987</v>
      </c>
      <c r="V37">
        <f t="shared" si="23"/>
        <v>-2.390510486148552</v>
      </c>
      <c r="W37">
        <f t="shared" si="24"/>
        <v>193290</v>
      </c>
      <c r="X37">
        <f t="shared" si="24"/>
        <v>99104</v>
      </c>
      <c r="Y37">
        <f t="shared" si="25"/>
        <v>94186</v>
      </c>
      <c r="Z37">
        <f t="shared" si="26"/>
        <v>95.037536325476268</v>
      </c>
    </row>
    <row r="38" spans="1:26" x14ac:dyDescent="0.25">
      <c r="A38">
        <f t="shared" si="0"/>
        <v>11</v>
      </c>
      <c r="B38">
        <f t="shared" si="1"/>
        <v>181</v>
      </c>
      <c r="C38">
        <v>18</v>
      </c>
      <c r="D38">
        <f>VLOOKUP(C38,'Store Database'!A:C,2,FALSE)</f>
        <v>1</v>
      </c>
      <c r="E38" t="str">
        <f>VLOOKUP(D38,'Store Database'!$B$3:$C$100,2,FALSE)</f>
        <v>East</v>
      </c>
      <c r="F38">
        <v>1</v>
      </c>
      <c r="G38" s="55" t="s">
        <v>294</v>
      </c>
      <c r="H38">
        <v>246110.11</v>
      </c>
      <c r="I38">
        <v>191402.34</v>
      </c>
      <c r="J38">
        <v>54707.77</v>
      </c>
      <c r="K38">
        <v>28.582602490648799</v>
      </c>
      <c r="L38">
        <v>4375</v>
      </c>
      <c r="M38">
        <v>4315</v>
      </c>
      <c r="N38">
        <v>1.39049826187717</v>
      </c>
      <c r="R38" t="s">
        <v>308</v>
      </c>
      <c r="S38">
        <f>SUM(S29:S37)</f>
        <v>37697611.710000001</v>
      </c>
      <c r="T38">
        <f>SUM(T29:T37)</f>
        <v>38212870.540000007</v>
      </c>
      <c r="U38">
        <f t="shared" si="22"/>
        <v>-515258.83000000566</v>
      </c>
      <c r="V38">
        <f>U38/T38*100</f>
        <v>-1.3483907979659608</v>
      </c>
      <c r="W38">
        <f>SUM(W29:W37)</f>
        <v>940105</v>
      </c>
      <c r="X38">
        <f>SUM(X29:X37)</f>
        <v>726383</v>
      </c>
      <c r="Y38">
        <f t="shared" si="25"/>
        <v>213722</v>
      </c>
      <c r="Z38">
        <f>Y38/X38*100</f>
        <v>29.422770081348272</v>
      </c>
    </row>
    <row r="39" spans="1:26" x14ac:dyDescent="0.25">
      <c r="A39">
        <f t="shared" si="0"/>
        <v>12</v>
      </c>
      <c r="B39">
        <f t="shared" si="1"/>
        <v>182</v>
      </c>
      <c r="C39">
        <v>18</v>
      </c>
      <c r="D39">
        <f>VLOOKUP(C39,'Store Database'!A:C,2,FALSE)</f>
        <v>1</v>
      </c>
      <c r="E39" t="str">
        <f>VLOOKUP(D39,'Store Database'!$B$3:$C$100,2,FALSE)</f>
        <v>East</v>
      </c>
      <c r="F39">
        <v>2</v>
      </c>
      <c r="G39" s="55" t="s">
        <v>295</v>
      </c>
      <c r="H39">
        <v>145424.03</v>
      </c>
      <c r="I39">
        <v>148490.63</v>
      </c>
      <c r="J39">
        <v>-3066.6</v>
      </c>
      <c r="K39">
        <v>-2.0651808130923799</v>
      </c>
      <c r="L39">
        <v>3720</v>
      </c>
      <c r="M39">
        <v>3253</v>
      </c>
      <c r="N39">
        <v>14.355979096218899</v>
      </c>
    </row>
    <row r="40" spans="1:26" x14ac:dyDescent="0.25">
      <c r="A40">
        <f t="shared" si="0"/>
        <v>13</v>
      </c>
      <c r="B40">
        <f t="shared" si="1"/>
        <v>183</v>
      </c>
      <c r="C40">
        <v>18</v>
      </c>
      <c r="D40">
        <f>VLOOKUP(C40,'Store Database'!A:C,2,FALSE)</f>
        <v>1</v>
      </c>
      <c r="E40" t="str">
        <f>VLOOKUP(D40,'Store Database'!$B$3:$C$100,2,FALSE)</f>
        <v>East</v>
      </c>
      <c r="F40">
        <v>3</v>
      </c>
      <c r="G40" s="55" t="s">
        <v>296</v>
      </c>
      <c r="H40">
        <v>28250.12</v>
      </c>
      <c r="I40">
        <v>45988.72</v>
      </c>
      <c r="J40">
        <v>-17738.599999999999</v>
      </c>
      <c r="K40">
        <v>-38.571632348106199</v>
      </c>
      <c r="L40">
        <v>1645</v>
      </c>
      <c r="M40">
        <v>1042</v>
      </c>
      <c r="N40">
        <v>57.869481765834898</v>
      </c>
    </row>
    <row r="41" spans="1:26" x14ac:dyDescent="0.25">
      <c r="A41">
        <f t="shared" si="0"/>
        <v>14</v>
      </c>
      <c r="B41">
        <f t="shared" si="1"/>
        <v>184</v>
      </c>
      <c r="C41">
        <v>18</v>
      </c>
      <c r="D41">
        <f>VLOOKUP(C41,'Store Database'!A:C,2,FALSE)</f>
        <v>1</v>
      </c>
      <c r="E41" t="str">
        <f>VLOOKUP(D41,'Store Database'!$B$3:$C$100,2,FALSE)</f>
        <v>East</v>
      </c>
      <c r="F41">
        <v>4</v>
      </c>
      <c r="G41" s="55" t="s">
        <v>297</v>
      </c>
      <c r="H41">
        <v>249569.68</v>
      </c>
      <c r="I41">
        <v>273403.27</v>
      </c>
      <c r="J41">
        <v>-23833.59</v>
      </c>
      <c r="K41">
        <v>-8.71737561880661</v>
      </c>
      <c r="L41">
        <v>4050</v>
      </c>
      <c r="M41">
        <v>2726</v>
      </c>
      <c r="N41">
        <v>48.5693323550991</v>
      </c>
    </row>
    <row r="42" spans="1:26" x14ac:dyDescent="0.25">
      <c r="A42">
        <f t="shared" si="0"/>
        <v>15</v>
      </c>
      <c r="B42">
        <f t="shared" si="1"/>
        <v>185</v>
      </c>
      <c r="C42">
        <v>18</v>
      </c>
      <c r="D42">
        <f>VLOOKUP(C42,'Store Database'!A:C,2,FALSE)</f>
        <v>1</v>
      </c>
      <c r="E42" t="str">
        <f>VLOOKUP(D42,'Store Database'!$B$3:$C$100,2,FALSE)</f>
        <v>East</v>
      </c>
      <c r="F42">
        <v>5</v>
      </c>
      <c r="G42" s="55" t="s">
        <v>298</v>
      </c>
      <c r="H42">
        <v>297485.7</v>
      </c>
      <c r="I42">
        <v>271341.84000000003</v>
      </c>
      <c r="J42">
        <v>26143.86</v>
      </c>
      <c r="K42">
        <v>9.6350271672072392</v>
      </c>
      <c r="L42">
        <v>3807</v>
      </c>
      <c r="M42">
        <v>2883</v>
      </c>
      <c r="N42">
        <v>32.049947970863698</v>
      </c>
    </row>
    <row r="43" spans="1:26" x14ac:dyDescent="0.25">
      <c r="A43">
        <f t="shared" si="0"/>
        <v>16</v>
      </c>
      <c r="B43">
        <f t="shared" si="1"/>
        <v>186</v>
      </c>
      <c r="C43">
        <v>18</v>
      </c>
      <c r="D43">
        <f>VLOOKUP(C43,'Store Database'!A:C,2,FALSE)</f>
        <v>1</v>
      </c>
      <c r="E43" t="str">
        <f>VLOOKUP(D43,'Store Database'!$B$3:$C$100,2,FALSE)</f>
        <v>East</v>
      </c>
      <c r="F43">
        <v>6</v>
      </c>
      <c r="G43" s="55" t="s">
        <v>299</v>
      </c>
      <c r="H43">
        <v>254852.06</v>
      </c>
      <c r="I43">
        <v>286222.58</v>
      </c>
      <c r="J43">
        <v>-31370.52</v>
      </c>
      <c r="K43">
        <v>-10.9601835047396</v>
      </c>
      <c r="L43">
        <v>3471</v>
      </c>
      <c r="M43">
        <v>3335</v>
      </c>
      <c r="N43">
        <v>4.0779610194902496</v>
      </c>
    </row>
    <row r="44" spans="1:26" x14ac:dyDescent="0.25">
      <c r="A44">
        <f t="shared" si="0"/>
        <v>17</v>
      </c>
      <c r="B44">
        <f t="shared" si="1"/>
        <v>187</v>
      </c>
      <c r="C44">
        <v>18</v>
      </c>
      <c r="D44">
        <f>VLOOKUP(C44,'Store Database'!A:C,2,FALSE)</f>
        <v>1</v>
      </c>
      <c r="E44" t="str">
        <f>VLOOKUP(D44,'Store Database'!$B$3:$C$100,2,FALSE)</f>
        <v>East</v>
      </c>
      <c r="F44">
        <v>7</v>
      </c>
      <c r="G44" s="55" t="s">
        <v>300</v>
      </c>
      <c r="H44">
        <v>99395.11</v>
      </c>
      <c r="I44">
        <v>97332.29</v>
      </c>
      <c r="J44">
        <v>2062.8200000000002</v>
      </c>
      <c r="K44">
        <v>2.1193583342177602</v>
      </c>
      <c r="L44">
        <v>2511</v>
      </c>
      <c r="M44">
        <v>2186</v>
      </c>
      <c r="N44">
        <v>14.8673376029277</v>
      </c>
    </row>
    <row r="45" spans="1:26" x14ac:dyDescent="0.25">
      <c r="A45">
        <f t="shared" si="0"/>
        <v>18</v>
      </c>
      <c r="B45">
        <f t="shared" si="1"/>
        <v>188</v>
      </c>
      <c r="C45">
        <v>18</v>
      </c>
      <c r="D45">
        <f>VLOOKUP(C45,'Store Database'!A:C,2,FALSE)</f>
        <v>1</v>
      </c>
      <c r="E45" t="str">
        <f>VLOOKUP(D45,'Store Database'!$B$3:$C$100,2,FALSE)</f>
        <v>East</v>
      </c>
      <c r="F45">
        <v>8</v>
      </c>
      <c r="G45" s="55" t="s">
        <v>301</v>
      </c>
      <c r="H45">
        <v>132224.53</v>
      </c>
      <c r="I45">
        <v>138663.20000000001</v>
      </c>
      <c r="J45">
        <v>-6438.67</v>
      </c>
      <c r="K45">
        <v>-4.6433877193083699</v>
      </c>
      <c r="L45">
        <v>2244</v>
      </c>
      <c r="M45">
        <v>1916</v>
      </c>
      <c r="N45">
        <v>17.118997912317298</v>
      </c>
    </row>
    <row r="46" spans="1:26" x14ac:dyDescent="0.25">
      <c r="A46">
        <f t="shared" si="0"/>
        <v>19</v>
      </c>
      <c r="B46">
        <f t="shared" si="1"/>
        <v>189</v>
      </c>
      <c r="C46">
        <v>18</v>
      </c>
      <c r="D46">
        <f>VLOOKUP(C46,'Store Database'!A:C,2,FALSE)</f>
        <v>1</v>
      </c>
      <c r="E46" t="str">
        <f>VLOOKUP(D46,'Store Database'!$B$3:$C$100,2,FALSE)</f>
        <v>East</v>
      </c>
      <c r="F46">
        <v>9</v>
      </c>
      <c r="G46" s="55" t="s">
        <v>302</v>
      </c>
      <c r="H46">
        <v>62419.87</v>
      </c>
      <c r="I46">
        <v>63629.87</v>
      </c>
      <c r="J46">
        <v>-1210</v>
      </c>
      <c r="K46">
        <v>-1.9016226184337599</v>
      </c>
      <c r="L46">
        <v>7960</v>
      </c>
      <c r="M46">
        <v>2957</v>
      </c>
      <c r="N46">
        <v>169.191748393642</v>
      </c>
    </row>
    <row r="47" spans="1:26" x14ac:dyDescent="0.25">
      <c r="A47">
        <f t="shared" si="0"/>
        <v>21</v>
      </c>
      <c r="B47">
        <f t="shared" si="1"/>
        <v>201</v>
      </c>
      <c r="C47">
        <v>20</v>
      </c>
      <c r="D47">
        <f>VLOOKUP(C47,'Store Database'!A:C,2,FALSE)</f>
        <v>2</v>
      </c>
      <c r="E47" t="str">
        <f>VLOOKUP(D47,'Store Database'!$B$3:$C$100,2,FALSE)</f>
        <v>West</v>
      </c>
      <c r="F47">
        <v>1</v>
      </c>
      <c r="G47" s="55" t="s">
        <v>294</v>
      </c>
      <c r="H47">
        <v>118992.92</v>
      </c>
      <c r="I47">
        <v>99180.21</v>
      </c>
      <c r="J47">
        <v>19812.71</v>
      </c>
      <c r="K47">
        <v>19.976475145596101</v>
      </c>
      <c r="L47">
        <v>3625</v>
      </c>
      <c r="M47">
        <v>3215</v>
      </c>
      <c r="N47">
        <v>12.7527216174184</v>
      </c>
    </row>
    <row r="48" spans="1:26" x14ac:dyDescent="0.25">
      <c r="A48">
        <f t="shared" si="0"/>
        <v>22</v>
      </c>
      <c r="B48">
        <f t="shared" si="1"/>
        <v>202</v>
      </c>
      <c r="C48">
        <v>20</v>
      </c>
      <c r="D48">
        <f>VLOOKUP(C48,'Store Database'!A:C,2,FALSE)</f>
        <v>2</v>
      </c>
      <c r="E48" t="str">
        <f>VLOOKUP(D48,'Store Database'!$B$3:$C$100,2,FALSE)</f>
        <v>West</v>
      </c>
      <c r="F48">
        <v>2</v>
      </c>
      <c r="G48" s="55" t="s">
        <v>295</v>
      </c>
      <c r="H48">
        <v>74767.58</v>
      </c>
      <c r="I48">
        <v>76052.81</v>
      </c>
      <c r="J48">
        <v>-1285.23</v>
      </c>
      <c r="K48">
        <v>-1.6899178347256301</v>
      </c>
      <c r="L48">
        <v>2767</v>
      </c>
      <c r="M48">
        <v>2417</v>
      </c>
      <c r="N48">
        <v>14.480761274307</v>
      </c>
    </row>
    <row r="49" spans="1:14" x14ac:dyDescent="0.25">
      <c r="A49">
        <f t="shared" si="0"/>
        <v>23</v>
      </c>
      <c r="B49">
        <f t="shared" si="1"/>
        <v>203</v>
      </c>
      <c r="C49">
        <v>20</v>
      </c>
      <c r="D49">
        <f>VLOOKUP(C49,'Store Database'!A:C,2,FALSE)</f>
        <v>2</v>
      </c>
      <c r="E49" t="str">
        <f>VLOOKUP(D49,'Store Database'!$B$3:$C$100,2,FALSE)</f>
        <v>West</v>
      </c>
      <c r="F49">
        <v>3</v>
      </c>
      <c r="G49" s="55" t="s">
        <v>296</v>
      </c>
      <c r="H49">
        <v>18535.13</v>
      </c>
      <c r="I49">
        <v>20128.23</v>
      </c>
      <c r="J49">
        <v>-1593.1</v>
      </c>
      <c r="K49">
        <v>-7.9147545511950099</v>
      </c>
      <c r="L49">
        <v>1034</v>
      </c>
      <c r="M49">
        <v>703</v>
      </c>
      <c r="N49">
        <v>47.083926031294496</v>
      </c>
    </row>
    <row r="50" spans="1:14" x14ac:dyDescent="0.25">
      <c r="A50">
        <f t="shared" si="0"/>
        <v>24</v>
      </c>
      <c r="B50">
        <f t="shared" si="1"/>
        <v>204</v>
      </c>
      <c r="C50">
        <v>20</v>
      </c>
      <c r="D50">
        <f>VLOOKUP(C50,'Store Database'!A:C,2,FALSE)</f>
        <v>2</v>
      </c>
      <c r="E50" t="str">
        <f>VLOOKUP(D50,'Store Database'!$B$3:$C$100,2,FALSE)</f>
        <v>West</v>
      </c>
      <c r="F50">
        <v>4</v>
      </c>
      <c r="G50" s="55" t="s">
        <v>297</v>
      </c>
      <c r="H50">
        <v>147108.54</v>
      </c>
      <c r="I50">
        <v>151206.65</v>
      </c>
      <c r="J50">
        <v>-4098.1099999999997</v>
      </c>
      <c r="K50">
        <v>-2.7102710099059801</v>
      </c>
      <c r="L50">
        <v>2863</v>
      </c>
      <c r="M50">
        <v>2338</v>
      </c>
      <c r="N50">
        <v>22.455089820359301</v>
      </c>
    </row>
    <row r="51" spans="1:14" x14ac:dyDescent="0.25">
      <c r="A51">
        <f t="shared" si="0"/>
        <v>25</v>
      </c>
      <c r="B51">
        <f t="shared" si="1"/>
        <v>205</v>
      </c>
      <c r="C51">
        <v>20</v>
      </c>
      <c r="D51">
        <f>VLOOKUP(C51,'Store Database'!A:C,2,FALSE)</f>
        <v>2</v>
      </c>
      <c r="E51" t="str">
        <f>VLOOKUP(D51,'Store Database'!$B$3:$C$100,2,FALSE)</f>
        <v>West</v>
      </c>
      <c r="F51">
        <v>5</v>
      </c>
      <c r="G51" s="55" t="s">
        <v>298</v>
      </c>
      <c r="H51">
        <v>134052.5</v>
      </c>
      <c r="I51">
        <v>111774.52</v>
      </c>
      <c r="J51">
        <v>22277.98</v>
      </c>
      <c r="K51">
        <v>19.9311793063392</v>
      </c>
      <c r="L51">
        <v>2947</v>
      </c>
      <c r="M51">
        <v>2467</v>
      </c>
      <c r="N51">
        <v>19.456830158086699</v>
      </c>
    </row>
    <row r="52" spans="1:14" x14ac:dyDescent="0.25">
      <c r="A52">
        <f t="shared" si="0"/>
        <v>26</v>
      </c>
      <c r="B52">
        <f t="shared" si="1"/>
        <v>206</v>
      </c>
      <c r="C52">
        <v>20</v>
      </c>
      <c r="D52">
        <f>VLOOKUP(C52,'Store Database'!A:C,2,FALSE)</f>
        <v>2</v>
      </c>
      <c r="E52" t="str">
        <f>VLOOKUP(D52,'Store Database'!$B$3:$C$100,2,FALSE)</f>
        <v>West</v>
      </c>
      <c r="F52">
        <v>6</v>
      </c>
      <c r="G52" s="55" t="s">
        <v>299</v>
      </c>
      <c r="H52">
        <v>126195.73</v>
      </c>
      <c r="I52">
        <v>114684.43</v>
      </c>
      <c r="J52">
        <v>11511.3</v>
      </c>
      <c r="K52">
        <v>10.0373695016839</v>
      </c>
      <c r="L52">
        <v>1942</v>
      </c>
      <c r="M52">
        <v>2048</v>
      </c>
      <c r="N52">
        <v>-5.17578125</v>
      </c>
    </row>
    <row r="53" spans="1:14" x14ac:dyDescent="0.25">
      <c r="A53">
        <f t="shared" si="0"/>
        <v>27</v>
      </c>
      <c r="B53">
        <f t="shared" si="1"/>
        <v>207</v>
      </c>
      <c r="C53">
        <v>20</v>
      </c>
      <c r="D53">
        <f>VLOOKUP(C53,'Store Database'!A:C,2,FALSE)</f>
        <v>2</v>
      </c>
      <c r="E53" t="str">
        <f>VLOOKUP(D53,'Store Database'!$B$3:$C$100,2,FALSE)</f>
        <v>West</v>
      </c>
      <c r="F53">
        <v>7</v>
      </c>
      <c r="G53" s="55" t="s">
        <v>300</v>
      </c>
      <c r="H53">
        <v>53280.62</v>
      </c>
      <c r="I53">
        <v>42749.73</v>
      </c>
      <c r="J53">
        <v>10530.89</v>
      </c>
      <c r="K53">
        <v>24.633816400711801</v>
      </c>
      <c r="L53">
        <v>1954</v>
      </c>
      <c r="M53">
        <v>1543</v>
      </c>
      <c r="N53">
        <v>26.636422553467298</v>
      </c>
    </row>
    <row r="54" spans="1:14" x14ac:dyDescent="0.25">
      <c r="A54">
        <f t="shared" si="0"/>
        <v>28</v>
      </c>
      <c r="B54">
        <f t="shared" si="1"/>
        <v>208</v>
      </c>
      <c r="C54">
        <v>20</v>
      </c>
      <c r="D54">
        <f>VLOOKUP(C54,'Store Database'!A:C,2,FALSE)</f>
        <v>2</v>
      </c>
      <c r="E54" t="str">
        <f>VLOOKUP(D54,'Store Database'!$B$3:$C$100,2,FALSE)</f>
        <v>West</v>
      </c>
      <c r="F54">
        <v>8</v>
      </c>
      <c r="G54" s="55" t="s">
        <v>301</v>
      </c>
      <c r="H54">
        <v>78935.59</v>
      </c>
      <c r="I54">
        <v>68939.03</v>
      </c>
      <c r="J54">
        <v>9996.56</v>
      </c>
      <c r="K54">
        <v>14.5005811657054</v>
      </c>
      <c r="L54">
        <v>1599</v>
      </c>
      <c r="M54">
        <v>1343</v>
      </c>
      <c r="N54">
        <v>19.061801935964301</v>
      </c>
    </row>
    <row r="55" spans="1:14" x14ac:dyDescent="0.25">
      <c r="A55">
        <f t="shared" si="0"/>
        <v>29</v>
      </c>
      <c r="B55">
        <f t="shared" si="1"/>
        <v>209</v>
      </c>
      <c r="C55">
        <v>20</v>
      </c>
      <c r="D55">
        <f>VLOOKUP(C55,'Store Database'!A:C,2,FALSE)</f>
        <v>2</v>
      </c>
      <c r="E55" t="str">
        <f>VLOOKUP(D55,'Store Database'!$B$3:$C$100,2,FALSE)</f>
        <v>West</v>
      </c>
      <c r="F55">
        <v>9</v>
      </c>
      <c r="G55" s="55" t="s">
        <v>302</v>
      </c>
      <c r="H55">
        <v>25066.1</v>
      </c>
      <c r="I55">
        <v>23304.880000000001</v>
      </c>
      <c r="J55">
        <v>1761.22</v>
      </c>
      <c r="K55">
        <v>7.5573013034179999</v>
      </c>
      <c r="L55">
        <v>6593</v>
      </c>
      <c r="M55">
        <v>2891</v>
      </c>
      <c r="N55">
        <v>128.05257696298901</v>
      </c>
    </row>
    <row r="56" spans="1:14" x14ac:dyDescent="0.25">
      <c r="A56">
        <f t="shared" si="0"/>
        <v>31</v>
      </c>
      <c r="B56">
        <f t="shared" si="1"/>
        <v>221</v>
      </c>
      <c r="C56">
        <v>22</v>
      </c>
      <c r="D56">
        <f>VLOOKUP(C56,'Store Database'!A:C,2,FALSE)</f>
        <v>3</v>
      </c>
      <c r="E56" t="str">
        <f>VLOOKUP(D56,'Store Database'!$B$3:$C$100,2,FALSE)</f>
        <v>North</v>
      </c>
      <c r="F56">
        <v>1</v>
      </c>
      <c r="G56" s="55" t="s">
        <v>294</v>
      </c>
      <c r="H56">
        <v>145675.89000000001</v>
      </c>
      <c r="I56">
        <v>91823.63</v>
      </c>
      <c r="J56">
        <v>53852.26</v>
      </c>
      <c r="K56">
        <v>58.647496292621</v>
      </c>
      <c r="L56">
        <v>2089</v>
      </c>
      <c r="M56">
        <v>1786</v>
      </c>
      <c r="N56">
        <v>16.965285554311301</v>
      </c>
    </row>
    <row r="57" spans="1:14" x14ac:dyDescent="0.25">
      <c r="A57">
        <f t="shared" si="0"/>
        <v>32</v>
      </c>
      <c r="B57">
        <f t="shared" si="1"/>
        <v>222</v>
      </c>
      <c r="C57">
        <v>22</v>
      </c>
      <c r="D57">
        <f>VLOOKUP(C57,'Store Database'!A:C,2,FALSE)</f>
        <v>3</v>
      </c>
      <c r="E57" t="str">
        <f>VLOOKUP(D57,'Store Database'!$B$3:$C$100,2,FALSE)</f>
        <v>North</v>
      </c>
      <c r="F57">
        <v>2</v>
      </c>
      <c r="G57" s="55" t="s">
        <v>295</v>
      </c>
      <c r="H57">
        <v>114168.04</v>
      </c>
      <c r="I57">
        <v>133109.31</v>
      </c>
      <c r="J57">
        <v>-18941.27</v>
      </c>
      <c r="K57">
        <v>-14.229861156969401</v>
      </c>
      <c r="L57">
        <v>2668</v>
      </c>
      <c r="M57">
        <v>2130</v>
      </c>
      <c r="N57">
        <v>25.258215962441298</v>
      </c>
    </row>
    <row r="58" spans="1:14" x14ac:dyDescent="0.25">
      <c r="A58">
        <f t="shared" si="0"/>
        <v>33</v>
      </c>
      <c r="B58">
        <f t="shared" si="1"/>
        <v>223</v>
      </c>
      <c r="C58">
        <v>22</v>
      </c>
      <c r="D58">
        <f>VLOOKUP(C58,'Store Database'!A:C,2,FALSE)</f>
        <v>3</v>
      </c>
      <c r="E58" t="str">
        <f>VLOOKUP(D58,'Store Database'!$B$3:$C$100,2,FALSE)</f>
        <v>North</v>
      </c>
      <c r="F58">
        <v>3</v>
      </c>
      <c r="G58" s="55" t="s">
        <v>296</v>
      </c>
      <c r="H58">
        <v>24995.56</v>
      </c>
      <c r="I58">
        <v>29779.35</v>
      </c>
      <c r="J58">
        <v>-4783.79</v>
      </c>
      <c r="K58">
        <v>-16.0641182564428</v>
      </c>
      <c r="L58">
        <v>1147</v>
      </c>
      <c r="M58">
        <v>557</v>
      </c>
      <c r="N58">
        <v>105.924596050269</v>
      </c>
    </row>
    <row r="59" spans="1:14" x14ac:dyDescent="0.25">
      <c r="A59">
        <f t="shared" si="0"/>
        <v>34</v>
      </c>
      <c r="B59">
        <f t="shared" si="1"/>
        <v>224</v>
      </c>
      <c r="C59">
        <v>22</v>
      </c>
      <c r="D59">
        <f>VLOOKUP(C59,'Store Database'!A:C,2,FALSE)</f>
        <v>3</v>
      </c>
      <c r="E59" t="str">
        <f>VLOOKUP(D59,'Store Database'!$B$3:$C$100,2,FALSE)</f>
        <v>North</v>
      </c>
      <c r="F59">
        <v>4</v>
      </c>
      <c r="G59" s="55" t="s">
        <v>297</v>
      </c>
      <c r="H59">
        <v>196821.92</v>
      </c>
      <c r="I59">
        <v>210225.75</v>
      </c>
      <c r="J59">
        <v>-13403.83</v>
      </c>
      <c r="K59">
        <v>-6.3759220742463798</v>
      </c>
      <c r="L59">
        <v>3164</v>
      </c>
      <c r="M59">
        <v>2445</v>
      </c>
      <c r="N59">
        <v>29.406952965235199</v>
      </c>
    </row>
    <row r="60" spans="1:14" x14ac:dyDescent="0.25">
      <c r="A60">
        <f t="shared" si="0"/>
        <v>35</v>
      </c>
      <c r="B60">
        <f t="shared" si="1"/>
        <v>225</v>
      </c>
      <c r="C60">
        <v>22</v>
      </c>
      <c r="D60">
        <f>VLOOKUP(C60,'Store Database'!A:C,2,FALSE)</f>
        <v>3</v>
      </c>
      <c r="E60" t="str">
        <f>VLOOKUP(D60,'Store Database'!$B$3:$C$100,2,FALSE)</f>
        <v>North</v>
      </c>
      <c r="F60">
        <v>5</v>
      </c>
      <c r="G60" s="55" t="s">
        <v>298</v>
      </c>
      <c r="H60">
        <v>187240.47</v>
      </c>
      <c r="I60">
        <v>158347.96</v>
      </c>
      <c r="J60">
        <v>28892.51</v>
      </c>
      <c r="K60">
        <v>18.246215486451501</v>
      </c>
      <c r="L60">
        <v>2595</v>
      </c>
      <c r="M60">
        <v>2309</v>
      </c>
      <c r="N60">
        <v>12.386314421827601</v>
      </c>
    </row>
    <row r="61" spans="1:14" x14ac:dyDescent="0.25">
      <c r="A61">
        <f t="shared" si="0"/>
        <v>36</v>
      </c>
      <c r="B61">
        <f t="shared" si="1"/>
        <v>226</v>
      </c>
      <c r="C61">
        <v>22</v>
      </c>
      <c r="D61">
        <f>VLOOKUP(C61,'Store Database'!A:C,2,FALSE)</f>
        <v>3</v>
      </c>
      <c r="E61" t="str">
        <f>VLOOKUP(D61,'Store Database'!$B$3:$C$100,2,FALSE)</f>
        <v>North</v>
      </c>
      <c r="F61">
        <v>6</v>
      </c>
      <c r="G61" s="55" t="s">
        <v>299</v>
      </c>
      <c r="H61">
        <v>180446.98</v>
      </c>
      <c r="I61">
        <v>178411.96</v>
      </c>
      <c r="J61">
        <v>2035.02</v>
      </c>
      <c r="K61">
        <v>1.1406298097952601</v>
      </c>
      <c r="L61">
        <v>2115</v>
      </c>
      <c r="M61">
        <v>2003</v>
      </c>
      <c r="N61">
        <v>5.5916125811283104</v>
      </c>
    </row>
    <row r="62" spans="1:14" x14ac:dyDescent="0.25">
      <c r="A62">
        <f t="shared" si="0"/>
        <v>37</v>
      </c>
      <c r="B62">
        <f t="shared" si="1"/>
        <v>227</v>
      </c>
      <c r="C62">
        <v>22</v>
      </c>
      <c r="D62">
        <f>VLOOKUP(C62,'Store Database'!A:C,2,FALSE)</f>
        <v>3</v>
      </c>
      <c r="E62" t="str">
        <f>VLOOKUP(D62,'Store Database'!$B$3:$C$100,2,FALSE)</f>
        <v>North</v>
      </c>
      <c r="F62">
        <v>7</v>
      </c>
      <c r="G62" s="55" t="s">
        <v>300</v>
      </c>
      <c r="H62">
        <v>78259.78</v>
      </c>
      <c r="I62">
        <v>68695.820000000007</v>
      </c>
      <c r="J62">
        <v>9563.9599999999991</v>
      </c>
      <c r="K62">
        <v>13.9221862407349</v>
      </c>
      <c r="L62">
        <v>1979</v>
      </c>
      <c r="M62">
        <v>1435</v>
      </c>
      <c r="N62">
        <v>37.909407665505199</v>
      </c>
    </row>
    <row r="63" spans="1:14" x14ac:dyDescent="0.25">
      <c r="A63">
        <f t="shared" si="0"/>
        <v>38</v>
      </c>
      <c r="B63">
        <f t="shared" si="1"/>
        <v>228</v>
      </c>
      <c r="C63">
        <v>22</v>
      </c>
      <c r="D63">
        <f>VLOOKUP(C63,'Store Database'!A:C,2,FALSE)</f>
        <v>3</v>
      </c>
      <c r="E63" t="str">
        <f>VLOOKUP(D63,'Store Database'!$B$3:$C$100,2,FALSE)</f>
        <v>North</v>
      </c>
      <c r="F63">
        <v>8</v>
      </c>
      <c r="G63" s="55" t="s">
        <v>301</v>
      </c>
      <c r="H63">
        <v>91392.81</v>
      </c>
      <c r="I63">
        <v>100511.22</v>
      </c>
      <c r="J63">
        <v>-9118.41</v>
      </c>
      <c r="K63">
        <v>-9.0720319582231692</v>
      </c>
      <c r="L63">
        <v>1678</v>
      </c>
      <c r="M63">
        <v>1408</v>
      </c>
      <c r="N63">
        <v>19.176136363636402</v>
      </c>
    </row>
    <row r="64" spans="1:14" x14ac:dyDescent="0.25">
      <c r="A64">
        <f t="shared" si="0"/>
        <v>39</v>
      </c>
      <c r="B64">
        <f t="shared" si="1"/>
        <v>229</v>
      </c>
      <c r="C64">
        <v>22</v>
      </c>
      <c r="D64">
        <f>VLOOKUP(C64,'Store Database'!A:C,2,FALSE)</f>
        <v>3</v>
      </c>
      <c r="E64" t="str">
        <f>VLOOKUP(D64,'Store Database'!$B$3:$C$100,2,FALSE)</f>
        <v>North</v>
      </c>
      <c r="F64">
        <v>9</v>
      </c>
      <c r="G64" s="55" t="s">
        <v>302</v>
      </c>
      <c r="H64">
        <v>34451.760000000002</v>
      </c>
      <c r="I64">
        <v>32075.47</v>
      </c>
      <c r="J64">
        <v>2376.29</v>
      </c>
      <c r="K64">
        <v>7.4084339216229704</v>
      </c>
      <c r="L64">
        <v>5865</v>
      </c>
      <c r="M64">
        <v>2455</v>
      </c>
      <c r="N64">
        <v>138.90020366598802</v>
      </c>
    </row>
    <row r="65" spans="1:14" x14ac:dyDescent="0.25">
      <c r="A65">
        <f t="shared" si="0"/>
        <v>41</v>
      </c>
      <c r="B65">
        <f t="shared" si="1"/>
        <v>231</v>
      </c>
      <c r="C65">
        <v>23</v>
      </c>
      <c r="D65">
        <f>VLOOKUP(C65,'Store Database'!A:C,2,FALSE)</f>
        <v>4</v>
      </c>
      <c r="E65" t="str">
        <f>VLOOKUP(D65,'Store Database'!$B$3:$C$100,2,FALSE)</f>
        <v>South</v>
      </c>
      <c r="F65">
        <v>1</v>
      </c>
      <c r="G65" s="55" t="s">
        <v>294</v>
      </c>
      <c r="H65">
        <v>120296.54</v>
      </c>
      <c r="I65">
        <v>103335.73</v>
      </c>
      <c r="J65">
        <v>16960.810000000001</v>
      </c>
      <c r="K65">
        <v>16.413306413957699</v>
      </c>
      <c r="L65">
        <v>2490</v>
      </c>
      <c r="M65">
        <v>2475</v>
      </c>
      <c r="N65">
        <v>0.60606060606060597</v>
      </c>
    </row>
    <row r="66" spans="1:14" x14ac:dyDescent="0.25">
      <c r="A66">
        <f t="shared" si="0"/>
        <v>42</v>
      </c>
      <c r="B66">
        <f t="shared" si="1"/>
        <v>232</v>
      </c>
      <c r="C66">
        <v>23</v>
      </c>
      <c r="D66">
        <f>VLOOKUP(C66,'Store Database'!A:C,2,FALSE)</f>
        <v>4</v>
      </c>
      <c r="E66" t="str">
        <f>VLOOKUP(D66,'Store Database'!$B$3:$C$100,2,FALSE)</f>
        <v>South</v>
      </c>
      <c r="F66">
        <v>2</v>
      </c>
      <c r="G66" s="55" t="s">
        <v>295</v>
      </c>
      <c r="H66">
        <v>81325.47</v>
      </c>
      <c r="I66">
        <v>83960.73</v>
      </c>
      <c r="J66">
        <v>-2635.26</v>
      </c>
      <c r="K66">
        <v>-3.13868161937134</v>
      </c>
      <c r="L66">
        <v>2197</v>
      </c>
      <c r="M66">
        <v>1915</v>
      </c>
      <c r="N66">
        <v>14.725848563968698</v>
      </c>
    </row>
    <row r="67" spans="1:14" x14ac:dyDescent="0.25">
      <c r="A67">
        <f t="shared" ref="A67:A130" si="27">VALUE(CONCATENATE(D67,F67))</f>
        <v>43</v>
      </c>
      <c r="B67">
        <f t="shared" ref="B67:B130" si="28">VALUE(CONCATENATE(C67,F67))</f>
        <v>233</v>
      </c>
      <c r="C67">
        <v>23</v>
      </c>
      <c r="D67">
        <f>VLOOKUP(C67,'Store Database'!A:C,2,FALSE)</f>
        <v>4</v>
      </c>
      <c r="E67" t="str">
        <f>VLOOKUP(D67,'Store Database'!$B$3:$C$100,2,FALSE)</f>
        <v>South</v>
      </c>
      <c r="F67">
        <v>3</v>
      </c>
      <c r="G67" s="55" t="s">
        <v>296</v>
      </c>
      <c r="H67">
        <v>11608.77</v>
      </c>
      <c r="I67">
        <v>13943.32</v>
      </c>
      <c r="J67">
        <v>-2334.5500000000002</v>
      </c>
      <c r="K67">
        <v>-16.7431429530413</v>
      </c>
      <c r="L67">
        <v>500</v>
      </c>
      <c r="M67">
        <v>360</v>
      </c>
      <c r="N67">
        <v>38.8888888888889</v>
      </c>
    </row>
    <row r="68" spans="1:14" x14ac:dyDescent="0.25">
      <c r="A68">
        <f t="shared" si="27"/>
        <v>44</v>
      </c>
      <c r="B68">
        <f t="shared" si="28"/>
        <v>234</v>
      </c>
      <c r="C68">
        <v>23</v>
      </c>
      <c r="D68">
        <f>VLOOKUP(C68,'Store Database'!A:C,2,FALSE)</f>
        <v>4</v>
      </c>
      <c r="E68" t="str">
        <f>VLOOKUP(D68,'Store Database'!$B$3:$C$100,2,FALSE)</f>
        <v>South</v>
      </c>
      <c r="F68">
        <v>4</v>
      </c>
      <c r="G68" s="55" t="s">
        <v>297</v>
      </c>
      <c r="H68">
        <v>121486.39999999999</v>
      </c>
      <c r="I68">
        <v>127619.53</v>
      </c>
      <c r="J68">
        <v>-6133.13</v>
      </c>
      <c r="K68">
        <v>-4.8057926557165702</v>
      </c>
      <c r="L68">
        <v>2216</v>
      </c>
      <c r="M68">
        <v>1626</v>
      </c>
      <c r="N68">
        <v>36.285362853628499</v>
      </c>
    </row>
    <row r="69" spans="1:14" x14ac:dyDescent="0.25">
      <c r="A69">
        <f t="shared" si="27"/>
        <v>45</v>
      </c>
      <c r="B69">
        <f t="shared" si="28"/>
        <v>235</v>
      </c>
      <c r="C69">
        <v>23</v>
      </c>
      <c r="D69">
        <f>VLOOKUP(C69,'Store Database'!A:C,2,FALSE)</f>
        <v>4</v>
      </c>
      <c r="E69" t="str">
        <f>VLOOKUP(D69,'Store Database'!$B$3:$C$100,2,FALSE)</f>
        <v>South</v>
      </c>
      <c r="F69">
        <v>5</v>
      </c>
      <c r="G69" s="55" t="s">
        <v>298</v>
      </c>
      <c r="H69">
        <v>144659.35</v>
      </c>
      <c r="I69">
        <v>133032.07</v>
      </c>
      <c r="J69">
        <v>11627.28</v>
      </c>
      <c r="K69">
        <v>8.7402082821082203</v>
      </c>
      <c r="L69">
        <v>2301</v>
      </c>
      <c r="M69">
        <v>2217</v>
      </c>
      <c r="N69">
        <v>3.7889039242219202</v>
      </c>
    </row>
    <row r="70" spans="1:14" x14ac:dyDescent="0.25">
      <c r="A70">
        <f t="shared" si="27"/>
        <v>46</v>
      </c>
      <c r="B70">
        <f t="shared" si="28"/>
        <v>236</v>
      </c>
      <c r="C70">
        <v>23</v>
      </c>
      <c r="D70">
        <f>VLOOKUP(C70,'Store Database'!A:C,2,FALSE)</f>
        <v>4</v>
      </c>
      <c r="E70" t="str">
        <f>VLOOKUP(D70,'Store Database'!$B$3:$C$100,2,FALSE)</f>
        <v>South</v>
      </c>
      <c r="F70">
        <v>6</v>
      </c>
      <c r="G70" s="55" t="s">
        <v>299</v>
      </c>
      <c r="H70">
        <v>112811.46</v>
      </c>
      <c r="I70">
        <v>104438.23</v>
      </c>
      <c r="J70">
        <v>8373.23</v>
      </c>
      <c r="K70">
        <v>8.0173993756883792</v>
      </c>
      <c r="L70">
        <v>1446</v>
      </c>
      <c r="M70">
        <v>1326</v>
      </c>
      <c r="N70">
        <v>9.0497737556561102</v>
      </c>
    </row>
    <row r="71" spans="1:14" x14ac:dyDescent="0.25">
      <c r="A71">
        <f t="shared" si="27"/>
        <v>47</v>
      </c>
      <c r="B71">
        <f t="shared" si="28"/>
        <v>237</v>
      </c>
      <c r="C71">
        <v>23</v>
      </c>
      <c r="D71">
        <f>VLOOKUP(C71,'Store Database'!A:C,2,FALSE)</f>
        <v>4</v>
      </c>
      <c r="E71" t="str">
        <f>VLOOKUP(D71,'Store Database'!$B$3:$C$100,2,FALSE)</f>
        <v>South</v>
      </c>
      <c r="F71">
        <v>7</v>
      </c>
      <c r="G71" s="55" t="s">
        <v>300</v>
      </c>
      <c r="H71">
        <v>61041.01</v>
      </c>
      <c r="I71">
        <v>50701.120000000003</v>
      </c>
      <c r="J71">
        <v>10339.89</v>
      </c>
      <c r="K71">
        <v>20.393809840887101</v>
      </c>
      <c r="L71">
        <v>1467</v>
      </c>
      <c r="M71">
        <v>1247</v>
      </c>
      <c r="N71">
        <v>17.642341619887699</v>
      </c>
    </row>
    <row r="72" spans="1:14" x14ac:dyDescent="0.25">
      <c r="A72">
        <f t="shared" si="27"/>
        <v>48</v>
      </c>
      <c r="B72">
        <f t="shared" si="28"/>
        <v>238</v>
      </c>
      <c r="C72">
        <v>23</v>
      </c>
      <c r="D72">
        <f>VLOOKUP(C72,'Store Database'!A:C,2,FALSE)</f>
        <v>4</v>
      </c>
      <c r="E72" t="str">
        <f>VLOOKUP(D72,'Store Database'!$B$3:$C$100,2,FALSE)</f>
        <v>South</v>
      </c>
      <c r="F72">
        <v>8</v>
      </c>
      <c r="G72" s="55" t="s">
        <v>301</v>
      </c>
      <c r="H72">
        <v>73520.649999999994</v>
      </c>
      <c r="I72">
        <v>70309.89</v>
      </c>
      <c r="J72">
        <v>3210.76</v>
      </c>
      <c r="K72">
        <v>4.56658373381042</v>
      </c>
      <c r="L72">
        <v>1594</v>
      </c>
      <c r="M72">
        <v>1281</v>
      </c>
      <c r="N72">
        <v>24.434035909445701</v>
      </c>
    </row>
    <row r="73" spans="1:14" x14ac:dyDescent="0.25">
      <c r="A73">
        <f t="shared" si="27"/>
        <v>49</v>
      </c>
      <c r="B73">
        <f t="shared" si="28"/>
        <v>239</v>
      </c>
      <c r="C73">
        <v>23</v>
      </c>
      <c r="D73">
        <f>VLOOKUP(C73,'Store Database'!A:C,2,FALSE)</f>
        <v>4</v>
      </c>
      <c r="E73" t="str">
        <f>VLOOKUP(D73,'Store Database'!$B$3:$C$100,2,FALSE)</f>
        <v>South</v>
      </c>
      <c r="F73">
        <v>9</v>
      </c>
      <c r="G73" s="55" t="s">
        <v>302</v>
      </c>
      <c r="H73">
        <v>22795.26</v>
      </c>
      <c r="I73">
        <v>23224.94</v>
      </c>
      <c r="J73">
        <v>-429.68</v>
      </c>
      <c r="K73">
        <v>-1.8500801293781599</v>
      </c>
      <c r="L73">
        <v>3650</v>
      </c>
      <c r="M73">
        <v>2022</v>
      </c>
      <c r="N73">
        <v>80.514342235410496</v>
      </c>
    </row>
    <row r="74" spans="1:14" x14ac:dyDescent="0.25">
      <c r="A74">
        <f t="shared" si="27"/>
        <v>11</v>
      </c>
      <c r="B74">
        <f t="shared" si="28"/>
        <v>251</v>
      </c>
      <c r="C74">
        <v>25</v>
      </c>
      <c r="D74">
        <f>VLOOKUP(C74,'Store Database'!A:C,2,FALSE)</f>
        <v>1</v>
      </c>
      <c r="E74" t="str">
        <f>VLOOKUP(D74,'Store Database'!$B$3:$C$100,2,FALSE)</f>
        <v>East</v>
      </c>
      <c r="F74">
        <v>1</v>
      </c>
      <c r="G74" s="55" t="s">
        <v>294</v>
      </c>
      <c r="H74">
        <v>179918.53</v>
      </c>
      <c r="I74">
        <v>174837.4</v>
      </c>
      <c r="J74">
        <v>5081.13</v>
      </c>
      <c r="K74">
        <v>2.90620313502717</v>
      </c>
      <c r="L74">
        <v>3513</v>
      </c>
      <c r="M74">
        <v>3187</v>
      </c>
      <c r="N74">
        <v>10.229055538123601</v>
      </c>
    </row>
    <row r="75" spans="1:14" x14ac:dyDescent="0.25">
      <c r="A75">
        <f t="shared" si="27"/>
        <v>12</v>
      </c>
      <c r="B75">
        <f t="shared" si="28"/>
        <v>252</v>
      </c>
      <c r="C75">
        <v>25</v>
      </c>
      <c r="D75">
        <f>VLOOKUP(C75,'Store Database'!A:C,2,FALSE)</f>
        <v>1</v>
      </c>
      <c r="E75" t="str">
        <f>VLOOKUP(D75,'Store Database'!$B$3:$C$100,2,FALSE)</f>
        <v>East</v>
      </c>
      <c r="F75">
        <v>2</v>
      </c>
      <c r="G75" s="55" t="s">
        <v>295</v>
      </c>
      <c r="H75">
        <v>117684.46</v>
      </c>
      <c r="I75">
        <v>128369.33</v>
      </c>
      <c r="J75">
        <v>-10684.87</v>
      </c>
      <c r="K75">
        <v>-8.3235380289045704</v>
      </c>
      <c r="L75">
        <v>2775</v>
      </c>
      <c r="M75">
        <v>2324</v>
      </c>
      <c r="N75">
        <v>19.406196213425101</v>
      </c>
    </row>
    <row r="76" spans="1:14" x14ac:dyDescent="0.25">
      <c r="A76">
        <f t="shared" si="27"/>
        <v>13</v>
      </c>
      <c r="B76">
        <f t="shared" si="28"/>
        <v>253</v>
      </c>
      <c r="C76">
        <v>25</v>
      </c>
      <c r="D76">
        <f>VLOOKUP(C76,'Store Database'!A:C,2,FALSE)</f>
        <v>1</v>
      </c>
      <c r="E76" t="str">
        <f>VLOOKUP(D76,'Store Database'!$B$3:$C$100,2,FALSE)</f>
        <v>East</v>
      </c>
      <c r="F76">
        <v>3</v>
      </c>
      <c r="G76" s="55" t="s">
        <v>296</v>
      </c>
      <c r="H76">
        <v>14445.51</v>
      </c>
      <c r="I76">
        <v>16693.61</v>
      </c>
      <c r="J76">
        <v>-2248.1</v>
      </c>
      <c r="K76">
        <v>-13.4668295233925</v>
      </c>
      <c r="L76">
        <v>586</v>
      </c>
      <c r="M76">
        <v>387</v>
      </c>
      <c r="N76">
        <v>51.421188630491002</v>
      </c>
    </row>
    <row r="77" spans="1:14" x14ac:dyDescent="0.25">
      <c r="A77">
        <f t="shared" si="27"/>
        <v>14</v>
      </c>
      <c r="B77">
        <f t="shared" si="28"/>
        <v>254</v>
      </c>
      <c r="C77">
        <v>25</v>
      </c>
      <c r="D77">
        <f>VLOOKUP(C77,'Store Database'!A:C,2,FALSE)</f>
        <v>1</v>
      </c>
      <c r="E77" t="str">
        <f>VLOOKUP(D77,'Store Database'!$B$3:$C$100,2,FALSE)</f>
        <v>East</v>
      </c>
      <c r="F77">
        <v>4</v>
      </c>
      <c r="G77" s="55" t="s">
        <v>297</v>
      </c>
      <c r="H77">
        <v>175726.45</v>
      </c>
      <c r="I77">
        <v>203020.62</v>
      </c>
      <c r="J77">
        <v>-27294.17</v>
      </c>
      <c r="K77">
        <v>-13.4440383444795</v>
      </c>
      <c r="L77">
        <v>3316</v>
      </c>
      <c r="M77">
        <v>2091</v>
      </c>
      <c r="N77">
        <v>58.584409373505494</v>
      </c>
    </row>
    <row r="78" spans="1:14" x14ac:dyDescent="0.25">
      <c r="A78">
        <f t="shared" si="27"/>
        <v>15</v>
      </c>
      <c r="B78">
        <f t="shared" si="28"/>
        <v>255</v>
      </c>
      <c r="C78">
        <v>25</v>
      </c>
      <c r="D78">
        <f>VLOOKUP(C78,'Store Database'!A:C,2,FALSE)</f>
        <v>1</v>
      </c>
      <c r="E78" t="str">
        <f>VLOOKUP(D78,'Store Database'!$B$3:$C$100,2,FALSE)</f>
        <v>East</v>
      </c>
      <c r="F78">
        <v>5</v>
      </c>
      <c r="G78" s="55" t="s">
        <v>298</v>
      </c>
      <c r="H78">
        <v>205987.63</v>
      </c>
      <c r="I78">
        <v>191785.58</v>
      </c>
      <c r="J78">
        <v>14202.05</v>
      </c>
      <c r="K78">
        <v>7.4051709205665999</v>
      </c>
      <c r="L78">
        <v>2608</v>
      </c>
      <c r="M78">
        <v>2517</v>
      </c>
      <c r="N78">
        <v>3.61541517679778</v>
      </c>
    </row>
    <row r="79" spans="1:14" x14ac:dyDescent="0.25">
      <c r="A79">
        <f t="shared" si="27"/>
        <v>16</v>
      </c>
      <c r="B79">
        <f t="shared" si="28"/>
        <v>256</v>
      </c>
      <c r="C79">
        <v>25</v>
      </c>
      <c r="D79">
        <f>VLOOKUP(C79,'Store Database'!A:C,2,FALSE)</f>
        <v>1</v>
      </c>
      <c r="E79" t="str">
        <f>VLOOKUP(D79,'Store Database'!$B$3:$C$100,2,FALSE)</f>
        <v>East</v>
      </c>
      <c r="F79">
        <v>6</v>
      </c>
      <c r="G79" s="55" t="s">
        <v>299</v>
      </c>
      <c r="H79">
        <v>166123.81</v>
      </c>
      <c r="I79">
        <v>188839.09</v>
      </c>
      <c r="J79">
        <v>-22715.279999999999</v>
      </c>
      <c r="K79">
        <v>-12.028907785988601</v>
      </c>
      <c r="L79">
        <v>2378</v>
      </c>
      <c r="M79">
        <v>2292</v>
      </c>
      <c r="N79">
        <v>3.7521815008726001</v>
      </c>
    </row>
    <row r="80" spans="1:14" x14ac:dyDescent="0.25">
      <c r="A80">
        <f t="shared" si="27"/>
        <v>17</v>
      </c>
      <c r="B80">
        <f t="shared" si="28"/>
        <v>257</v>
      </c>
      <c r="C80">
        <v>25</v>
      </c>
      <c r="D80">
        <f>VLOOKUP(C80,'Store Database'!A:C,2,FALSE)</f>
        <v>1</v>
      </c>
      <c r="E80" t="str">
        <f>VLOOKUP(D80,'Store Database'!$B$3:$C$100,2,FALSE)</f>
        <v>East</v>
      </c>
      <c r="F80">
        <v>7</v>
      </c>
      <c r="G80" s="55" t="s">
        <v>300</v>
      </c>
      <c r="H80">
        <v>83236.17</v>
      </c>
      <c r="I80">
        <v>79078.42</v>
      </c>
      <c r="J80">
        <v>4157.75</v>
      </c>
      <c r="K80">
        <v>5.2577555292581701</v>
      </c>
      <c r="L80">
        <v>2215</v>
      </c>
      <c r="M80">
        <v>1949</v>
      </c>
      <c r="N80">
        <v>13.648024628014399</v>
      </c>
    </row>
    <row r="81" spans="1:14" x14ac:dyDescent="0.25">
      <c r="A81">
        <f t="shared" si="27"/>
        <v>18</v>
      </c>
      <c r="B81">
        <f t="shared" si="28"/>
        <v>258</v>
      </c>
      <c r="C81">
        <v>25</v>
      </c>
      <c r="D81">
        <f>VLOOKUP(C81,'Store Database'!A:C,2,FALSE)</f>
        <v>1</v>
      </c>
      <c r="E81" t="str">
        <f>VLOOKUP(D81,'Store Database'!$B$3:$C$100,2,FALSE)</f>
        <v>East</v>
      </c>
      <c r="F81">
        <v>8</v>
      </c>
      <c r="G81" s="55" t="s">
        <v>301</v>
      </c>
      <c r="H81">
        <v>112520.1</v>
      </c>
      <c r="I81">
        <v>116447.81</v>
      </c>
      <c r="J81">
        <v>-3927.71</v>
      </c>
      <c r="K81">
        <v>-3.3729359100870999</v>
      </c>
      <c r="L81">
        <v>2136</v>
      </c>
      <c r="M81">
        <v>1888</v>
      </c>
      <c r="N81">
        <v>13.135593220339</v>
      </c>
    </row>
    <row r="82" spans="1:14" x14ac:dyDescent="0.25">
      <c r="A82">
        <f t="shared" si="27"/>
        <v>19</v>
      </c>
      <c r="B82">
        <f t="shared" si="28"/>
        <v>259</v>
      </c>
      <c r="C82">
        <v>25</v>
      </c>
      <c r="D82">
        <f>VLOOKUP(C82,'Store Database'!A:C,2,FALSE)</f>
        <v>1</v>
      </c>
      <c r="E82" t="str">
        <f>VLOOKUP(D82,'Store Database'!$B$3:$C$100,2,FALSE)</f>
        <v>East</v>
      </c>
      <c r="F82">
        <v>9</v>
      </c>
      <c r="G82" s="55" t="s">
        <v>302</v>
      </c>
      <c r="H82">
        <v>35625.67</v>
      </c>
      <c r="I82">
        <v>39494.379999999997</v>
      </c>
      <c r="J82">
        <v>-3868.71</v>
      </c>
      <c r="K82">
        <v>-9.7955962341983795</v>
      </c>
      <c r="L82">
        <v>6048</v>
      </c>
      <c r="M82">
        <v>2548</v>
      </c>
      <c r="N82">
        <v>137.362637362637</v>
      </c>
    </row>
    <row r="83" spans="1:14" x14ac:dyDescent="0.25">
      <c r="A83">
        <f t="shared" si="27"/>
        <v>21</v>
      </c>
      <c r="B83">
        <f t="shared" si="28"/>
        <v>261</v>
      </c>
      <c r="C83">
        <v>26</v>
      </c>
      <c r="D83">
        <f>VLOOKUP(C83,'Store Database'!A:C,2,FALSE)</f>
        <v>2</v>
      </c>
      <c r="E83" t="str">
        <f>VLOOKUP(D83,'Store Database'!$B$3:$C$100,2,FALSE)</f>
        <v>West</v>
      </c>
      <c r="F83">
        <v>1</v>
      </c>
      <c r="G83" s="55" t="s">
        <v>294</v>
      </c>
      <c r="H83">
        <v>201405.75</v>
      </c>
      <c r="I83">
        <v>174565.41</v>
      </c>
      <c r="J83">
        <v>26840.34</v>
      </c>
      <c r="K83">
        <v>15.375520270596599</v>
      </c>
      <c r="L83">
        <v>2746</v>
      </c>
      <c r="M83">
        <v>3025</v>
      </c>
      <c r="N83">
        <v>-9.223140495867769</v>
      </c>
    </row>
    <row r="84" spans="1:14" x14ac:dyDescent="0.25">
      <c r="A84">
        <f t="shared" si="27"/>
        <v>22</v>
      </c>
      <c r="B84">
        <f t="shared" si="28"/>
        <v>262</v>
      </c>
      <c r="C84">
        <v>26</v>
      </c>
      <c r="D84">
        <f>VLOOKUP(C84,'Store Database'!A:C,2,FALSE)</f>
        <v>2</v>
      </c>
      <c r="E84" t="str">
        <f>VLOOKUP(D84,'Store Database'!$B$3:$C$100,2,FALSE)</f>
        <v>West</v>
      </c>
      <c r="F84">
        <v>2</v>
      </c>
      <c r="G84" s="55" t="s">
        <v>295</v>
      </c>
      <c r="H84">
        <v>140763.51</v>
      </c>
      <c r="I84">
        <v>138596.43</v>
      </c>
      <c r="J84">
        <v>2167.08</v>
      </c>
      <c r="K84">
        <v>1.5635900578391499</v>
      </c>
      <c r="L84">
        <v>2764</v>
      </c>
      <c r="M84">
        <v>2694</v>
      </c>
      <c r="N84">
        <v>2.5983667409057198</v>
      </c>
    </row>
    <row r="85" spans="1:14" x14ac:dyDescent="0.25">
      <c r="A85">
        <f t="shared" si="27"/>
        <v>23</v>
      </c>
      <c r="B85">
        <f t="shared" si="28"/>
        <v>263</v>
      </c>
      <c r="C85">
        <v>26</v>
      </c>
      <c r="D85">
        <f>VLOOKUP(C85,'Store Database'!A:C,2,FALSE)</f>
        <v>2</v>
      </c>
      <c r="E85" t="str">
        <f>VLOOKUP(D85,'Store Database'!$B$3:$C$100,2,FALSE)</f>
        <v>West</v>
      </c>
      <c r="F85">
        <v>3</v>
      </c>
      <c r="G85" s="55" t="s">
        <v>296</v>
      </c>
      <c r="H85">
        <v>18822.349999999999</v>
      </c>
      <c r="I85">
        <v>17221.03</v>
      </c>
      <c r="J85">
        <v>1601.32</v>
      </c>
      <c r="K85">
        <v>9.2986308019903596</v>
      </c>
      <c r="L85">
        <v>614</v>
      </c>
      <c r="M85">
        <v>325</v>
      </c>
      <c r="N85">
        <v>88.923076923076906</v>
      </c>
    </row>
    <row r="86" spans="1:14" x14ac:dyDescent="0.25">
      <c r="A86">
        <f t="shared" si="27"/>
        <v>24</v>
      </c>
      <c r="B86">
        <f t="shared" si="28"/>
        <v>264</v>
      </c>
      <c r="C86">
        <v>26</v>
      </c>
      <c r="D86">
        <f>VLOOKUP(C86,'Store Database'!A:C,2,FALSE)</f>
        <v>2</v>
      </c>
      <c r="E86" t="str">
        <f>VLOOKUP(D86,'Store Database'!$B$3:$C$100,2,FALSE)</f>
        <v>West</v>
      </c>
      <c r="F86">
        <v>4</v>
      </c>
      <c r="G86" s="55" t="s">
        <v>297</v>
      </c>
      <c r="H86">
        <v>225438.22</v>
      </c>
      <c r="I86">
        <v>240118.39</v>
      </c>
      <c r="J86">
        <v>-14680.17</v>
      </c>
      <c r="K86">
        <v>-6.1137216520567197</v>
      </c>
      <c r="L86">
        <v>3042</v>
      </c>
      <c r="M86">
        <v>2678</v>
      </c>
      <c r="N86">
        <v>13.592233009708702</v>
      </c>
    </row>
    <row r="87" spans="1:14" x14ac:dyDescent="0.25">
      <c r="A87">
        <f t="shared" si="27"/>
        <v>25</v>
      </c>
      <c r="B87">
        <f t="shared" si="28"/>
        <v>265</v>
      </c>
      <c r="C87">
        <v>26</v>
      </c>
      <c r="D87">
        <f>VLOOKUP(C87,'Store Database'!A:C,2,FALSE)</f>
        <v>2</v>
      </c>
      <c r="E87" t="str">
        <f>VLOOKUP(D87,'Store Database'!$B$3:$C$100,2,FALSE)</f>
        <v>West</v>
      </c>
      <c r="F87">
        <v>5</v>
      </c>
      <c r="G87" s="55" t="s">
        <v>298</v>
      </c>
      <c r="H87">
        <v>272038.92</v>
      </c>
      <c r="I87">
        <v>209998.07</v>
      </c>
      <c r="J87">
        <v>62040.85</v>
      </c>
      <c r="K87">
        <v>29.543533423902399</v>
      </c>
      <c r="L87">
        <v>2530</v>
      </c>
      <c r="M87">
        <v>2442</v>
      </c>
      <c r="N87">
        <v>3.6036036036036001</v>
      </c>
    </row>
    <row r="88" spans="1:14" x14ac:dyDescent="0.25">
      <c r="A88">
        <f t="shared" si="27"/>
        <v>26</v>
      </c>
      <c r="B88">
        <f t="shared" si="28"/>
        <v>266</v>
      </c>
      <c r="C88">
        <v>26</v>
      </c>
      <c r="D88">
        <f>VLOOKUP(C88,'Store Database'!A:C,2,FALSE)</f>
        <v>2</v>
      </c>
      <c r="E88" t="str">
        <f>VLOOKUP(D88,'Store Database'!$B$3:$C$100,2,FALSE)</f>
        <v>West</v>
      </c>
      <c r="F88">
        <v>6</v>
      </c>
      <c r="G88" s="55" t="s">
        <v>299</v>
      </c>
      <c r="H88">
        <v>230699.14</v>
      </c>
      <c r="I88">
        <v>242382.58</v>
      </c>
      <c r="J88">
        <v>-11683.44</v>
      </c>
      <c r="K88">
        <v>-4.8202473956667999</v>
      </c>
      <c r="L88">
        <v>2491</v>
      </c>
      <c r="M88">
        <v>3153</v>
      </c>
      <c r="N88">
        <v>-20.9958769425944</v>
      </c>
    </row>
    <row r="89" spans="1:14" x14ac:dyDescent="0.25">
      <c r="A89">
        <f t="shared" si="27"/>
        <v>27</v>
      </c>
      <c r="B89">
        <f t="shared" si="28"/>
        <v>267</v>
      </c>
      <c r="C89">
        <v>26</v>
      </c>
      <c r="D89">
        <f>VLOOKUP(C89,'Store Database'!A:C,2,FALSE)</f>
        <v>2</v>
      </c>
      <c r="E89" t="str">
        <f>VLOOKUP(D89,'Store Database'!$B$3:$C$100,2,FALSE)</f>
        <v>West</v>
      </c>
      <c r="F89">
        <v>7</v>
      </c>
      <c r="G89" s="55" t="s">
        <v>300</v>
      </c>
      <c r="H89">
        <v>110137.96</v>
      </c>
      <c r="I89">
        <v>95170.61</v>
      </c>
      <c r="J89">
        <v>14967.35</v>
      </c>
      <c r="K89">
        <v>15.726861475407199</v>
      </c>
      <c r="L89">
        <v>1979</v>
      </c>
      <c r="M89">
        <v>1988</v>
      </c>
      <c r="N89">
        <v>-0.45271629778672001</v>
      </c>
    </row>
    <row r="90" spans="1:14" x14ac:dyDescent="0.25">
      <c r="A90">
        <f t="shared" si="27"/>
        <v>28</v>
      </c>
      <c r="B90">
        <f t="shared" si="28"/>
        <v>268</v>
      </c>
      <c r="C90">
        <v>26</v>
      </c>
      <c r="D90">
        <f>VLOOKUP(C90,'Store Database'!A:C,2,FALSE)</f>
        <v>2</v>
      </c>
      <c r="E90" t="str">
        <f>VLOOKUP(D90,'Store Database'!$B$3:$C$100,2,FALSE)</f>
        <v>West</v>
      </c>
      <c r="F90">
        <v>8</v>
      </c>
      <c r="G90" s="55" t="s">
        <v>301</v>
      </c>
      <c r="H90">
        <v>128185.49</v>
      </c>
      <c r="I90">
        <v>135866.26999999999</v>
      </c>
      <c r="J90">
        <v>-7680.78</v>
      </c>
      <c r="K90">
        <v>-5.6531911857151904</v>
      </c>
      <c r="L90">
        <v>1811</v>
      </c>
      <c r="M90">
        <v>1833</v>
      </c>
      <c r="N90">
        <v>-1.20021822149482</v>
      </c>
    </row>
    <row r="91" spans="1:14" x14ac:dyDescent="0.25">
      <c r="A91">
        <f t="shared" si="27"/>
        <v>29</v>
      </c>
      <c r="B91">
        <f t="shared" si="28"/>
        <v>269</v>
      </c>
      <c r="C91">
        <v>26</v>
      </c>
      <c r="D91">
        <f>VLOOKUP(C91,'Store Database'!A:C,2,FALSE)</f>
        <v>2</v>
      </c>
      <c r="E91" t="str">
        <f>VLOOKUP(D91,'Store Database'!$B$3:$C$100,2,FALSE)</f>
        <v>West</v>
      </c>
      <c r="F91">
        <v>9</v>
      </c>
      <c r="G91" s="55" t="s">
        <v>302</v>
      </c>
      <c r="H91">
        <v>56213.33</v>
      </c>
      <c r="I91">
        <v>48847.44</v>
      </c>
      <c r="J91">
        <v>7365.89</v>
      </c>
      <c r="K91">
        <v>15.079377752447201</v>
      </c>
      <c r="L91">
        <v>6142</v>
      </c>
      <c r="M91">
        <v>2554</v>
      </c>
      <c r="N91">
        <v>140.48551292090801</v>
      </c>
    </row>
    <row r="92" spans="1:14" x14ac:dyDescent="0.25">
      <c r="A92">
        <f t="shared" si="27"/>
        <v>31</v>
      </c>
      <c r="B92">
        <f t="shared" si="28"/>
        <v>271</v>
      </c>
      <c r="C92">
        <v>27</v>
      </c>
      <c r="D92">
        <f>VLOOKUP(C92,'Store Database'!A:C,2,FALSE)</f>
        <v>3</v>
      </c>
      <c r="E92" t="str">
        <f>VLOOKUP(D92,'Store Database'!$B$3:$C$100,2,FALSE)</f>
        <v>North</v>
      </c>
      <c r="F92">
        <v>1</v>
      </c>
      <c r="G92" s="55" t="s">
        <v>294</v>
      </c>
      <c r="H92">
        <v>130836.67</v>
      </c>
      <c r="I92">
        <v>83929.86</v>
      </c>
      <c r="J92">
        <v>46906.81</v>
      </c>
      <c r="K92">
        <v>55.888107045573499</v>
      </c>
      <c r="L92">
        <v>1878</v>
      </c>
      <c r="M92">
        <v>1429</v>
      </c>
      <c r="N92">
        <v>31.420573827851602</v>
      </c>
    </row>
    <row r="93" spans="1:14" x14ac:dyDescent="0.25">
      <c r="A93">
        <f t="shared" si="27"/>
        <v>32</v>
      </c>
      <c r="B93">
        <f t="shared" si="28"/>
        <v>272</v>
      </c>
      <c r="C93">
        <v>27</v>
      </c>
      <c r="D93">
        <f>VLOOKUP(C93,'Store Database'!A:C,2,FALSE)</f>
        <v>3</v>
      </c>
      <c r="E93" t="str">
        <f>VLOOKUP(D93,'Store Database'!$B$3:$C$100,2,FALSE)</f>
        <v>North</v>
      </c>
      <c r="F93">
        <v>2</v>
      </c>
      <c r="G93" s="55" t="s">
        <v>295</v>
      </c>
      <c r="H93">
        <v>116562.57</v>
      </c>
      <c r="I93">
        <v>108437.33</v>
      </c>
      <c r="J93">
        <v>8125.24</v>
      </c>
      <c r="K93">
        <v>7.49302846169304</v>
      </c>
      <c r="L93">
        <v>2412</v>
      </c>
      <c r="M93">
        <v>1689</v>
      </c>
      <c r="N93">
        <v>42.806394316163399</v>
      </c>
    </row>
    <row r="94" spans="1:14" x14ac:dyDescent="0.25">
      <c r="A94">
        <f t="shared" si="27"/>
        <v>33</v>
      </c>
      <c r="B94">
        <f t="shared" si="28"/>
        <v>273</v>
      </c>
      <c r="C94">
        <v>27</v>
      </c>
      <c r="D94">
        <f>VLOOKUP(C94,'Store Database'!A:C,2,FALSE)</f>
        <v>3</v>
      </c>
      <c r="E94" t="str">
        <f>VLOOKUP(D94,'Store Database'!$B$3:$C$100,2,FALSE)</f>
        <v>North</v>
      </c>
      <c r="F94">
        <v>3</v>
      </c>
      <c r="G94" s="55" t="s">
        <v>296</v>
      </c>
      <c r="H94">
        <v>18448.060000000001</v>
      </c>
      <c r="I94">
        <v>22377.47</v>
      </c>
      <c r="J94">
        <v>-3929.41</v>
      </c>
      <c r="K94">
        <v>-17.5596705078814</v>
      </c>
      <c r="L94">
        <v>642</v>
      </c>
      <c r="M94">
        <v>315</v>
      </c>
      <c r="N94">
        <v>103.80952380952399</v>
      </c>
    </row>
    <row r="95" spans="1:14" x14ac:dyDescent="0.25">
      <c r="A95">
        <f t="shared" si="27"/>
        <v>34</v>
      </c>
      <c r="B95">
        <f t="shared" si="28"/>
        <v>274</v>
      </c>
      <c r="C95">
        <v>27</v>
      </c>
      <c r="D95">
        <f>VLOOKUP(C95,'Store Database'!A:C,2,FALSE)</f>
        <v>3</v>
      </c>
      <c r="E95" t="str">
        <f>VLOOKUP(D95,'Store Database'!$B$3:$C$100,2,FALSE)</f>
        <v>North</v>
      </c>
      <c r="F95">
        <v>4</v>
      </c>
      <c r="G95" s="55" t="s">
        <v>297</v>
      </c>
      <c r="H95">
        <v>184400.05</v>
      </c>
      <c r="I95">
        <v>186043.78</v>
      </c>
      <c r="J95">
        <v>-1643.73</v>
      </c>
      <c r="K95">
        <v>-0.88351784725079197</v>
      </c>
      <c r="L95">
        <v>2831</v>
      </c>
      <c r="M95">
        <v>1655</v>
      </c>
      <c r="N95">
        <v>71.057401812688809</v>
      </c>
    </row>
    <row r="96" spans="1:14" x14ac:dyDescent="0.25">
      <c r="A96">
        <f t="shared" si="27"/>
        <v>35</v>
      </c>
      <c r="B96">
        <f t="shared" si="28"/>
        <v>275</v>
      </c>
      <c r="C96">
        <v>27</v>
      </c>
      <c r="D96">
        <f>VLOOKUP(C96,'Store Database'!A:C,2,FALSE)</f>
        <v>3</v>
      </c>
      <c r="E96" t="str">
        <f>VLOOKUP(D96,'Store Database'!$B$3:$C$100,2,FALSE)</f>
        <v>North</v>
      </c>
      <c r="F96">
        <v>5</v>
      </c>
      <c r="G96" s="55" t="s">
        <v>298</v>
      </c>
      <c r="H96">
        <v>203696.01</v>
      </c>
      <c r="I96">
        <v>163927.07</v>
      </c>
      <c r="J96">
        <v>39768.94</v>
      </c>
      <c r="K96">
        <v>24.260142025353101</v>
      </c>
      <c r="L96">
        <v>2472</v>
      </c>
      <c r="M96">
        <v>2156</v>
      </c>
      <c r="N96">
        <v>14.656771799628901</v>
      </c>
    </row>
    <row r="97" spans="1:14" x14ac:dyDescent="0.25">
      <c r="A97">
        <f t="shared" si="27"/>
        <v>36</v>
      </c>
      <c r="B97">
        <f t="shared" si="28"/>
        <v>276</v>
      </c>
      <c r="C97">
        <v>27</v>
      </c>
      <c r="D97">
        <f>VLOOKUP(C97,'Store Database'!A:C,2,FALSE)</f>
        <v>3</v>
      </c>
      <c r="E97" t="str">
        <f>VLOOKUP(D97,'Store Database'!$B$3:$C$100,2,FALSE)</f>
        <v>North</v>
      </c>
      <c r="F97">
        <v>6</v>
      </c>
      <c r="G97" s="55" t="s">
        <v>299</v>
      </c>
      <c r="H97">
        <v>180811.64</v>
      </c>
      <c r="I97">
        <v>182892.08</v>
      </c>
      <c r="J97">
        <v>-2080.44</v>
      </c>
      <c r="K97">
        <v>-1.13752328695699</v>
      </c>
      <c r="L97">
        <v>2167</v>
      </c>
      <c r="M97">
        <v>1556</v>
      </c>
      <c r="N97">
        <v>39.267352185089997</v>
      </c>
    </row>
    <row r="98" spans="1:14" x14ac:dyDescent="0.25">
      <c r="A98">
        <f t="shared" si="27"/>
        <v>37</v>
      </c>
      <c r="B98">
        <f t="shared" si="28"/>
        <v>277</v>
      </c>
      <c r="C98">
        <v>27</v>
      </c>
      <c r="D98">
        <f>VLOOKUP(C98,'Store Database'!A:C,2,FALSE)</f>
        <v>3</v>
      </c>
      <c r="E98" t="str">
        <f>VLOOKUP(D98,'Store Database'!$B$3:$C$100,2,FALSE)</f>
        <v>North</v>
      </c>
      <c r="F98">
        <v>7</v>
      </c>
      <c r="G98" s="55" t="s">
        <v>300</v>
      </c>
      <c r="H98">
        <v>86997.01</v>
      </c>
      <c r="I98">
        <v>78985.91</v>
      </c>
      <c r="J98">
        <v>8011.1</v>
      </c>
      <c r="K98">
        <v>10.1424418608332</v>
      </c>
      <c r="L98">
        <v>2049</v>
      </c>
      <c r="M98">
        <v>1076</v>
      </c>
      <c r="N98">
        <v>90.427509293680302</v>
      </c>
    </row>
    <row r="99" spans="1:14" x14ac:dyDescent="0.25">
      <c r="A99">
        <f t="shared" si="27"/>
        <v>38</v>
      </c>
      <c r="B99">
        <f t="shared" si="28"/>
        <v>278</v>
      </c>
      <c r="C99">
        <v>27</v>
      </c>
      <c r="D99">
        <f>VLOOKUP(C99,'Store Database'!A:C,2,FALSE)</f>
        <v>3</v>
      </c>
      <c r="E99" t="str">
        <f>VLOOKUP(D99,'Store Database'!$B$3:$C$100,2,FALSE)</f>
        <v>North</v>
      </c>
      <c r="F99">
        <v>8</v>
      </c>
      <c r="G99" s="55" t="s">
        <v>301</v>
      </c>
      <c r="H99">
        <v>121291.38</v>
      </c>
      <c r="I99">
        <v>120868.64</v>
      </c>
      <c r="J99">
        <v>422.74</v>
      </c>
      <c r="K99">
        <v>0.34975159809856399</v>
      </c>
      <c r="L99">
        <v>2335</v>
      </c>
      <c r="M99">
        <v>1390</v>
      </c>
      <c r="N99">
        <v>67.985611510791401</v>
      </c>
    </row>
    <row r="100" spans="1:14" x14ac:dyDescent="0.25">
      <c r="A100">
        <f t="shared" si="27"/>
        <v>39</v>
      </c>
      <c r="B100">
        <f t="shared" si="28"/>
        <v>279</v>
      </c>
      <c r="C100">
        <v>27</v>
      </c>
      <c r="D100">
        <f>VLOOKUP(C100,'Store Database'!A:C,2,FALSE)</f>
        <v>3</v>
      </c>
      <c r="E100" t="str">
        <f>VLOOKUP(D100,'Store Database'!$B$3:$C$100,2,FALSE)</f>
        <v>North</v>
      </c>
      <c r="F100">
        <v>9</v>
      </c>
      <c r="G100" s="55" t="s">
        <v>302</v>
      </c>
      <c r="H100">
        <v>43631.34</v>
      </c>
      <c r="I100">
        <v>40571.83</v>
      </c>
      <c r="J100">
        <v>3059.51</v>
      </c>
      <c r="K100">
        <v>7.5409711615177297</v>
      </c>
      <c r="L100">
        <v>3421</v>
      </c>
      <c r="M100">
        <v>2347</v>
      </c>
      <c r="N100">
        <v>45.760545377077101</v>
      </c>
    </row>
    <row r="101" spans="1:14" x14ac:dyDescent="0.25">
      <c r="A101">
        <f t="shared" si="27"/>
        <v>41</v>
      </c>
      <c r="B101">
        <f t="shared" si="28"/>
        <v>291</v>
      </c>
      <c r="C101">
        <v>29</v>
      </c>
      <c r="D101">
        <f>VLOOKUP(C101,'Store Database'!A:C,2,FALSE)</f>
        <v>4</v>
      </c>
      <c r="E101" t="str">
        <f>VLOOKUP(D101,'Store Database'!$B$3:$C$100,2,FALSE)</f>
        <v>South</v>
      </c>
      <c r="F101">
        <v>1</v>
      </c>
      <c r="G101" s="55" t="s">
        <v>294</v>
      </c>
      <c r="H101">
        <v>176506.23</v>
      </c>
      <c r="I101">
        <v>150266.42000000001</v>
      </c>
      <c r="J101">
        <v>26239.81</v>
      </c>
      <c r="K101">
        <v>17.462191486294799</v>
      </c>
      <c r="L101">
        <v>3467</v>
      </c>
      <c r="M101">
        <v>3054</v>
      </c>
      <c r="N101">
        <v>13.523248199083199</v>
      </c>
    </row>
    <row r="102" spans="1:14" x14ac:dyDescent="0.25">
      <c r="A102">
        <f t="shared" si="27"/>
        <v>42</v>
      </c>
      <c r="B102">
        <f t="shared" si="28"/>
        <v>292</v>
      </c>
      <c r="C102">
        <v>29</v>
      </c>
      <c r="D102">
        <f>VLOOKUP(C102,'Store Database'!A:C,2,FALSE)</f>
        <v>4</v>
      </c>
      <c r="E102" t="str">
        <f>VLOOKUP(D102,'Store Database'!$B$3:$C$100,2,FALSE)</f>
        <v>South</v>
      </c>
      <c r="F102">
        <v>2</v>
      </c>
      <c r="G102" s="55" t="s">
        <v>295</v>
      </c>
      <c r="H102">
        <v>55943.32</v>
      </c>
      <c r="I102">
        <v>65238.31</v>
      </c>
      <c r="J102">
        <v>-9294.99</v>
      </c>
      <c r="K102">
        <v>-14.247747987340601</v>
      </c>
      <c r="L102">
        <v>2183</v>
      </c>
      <c r="M102">
        <v>1663</v>
      </c>
      <c r="N102">
        <v>31.268791340950099</v>
      </c>
    </row>
    <row r="103" spans="1:14" x14ac:dyDescent="0.25">
      <c r="A103">
        <f t="shared" si="27"/>
        <v>43</v>
      </c>
      <c r="B103">
        <f t="shared" si="28"/>
        <v>293</v>
      </c>
      <c r="C103">
        <v>29</v>
      </c>
      <c r="D103">
        <f>VLOOKUP(C103,'Store Database'!A:C,2,FALSE)</f>
        <v>4</v>
      </c>
      <c r="E103" t="str">
        <f>VLOOKUP(D103,'Store Database'!$B$3:$C$100,2,FALSE)</f>
        <v>South</v>
      </c>
      <c r="F103">
        <v>3</v>
      </c>
      <c r="G103" s="55" t="s">
        <v>296</v>
      </c>
      <c r="H103">
        <v>12898.62</v>
      </c>
      <c r="I103">
        <v>25681.5</v>
      </c>
      <c r="J103">
        <v>-12782.88</v>
      </c>
      <c r="K103">
        <v>-49.774662694935998</v>
      </c>
      <c r="L103">
        <v>1114</v>
      </c>
      <c r="M103">
        <v>606</v>
      </c>
      <c r="N103">
        <v>83.828382838283801</v>
      </c>
    </row>
    <row r="104" spans="1:14" x14ac:dyDescent="0.25">
      <c r="A104">
        <f t="shared" si="27"/>
        <v>44</v>
      </c>
      <c r="B104">
        <f t="shared" si="28"/>
        <v>294</v>
      </c>
      <c r="C104">
        <v>29</v>
      </c>
      <c r="D104">
        <f>VLOOKUP(C104,'Store Database'!A:C,2,FALSE)</f>
        <v>4</v>
      </c>
      <c r="E104" t="str">
        <f>VLOOKUP(D104,'Store Database'!$B$3:$C$100,2,FALSE)</f>
        <v>South</v>
      </c>
      <c r="F104">
        <v>4</v>
      </c>
      <c r="G104" s="55" t="s">
        <v>297</v>
      </c>
      <c r="H104">
        <v>168201.60000000001</v>
      </c>
      <c r="I104">
        <v>223427.68</v>
      </c>
      <c r="J104">
        <v>-55226.080000000002</v>
      </c>
      <c r="K104">
        <v>-24.717653604960699</v>
      </c>
      <c r="L104">
        <v>2986</v>
      </c>
      <c r="M104">
        <v>1704</v>
      </c>
      <c r="N104">
        <v>75.234741784037595</v>
      </c>
    </row>
    <row r="105" spans="1:14" x14ac:dyDescent="0.25">
      <c r="A105">
        <f t="shared" si="27"/>
        <v>45</v>
      </c>
      <c r="B105">
        <f t="shared" si="28"/>
        <v>295</v>
      </c>
      <c r="C105">
        <v>29</v>
      </c>
      <c r="D105">
        <f>VLOOKUP(C105,'Store Database'!A:C,2,FALSE)</f>
        <v>4</v>
      </c>
      <c r="E105" t="str">
        <f>VLOOKUP(D105,'Store Database'!$B$3:$C$100,2,FALSE)</f>
        <v>South</v>
      </c>
      <c r="F105">
        <v>5</v>
      </c>
      <c r="G105" s="55" t="s">
        <v>298</v>
      </c>
      <c r="H105">
        <v>163217.09</v>
      </c>
      <c r="I105">
        <v>168456</v>
      </c>
      <c r="J105">
        <v>-5238.91</v>
      </c>
      <c r="K105">
        <v>-3.10995749631951</v>
      </c>
      <c r="L105">
        <v>3126</v>
      </c>
      <c r="M105">
        <v>2604</v>
      </c>
      <c r="N105">
        <v>20.046082949308801</v>
      </c>
    </row>
    <row r="106" spans="1:14" x14ac:dyDescent="0.25">
      <c r="A106">
        <f t="shared" si="27"/>
        <v>46</v>
      </c>
      <c r="B106">
        <f t="shared" si="28"/>
        <v>296</v>
      </c>
      <c r="C106">
        <v>29</v>
      </c>
      <c r="D106">
        <f>VLOOKUP(C106,'Store Database'!A:C,2,FALSE)</f>
        <v>4</v>
      </c>
      <c r="E106" t="str">
        <f>VLOOKUP(D106,'Store Database'!$B$3:$C$100,2,FALSE)</f>
        <v>South</v>
      </c>
      <c r="F106">
        <v>6</v>
      </c>
      <c r="G106" s="55" t="s">
        <v>299</v>
      </c>
      <c r="H106">
        <v>152985.28</v>
      </c>
      <c r="I106">
        <v>205925.87</v>
      </c>
      <c r="J106">
        <v>-52940.59</v>
      </c>
      <c r="K106">
        <v>-25.7085668740892</v>
      </c>
      <c r="L106">
        <v>2442</v>
      </c>
      <c r="M106">
        <v>1829</v>
      </c>
      <c r="N106">
        <v>33.515582285401905</v>
      </c>
    </row>
    <row r="107" spans="1:14" x14ac:dyDescent="0.25">
      <c r="A107">
        <f t="shared" si="27"/>
        <v>47</v>
      </c>
      <c r="B107">
        <f t="shared" si="28"/>
        <v>297</v>
      </c>
      <c r="C107">
        <v>29</v>
      </c>
      <c r="D107">
        <f>VLOOKUP(C107,'Store Database'!A:C,2,FALSE)</f>
        <v>4</v>
      </c>
      <c r="E107" t="str">
        <f>VLOOKUP(D107,'Store Database'!$B$3:$C$100,2,FALSE)</f>
        <v>South</v>
      </c>
      <c r="F107">
        <v>7</v>
      </c>
      <c r="G107" s="55" t="s">
        <v>300</v>
      </c>
      <c r="H107">
        <v>77244.259999999995</v>
      </c>
      <c r="I107">
        <v>79658.37</v>
      </c>
      <c r="J107">
        <v>-2414.11</v>
      </c>
      <c r="K107">
        <v>-3.0305792096925899</v>
      </c>
      <c r="L107">
        <v>2426</v>
      </c>
      <c r="M107">
        <v>1722</v>
      </c>
      <c r="N107">
        <v>40.882694541231103</v>
      </c>
    </row>
    <row r="108" spans="1:14" x14ac:dyDescent="0.25">
      <c r="A108">
        <f t="shared" si="27"/>
        <v>48</v>
      </c>
      <c r="B108">
        <f t="shared" si="28"/>
        <v>298</v>
      </c>
      <c r="C108">
        <v>29</v>
      </c>
      <c r="D108">
        <f>VLOOKUP(C108,'Store Database'!A:C,2,FALSE)</f>
        <v>4</v>
      </c>
      <c r="E108" t="str">
        <f>VLOOKUP(D108,'Store Database'!$B$3:$C$100,2,FALSE)</f>
        <v>South</v>
      </c>
      <c r="F108">
        <v>8</v>
      </c>
      <c r="G108" s="55" t="s">
        <v>301</v>
      </c>
      <c r="H108">
        <v>145841.24</v>
      </c>
      <c r="I108">
        <v>153654.38</v>
      </c>
      <c r="J108">
        <v>-7813.14</v>
      </c>
      <c r="K108">
        <v>-5.0848794547867797</v>
      </c>
      <c r="L108">
        <v>2472</v>
      </c>
      <c r="M108">
        <v>1878</v>
      </c>
      <c r="N108">
        <v>31.629392971246002</v>
      </c>
    </row>
    <row r="109" spans="1:14" x14ac:dyDescent="0.25">
      <c r="A109">
        <f t="shared" si="27"/>
        <v>49</v>
      </c>
      <c r="B109">
        <f t="shared" si="28"/>
        <v>299</v>
      </c>
      <c r="C109">
        <v>29</v>
      </c>
      <c r="D109">
        <f>VLOOKUP(C109,'Store Database'!A:C,2,FALSE)</f>
        <v>4</v>
      </c>
      <c r="E109" t="str">
        <f>VLOOKUP(D109,'Store Database'!$B$3:$C$100,2,FALSE)</f>
        <v>South</v>
      </c>
      <c r="F109">
        <v>9</v>
      </c>
      <c r="G109" s="55" t="s">
        <v>302</v>
      </c>
      <c r="H109">
        <v>24295.37</v>
      </c>
      <c r="I109">
        <v>28949.84</v>
      </c>
      <c r="J109">
        <v>-4654.47</v>
      </c>
      <c r="K109">
        <v>-16.077705438095698</v>
      </c>
      <c r="L109">
        <v>4641</v>
      </c>
      <c r="M109">
        <v>2669</v>
      </c>
      <c r="N109">
        <v>73.885350318471296</v>
      </c>
    </row>
    <row r="110" spans="1:14" x14ac:dyDescent="0.25">
      <c r="A110">
        <f t="shared" si="27"/>
        <v>11</v>
      </c>
      <c r="B110">
        <f t="shared" si="28"/>
        <v>321</v>
      </c>
      <c r="C110">
        <v>32</v>
      </c>
      <c r="D110">
        <f>VLOOKUP(C110,'Store Database'!A:C,2,FALSE)</f>
        <v>1</v>
      </c>
      <c r="E110" t="str">
        <f>VLOOKUP(D110,'Store Database'!$B$3:$C$100,2,FALSE)</f>
        <v>East</v>
      </c>
      <c r="F110">
        <v>1</v>
      </c>
      <c r="G110" s="55" t="s">
        <v>294</v>
      </c>
      <c r="H110">
        <v>95752.36</v>
      </c>
      <c r="I110">
        <v>87845.34</v>
      </c>
      <c r="J110">
        <v>7907.02</v>
      </c>
      <c r="K110">
        <v>9.0010693794343606</v>
      </c>
      <c r="L110">
        <v>2066</v>
      </c>
      <c r="M110">
        <v>1502</v>
      </c>
      <c r="N110">
        <v>37.549933422103898</v>
      </c>
    </row>
    <row r="111" spans="1:14" x14ac:dyDescent="0.25">
      <c r="A111">
        <f t="shared" si="27"/>
        <v>12</v>
      </c>
      <c r="B111">
        <f t="shared" si="28"/>
        <v>322</v>
      </c>
      <c r="C111">
        <v>32</v>
      </c>
      <c r="D111">
        <f>VLOOKUP(C111,'Store Database'!A:C,2,FALSE)</f>
        <v>1</v>
      </c>
      <c r="E111" t="str">
        <f>VLOOKUP(D111,'Store Database'!$B$3:$C$100,2,FALSE)</f>
        <v>East</v>
      </c>
      <c r="F111">
        <v>2</v>
      </c>
      <c r="G111" s="55" t="s">
        <v>295</v>
      </c>
      <c r="H111">
        <v>42650.64</v>
      </c>
      <c r="I111">
        <v>42432.18</v>
      </c>
      <c r="J111">
        <v>218.46</v>
      </c>
      <c r="K111">
        <v>0.51484510105302195</v>
      </c>
      <c r="L111">
        <v>1948</v>
      </c>
      <c r="M111">
        <v>1388</v>
      </c>
      <c r="N111">
        <v>40.345821325648402</v>
      </c>
    </row>
    <row r="112" spans="1:14" x14ac:dyDescent="0.25">
      <c r="A112">
        <f t="shared" si="27"/>
        <v>13</v>
      </c>
      <c r="B112">
        <f t="shared" si="28"/>
        <v>323</v>
      </c>
      <c r="C112">
        <v>32</v>
      </c>
      <c r="D112">
        <f>VLOOKUP(C112,'Store Database'!A:C,2,FALSE)</f>
        <v>1</v>
      </c>
      <c r="E112" t="str">
        <f>VLOOKUP(D112,'Store Database'!$B$3:$C$100,2,FALSE)</f>
        <v>East</v>
      </c>
      <c r="F112">
        <v>3</v>
      </c>
      <c r="G112" s="55" t="s">
        <v>296</v>
      </c>
      <c r="H112">
        <v>7521.67</v>
      </c>
      <c r="I112">
        <v>11174.15</v>
      </c>
      <c r="J112">
        <v>-3652.48</v>
      </c>
      <c r="K112">
        <v>-32.686871037170597</v>
      </c>
      <c r="L112">
        <v>476</v>
      </c>
      <c r="M112">
        <v>268</v>
      </c>
      <c r="N112">
        <v>77.611940298507491</v>
      </c>
    </row>
    <row r="113" spans="1:14" x14ac:dyDescent="0.25">
      <c r="A113">
        <f t="shared" si="27"/>
        <v>14</v>
      </c>
      <c r="B113">
        <f t="shared" si="28"/>
        <v>324</v>
      </c>
      <c r="C113">
        <v>32</v>
      </c>
      <c r="D113">
        <f>VLOOKUP(C113,'Store Database'!A:C,2,FALSE)</f>
        <v>1</v>
      </c>
      <c r="E113" t="str">
        <f>VLOOKUP(D113,'Store Database'!$B$3:$C$100,2,FALSE)</f>
        <v>East</v>
      </c>
      <c r="F113">
        <v>4</v>
      </c>
      <c r="G113" s="55" t="s">
        <v>297</v>
      </c>
      <c r="H113">
        <v>98280.83</v>
      </c>
      <c r="I113">
        <v>96228.24</v>
      </c>
      <c r="J113">
        <v>2052.59</v>
      </c>
      <c r="K113">
        <v>2.1330432729518898</v>
      </c>
      <c r="L113">
        <v>2109</v>
      </c>
      <c r="M113">
        <v>1464</v>
      </c>
      <c r="N113">
        <v>44.057377049180303</v>
      </c>
    </row>
    <row r="114" spans="1:14" x14ac:dyDescent="0.25">
      <c r="A114">
        <f t="shared" si="27"/>
        <v>15</v>
      </c>
      <c r="B114">
        <f t="shared" si="28"/>
        <v>325</v>
      </c>
      <c r="C114">
        <v>32</v>
      </c>
      <c r="D114">
        <f>VLOOKUP(C114,'Store Database'!A:C,2,FALSE)</f>
        <v>1</v>
      </c>
      <c r="E114" t="str">
        <f>VLOOKUP(D114,'Store Database'!$B$3:$C$100,2,FALSE)</f>
        <v>East</v>
      </c>
      <c r="F114">
        <v>5</v>
      </c>
      <c r="G114" s="55" t="s">
        <v>298</v>
      </c>
      <c r="H114">
        <v>113402.01</v>
      </c>
      <c r="I114">
        <v>113837.82</v>
      </c>
      <c r="J114">
        <v>-435.81</v>
      </c>
      <c r="K114">
        <v>-0.38283410557229602</v>
      </c>
      <c r="L114">
        <v>2102</v>
      </c>
      <c r="M114">
        <v>2108</v>
      </c>
      <c r="N114">
        <v>-0.28462998102466802</v>
      </c>
    </row>
    <row r="115" spans="1:14" x14ac:dyDescent="0.25">
      <c r="A115">
        <f t="shared" si="27"/>
        <v>16</v>
      </c>
      <c r="B115">
        <f t="shared" si="28"/>
        <v>326</v>
      </c>
      <c r="C115">
        <v>32</v>
      </c>
      <c r="D115">
        <f>VLOOKUP(C115,'Store Database'!A:C,2,FALSE)</f>
        <v>1</v>
      </c>
      <c r="E115" t="str">
        <f>VLOOKUP(D115,'Store Database'!$B$3:$C$100,2,FALSE)</f>
        <v>East</v>
      </c>
      <c r="F115">
        <v>6</v>
      </c>
      <c r="G115" s="55" t="s">
        <v>299</v>
      </c>
      <c r="H115">
        <v>109188.4</v>
      </c>
      <c r="I115">
        <v>99883.18</v>
      </c>
      <c r="J115">
        <v>9305.2199999999993</v>
      </c>
      <c r="K115">
        <v>9.31610307160825</v>
      </c>
      <c r="L115">
        <v>1311</v>
      </c>
      <c r="M115">
        <v>1098</v>
      </c>
      <c r="N115">
        <v>19.398907103825099</v>
      </c>
    </row>
    <row r="116" spans="1:14" x14ac:dyDescent="0.25">
      <c r="A116">
        <f t="shared" si="27"/>
        <v>17</v>
      </c>
      <c r="B116">
        <f t="shared" si="28"/>
        <v>327</v>
      </c>
      <c r="C116">
        <v>32</v>
      </c>
      <c r="D116">
        <f>VLOOKUP(C116,'Store Database'!A:C,2,FALSE)</f>
        <v>1</v>
      </c>
      <c r="E116" t="str">
        <f>VLOOKUP(D116,'Store Database'!$B$3:$C$100,2,FALSE)</f>
        <v>East</v>
      </c>
      <c r="F116">
        <v>7</v>
      </c>
      <c r="G116" s="55" t="s">
        <v>300</v>
      </c>
      <c r="H116">
        <v>46610.14</v>
      </c>
      <c r="I116">
        <v>41559.1</v>
      </c>
      <c r="J116">
        <v>5051.04</v>
      </c>
      <c r="K116">
        <v>12.153872437083599</v>
      </c>
      <c r="L116">
        <v>1474</v>
      </c>
      <c r="M116">
        <v>1115</v>
      </c>
      <c r="N116">
        <v>32.197309417040401</v>
      </c>
    </row>
    <row r="117" spans="1:14" x14ac:dyDescent="0.25">
      <c r="A117">
        <f t="shared" si="27"/>
        <v>18</v>
      </c>
      <c r="B117">
        <f t="shared" si="28"/>
        <v>328</v>
      </c>
      <c r="C117">
        <v>32</v>
      </c>
      <c r="D117">
        <f>VLOOKUP(C117,'Store Database'!A:C,2,FALSE)</f>
        <v>1</v>
      </c>
      <c r="E117" t="str">
        <f>VLOOKUP(D117,'Store Database'!$B$3:$C$100,2,FALSE)</f>
        <v>East</v>
      </c>
      <c r="F117">
        <v>8</v>
      </c>
      <c r="G117" s="55" t="s">
        <v>301</v>
      </c>
      <c r="H117">
        <v>71246.7</v>
      </c>
      <c r="I117">
        <v>68400.98</v>
      </c>
      <c r="J117">
        <v>2845.72</v>
      </c>
      <c r="K117">
        <v>4.16034974937494</v>
      </c>
      <c r="L117">
        <v>1541</v>
      </c>
      <c r="M117">
        <v>1086</v>
      </c>
      <c r="N117">
        <v>41.896869244935495</v>
      </c>
    </row>
    <row r="118" spans="1:14" x14ac:dyDescent="0.25">
      <c r="A118">
        <f t="shared" si="27"/>
        <v>19</v>
      </c>
      <c r="B118">
        <f t="shared" si="28"/>
        <v>329</v>
      </c>
      <c r="C118">
        <v>32</v>
      </c>
      <c r="D118">
        <f>VLOOKUP(C118,'Store Database'!A:C,2,FALSE)</f>
        <v>1</v>
      </c>
      <c r="E118" t="str">
        <f>VLOOKUP(D118,'Store Database'!$B$3:$C$100,2,FALSE)</f>
        <v>East</v>
      </c>
      <c r="F118">
        <v>9</v>
      </c>
      <c r="G118" s="55" t="s">
        <v>302</v>
      </c>
      <c r="H118">
        <v>20103.73</v>
      </c>
      <c r="I118">
        <v>21420.48</v>
      </c>
      <c r="J118">
        <v>-1316.75</v>
      </c>
      <c r="K118">
        <v>-6.1471544988721103</v>
      </c>
      <c r="L118">
        <v>3653</v>
      </c>
      <c r="M118">
        <v>1974</v>
      </c>
      <c r="N118">
        <v>85.055724417426603</v>
      </c>
    </row>
    <row r="119" spans="1:14" x14ac:dyDescent="0.25">
      <c r="A119">
        <f t="shared" si="27"/>
        <v>21</v>
      </c>
      <c r="B119">
        <f t="shared" si="28"/>
        <v>341</v>
      </c>
      <c r="C119">
        <v>34</v>
      </c>
      <c r="D119">
        <f>VLOOKUP(C119,'Store Database'!A:C,2,FALSE)</f>
        <v>2</v>
      </c>
      <c r="E119" t="str">
        <f>VLOOKUP(D119,'Store Database'!$B$3:$C$100,2,FALSE)</f>
        <v>West</v>
      </c>
      <c r="F119">
        <v>1</v>
      </c>
      <c r="G119" s="55" t="s">
        <v>294</v>
      </c>
      <c r="H119">
        <v>47397.69</v>
      </c>
      <c r="I119">
        <v>58379.7</v>
      </c>
      <c r="J119">
        <v>-10982.01</v>
      </c>
      <c r="K119">
        <v>-18.811350520814599</v>
      </c>
      <c r="L119">
        <v>2282</v>
      </c>
      <c r="M119">
        <v>2468</v>
      </c>
      <c r="N119">
        <v>-7.5364667747163701</v>
      </c>
    </row>
    <row r="120" spans="1:14" x14ac:dyDescent="0.25">
      <c r="A120">
        <f t="shared" si="27"/>
        <v>22</v>
      </c>
      <c r="B120">
        <f t="shared" si="28"/>
        <v>342</v>
      </c>
      <c r="C120">
        <v>34</v>
      </c>
      <c r="D120">
        <f>VLOOKUP(C120,'Store Database'!A:C,2,FALSE)</f>
        <v>2</v>
      </c>
      <c r="E120" t="str">
        <f>VLOOKUP(D120,'Store Database'!$B$3:$C$100,2,FALSE)</f>
        <v>West</v>
      </c>
      <c r="F120">
        <v>2</v>
      </c>
      <c r="G120" s="55" t="s">
        <v>295</v>
      </c>
      <c r="H120">
        <v>41968.49</v>
      </c>
      <c r="I120">
        <v>50586.63</v>
      </c>
      <c r="J120">
        <v>-8618.14</v>
      </c>
      <c r="K120">
        <v>-17.036398748048601</v>
      </c>
      <c r="L120">
        <v>2025</v>
      </c>
      <c r="M120">
        <v>1653</v>
      </c>
      <c r="N120">
        <v>22.5045372050817</v>
      </c>
    </row>
    <row r="121" spans="1:14" x14ac:dyDescent="0.25">
      <c r="A121">
        <f t="shared" si="27"/>
        <v>23</v>
      </c>
      <c r="B121">
        <f t="shared" si="28"/>
        <v>343</v>
      </c>
      <c r="C121">
        <v>34</v>
      </c>
      <c r="D121">
        <f>VLOOKUP(C121,'Store Database'!A:C,2,FALSE)</f>
        <v>2</v>
      </c>
      <c r="E121" t="str">
        <f>VLOOKUP(D121,'Store Database'!$B$3:$C$100,2,FALSE)</f>
        <v>West</v>
      </c>
      <c r="F121">
        <v>3</v>
      </c>
      <c r="G121" s="55" t="s">
        <v>296</v>
      </c>
      <c r="H121">
        <v>8058.89</v>
      </c>
      <c r="I121">
        <v>11234.25</v>
      </c>
      <c r="J121">
        <v>-3175.36</v>
      </c>
      <c r="K121">
        <v>-28.26499321272</v>
      </c>
      <c r="L121">
        <v>573</v>
      </c>
      <c r="M121">
        <v>502</v>
      </c>
      <c r="N121">
        <v>14.143426294820699</v>
      </c>
    </row>
    <row r="122" spans="1:14" x14ac:dyDescent="0.25">
      <c r="A122">
        <f t="shared" si="27"/>
        <v>24</v>
      </c>
      <c r="B122">
        <f t="shared" si="28"/>
        <v>344</v>
      </c>
      <c r="C122">
        <v>34</v>
      </c>
      <c r="D122">
        <f>VLOOKUP(C122,'Store Database'!A:C,2,FALSE)</f>
        <v>2</v>
      </c>
      <c r="E122" t="str">
        <f>VLOOKUP(D122,'Store Database'!$B$3:$C$100,2,FALSE)</f>
        <v>West</v>
      </c>
      <c r="F122">
        <v>4</v>
      </c>
      <c r="G122" s="55" t="s">
        <v>297</v>
      </c>
      <c r="H122">
        <v>80112.59</v>
      </c>
      <c r="I122">
        <v>88005.59</v>
      </c>
      <c r="J122">
        <v>-7893</v>
      </c>
      <c r="K122">
        <v>-8.9687484624556202</v>
      </c>
      <c r="L122">
        <v>2110</v>
      </c>
      <c r="M122">
        <v>1672</v>
      </c>
      <c r="N122">
        <v>26.196172248803801</v>
      </c>
    </row>
    <row r="123" spans="1:14" x14ac:dyDescent="0.25">
      <c r="A123">
        <f t="shared" si="27"/>
        <v>25</v>
      </c>
      <c r="B123">
        <f t="shared" si="28"/>
        <v>345</v>
      </c>
      <c r="C123">
        <v>34</v>
      </c>
      <c r="D123">
        <f>VLOOKUP(C123,'Store Database'!A:C,2,FALSE)</f>
        <v>2</v>
      </c>
      <c r="E123" t="str">
        <f>VLOOKUP(D123,'Store Database'!$B$3:$C$100,2,FALSE)</f>
        <v>West</v>
      </c>
      <c r="F123">
        <v>5</v>
      </c>
      <c r="G123" s="55" t="s">
        <v>298</v>
      </c>
      <c r="H123">
        <v>76232.33</v>
      </c>
      <c r="I123">
        <v>77338.81</v>
      </c>
      <c r="J123">
        <v>-1106.48</v>
      </c>
      <c r="K123">
        <v>-1.4306917833362101</v>
      </c>
      <c r="L123">
        <v>2192</v>
      </c>
      <c r="M123">
        <v>2340</v>
      </c>
      <c r="N123">
        <v>-6.3247863247863201</v>
      </c>
    </row>
    <row r="124" spans="1:14" x14ac:dyDescent="0.25">
      <c r="A124">
        <f t="shared" si="27"/>
        <v>26</v>
      </c>
      <c r="B124">
        <f t="shared" si="28"/>
        <v>346</v>
      </c>
      <c r="C124">
        <v>34</v>
      </c>
      <c r="D124">
        <f>VLOOKUP(C124,'Store Database'!A:C,2,FALSE)</f>
        <v>2</v>
      </c>
      <c r="E124" t="str">
        <f>VLOOKUP(D124,'Store Database'!$B$3:$C$100,2,FALSE)</f>
        <v>West</v>
      </c>
      <c r="F124">
        <v>6</v>
      </c>
      <c r="G124" s="55" t="s">
        <v>299</v>
      </c>
      <c r="H124">
        <v>85308.44</v>
      </c>
      <c r="I124">
        <v>89183.29</v>
      </c>
      <c r="J124">
        <v>-3874.85</v>
      </c>
      <c r="K124">
        <v>-4.3448161645527996</v>
      </c>
      <c r="L124">
        <v>1499</v>
      </c>
      <c r="M124">
        <v>1454</v>
      </c>
      <c r="N124">
        <v>3.0949105914718</v>
      </c>
    </row>
    <row r="125" spans="1:14" x14ac:dyDescent="0.25">
      <c r="A125">
        <f t="shared" si="27"/>
        <v>27</v>
      </c>
      <c r="B125">
        <f t="shared" si="28"/>
        <v>347</v>
      </c>
      <c r="C125">
        <v>34</v>
      </c>
      <c r="D125">
        <f>VLOOKUP(C125,'Store Database'!A:C,2,FALSE)</f>
        <v>2</v>
      </c>
      <c r="E125" t="str">
        <f>VLOOKUP(D125,'Store Database'!$B$3:$C$100,2,FALSE)</f>
        <v>West</v>
      </c>
      <c r="F125">
        <v>7</v>
      </c>
      <c r="G125" s="55" t="s">
        <v>300</v>
      </c>
      <c r="H125">
        <v>28653.75</v>
      </c>
      <c r="I125">
        <v>30354.5</v>
      </c>
      <c r="J125">
        <v>-1700.75</v>
      </c>
      <c r="K125">
        <v>-5.6029583751997203</v>
      </c>
      <c r="L125">
        <v>1535</v>
      </c>
      <c r="M125">
        <v>1252</v>
      </c>
      <c r="N125">
        <v>22.6038338658147</v>
      </c>
    </row>
    <row r="126" spans="1:14" x14ac:dyDescent="0.25">
      <c r="A126">
        <f t="shared" si="27"/>
        <v>28</v>
      </c>
      <c r="B126">
        <f t="shared" si="28"/>
        <v>348</v>
      </c>
      <c r="C126">
        <v>34</v>
      </c>
      <c r="D126">
        <f>VLOOKUP(C126,'Store Database'!A:C,2,FALSE)</f>
        <v>2</v>
      </c>
      <c r="E126" t="str">
        <f>VLOOKUP(D126,'Store Database'!$B$3:$C$100,2,FALSE)</f>
        <v>West</v>
      </c>
      <c r="F126">
        <v>8</v>
      </c>
      <c r="G126" s="55" t="s">
        <v>301</v>
      </c>
      <c r="H126">
        <v>59344.85</v>
      </c>
      <c r="I126">
        <v>58628.07</v>
      </c>
      <c r="J126">
        <v>716.78</v>
      </c>
      <c r="K126">
        <v>1.2225884290579601</v>
      </c>
      <c r="L126">
        <v>1552</v>
      </c>
      <c r="M126">
        <v>1369</v>
      </c>
      <c r="N126">
        <v>13.3674214755296</v>
      </c>
    </row>
    <row r="127" spans="1:14" x14ac:dyDescent="0.25">
      <c r="A127">
        <f t="shared" si="27"/>
        <v>29</v>
      </c>
      <c r="B127">
        <f t="shared" si="28"/>
        <v>349</v>
      </c>
      <c r="C127">
        <v>34</v>
      </c>
      <c r="D127">
        <f>VLOOKUP(C127,'Store Database'!A:C,2,FALSE)</f>
        <v>2</v>
      </c>
      <c r="E127" t="str">
        <f>VLOOKUP(D127,'Store Database'!$B$3:$C$100,2,FALSE)</f>
        <v>West</v>
      </c>
      <c r="F127">
        <v>9</v>
      </c>
      <c r="G127" s="55" t="s">
        <v>302</v>
      </c>
      <c r="H127">
        <v>15672.05</v>
      </c>
      <c r="I127">
        <v>17577.34</v>
      </c>
      <c r="J127">
        <v>-1905.29</v>
      </c>
      <c r="K127">
        <v>-10.839467177627601</v>
      </c>
      <c r="L127">
        <v>4409</v>
      </c>
      <c r="M127">
        <v>2615</v>
      </c>
      <c r="N127">
        <v>68.604206500955996</v>
      </c>
    </row>
    <row r="128" spans="1:14" x14ac:dyDescent="0.25">
      <c r="A128">
        <f t="shared" si="27"/>
        <v>31</v>
      </c>
      <c r="B128">
        <f t="shared" si="28"/>
        <v>361</v>
      </c>
      <c r="C128">
        <v>36</v>
      </c>
      <c r="D128">
        <f>VLOOKUP(C128,'Store Database'!A:C,2,FALSE)</f>
        <v>3</v>
      </c>
      <c r="E128" t="str">
        <f>VLOOKUP(D128,'Store Database'!$B$3:$C$100,2,FALSE)</f>
        <v>North</v>
      </c>
      <c r="F128">
        <v>1</v>
      </c>
      <c r="G128" s="55" t="s">
        <v>294</v>
      </c>
      <c r="H128">
        <v>170305.01</v>
      </c>
      <c r="I128">
        <v>180496.07</v>
      </c>
      <c r="J128">
        <v>-10191.06</v>
      </c>
      <c r="K128">
        <v>-5.6461395530661704</v>
      </c>
      <c r="L128">
        <v>3445</v>
      </c>
      <c r="M128">
        <v>3474</v>
      </c>
      <c r="N128">
        <v>-0.83477259643062707</v>
      </c>
    </row>
    <row r="129" spans="1:14" x14ac:dyDescent="0.25">
      <c r="A129">
        <f t="shared" si="27"/>
        <v>32</v>
      </c>
      <c r="B129">
        <f t="shared" si="28"/>
        <v>362</v>
      </c>
      <c r="C129">
        <v>36</v>
      </c>
      <c r="D129">
        <f>VLOOKUP(C129,'Store Database'!A:C,2,FALSE)</f>
        <v>3</v>
      </c>
      <c r="E129" t="str">
        <f>VLOOKUP(D129,'Store Database'!$B$3:$C$100,2,FALSE)</f>
        <v>North</v>
      </c>
      <c r="F129">
        <v>2</v>
      </c>
      <c r="G129" s="55" t="s">
        <v>295</v>
      </c>
      <c r="H129">
        <v>101956.42</v>
      </c>
      <c r="I129">
        <v>110457.66</v>
      </c>
      <c r="J129">
        <v>-8501.24</v>
      </c>
      <c r="K129">
        <v>-7.6963788658930499</v>
      </c>
      <c r="L129">
        <v>2560</v>
      </c>
      <c r="M129">
        <v>2122</v>
      </c>
      <c r="N129">
        <v>20.6409048067861</v>
      </c>
    </row>
    <row r="130" spans="1:14" x14ac:dyDescent="0.25">
      <c r="A130">
        <f t="shared" si="27"/>
        <v>33</v>
      </c>
      <c r="B130">
        <f t="shared" si="28"/>
        <v>363</v>
      </c>
      <c r="C130">
        <v>36</v>
      </c>
      <c r="D130">
        <f>VLOOKUP(C130,'Store Database'!A:C,2,FALSE)</f>
        <v>3</v>
      </c>
      <c r="E130" t="str">
        <f>VLOOKUP(D130,'Store Database'!$B$3:$C$100,2,FALSE)</f>
        <v>North</v>
      </c>
      <c r="F130">
        <v>3</v>
      </c>
      <c r="G130" s="55" t="s">
        <v>296</v>
      </c>
      <c r="H130">
        <v>25743.32</v>
      </c>
      <c r="I130">
        <v>23626.86</v>
      </c>
      <c r="J130">
        <v>2116.46</v>
      </c>
      <c r="K130">
        <v>8.9578555931681105</v>
      </c>
      <c r="L130">
        <v>916</v>
      </c>
      <c r="M130">
        <v>477</v>
      </c>
      <c r="N130">
        <v>92.033542976939202</v>
      </c>
    </row>
    <row r="131" spans="1:14" x14ac:dyDescent="0.25">
      <c r="A131">
        <f t="shared" ref="A131:A194" si="29">VALUE(CONCATENATE(D131,F131))</f>
        <v>34</v>
      </c>
      <c r="B131">
        <f t="shared" ref="B131:B194" si="30">VALUE(CONCATENATE(C131,F131))</f>
        <v>364</v>
      </c>
      <c r="C131">
        <v>36</v>
      </c>
      <c r="D131">
        <f>VLOOKUP(C131,'Store Database'!A:C,2,FALSE)</f>
        <v>3</v>
      </c>
      <c r="E131" t="str">
        <f>VLOOKUP(D131,'Store Database'!$B$3:$C$100,2,FALSE)</f>
        <v>North</v>
      </c>
      <c r="F131">
        <v>4</v>
      </c>
      <c r="G131" s="55" t="s">
        <v>297</v>
      </c>
      <c r="H131">
        <v>200910.68</v>
      </c>
      <c r="I131">
        <v>227990.01</v>
      </c>
      <c r="J131">
        <v>-27079.33</v>
      </c>
      <c r="K131">
        <v>-11.8774195413211</v>
      </c>
      <c r="L131">
        <v>3248</v>
      </c>
      <c r="M131">
        <v>2222</v>
      </c>
      <c r="N131">
        <v>46.174617461746195</v>
      </c>
    </row>
    <row r="132" spans="1:14" x14ac:dyDescent="0.25">
      <c r="A132">
        <f t="shared" si="29"/>
        <v>35</v>
      </c>
      <c r="B132">
        <f t="shared" si="30"/>
        <v>365</v>
      </c>
      <c r="C132">
        <v>36</v>
      </c>
      <c r="D132">
        <f>VLOOKUP(C132,'Store Database'!A:C,2,FALSE)</f>
        <v>3</v>
      </c>
      <c r="E132" t="str">
        <f>VLOOKUP(D132,'Store Database'!$B$3:$C$100,2,FALSE)</f>
        <v>North</v>
      </c>
      <c r="F132">
        <v>5</v>
      </c>
      <c r="G132" s="55" t="s">
        <v>298</v>
      </c>
      <c r="H132">
        <v>215238.55</v>
      </c>
      <c r="I132">
        <v>248249.47</v>
      </c>
      <c r="J132">
        <v>-33010.92</v>
      </c>
      <c r="K132">
        <v>-13.2974785404376</v>
      </c>
      <c r="L132">
        <v>3300</v>
      </c>
      <c r="M132">
        <v>2767</v>
      </c>
      <c r="N132">
        <v>19.262739428984499</v>
      </c>
    </row>
    <row r="133" spans="1:14" x14ac:dyDescent="0.25">
      <c r="A133">
        <f t="shared" si="29"/>
        <v>36</v>
      </c>
      <c r="B133">
        <f t="shared" si="30"/>
        <v>366</v>
      </c>
      <c r="C133">
        <v>36</v>
      </c>
      <c r="D133">
        <f>VLOOKUP(C133,'Store Database'!A:C,2,FALSE)</f>
        <v>3</v>
      </c>
      <c r="E133" t="str">
        <f>VLOOKUP(D133,'Store Database'!$B$3:$C$100,2,FALSE)</f>
        <v>North</v>
      </c>
      <c r="F133">
        <v>6</v>
      </c>
      <c r="G133" s="55" t="s">
        <v>299</v>
      </c>
      <c r="H133">
        <v>200560.16</v>
      </c>
      <c r="I133">
        <v>214225.61</v>
      </c>
      <c r="J133">
        <v>-13665.45</v>
      </c>
      <c r="K133">
        <v>-6.3789992242290703</v>
      </c>
      <c r="L133">
        <v>2098</v>
      </c>
      <c r="M133">
        <v>2428</v>
      </c>
      <c r="N133">
        <v>-13.591433278418499</v>
      </c>
    </row>
    <row r="134" spans="1:14" x14ac:dyDescent="0.25">
      <c r="A134">
        <f t="shared" si="29"/>
        <v>37</v>
      </c>
      <c r="B134">
        <f t="shared" si="30"/>
        <v>367</v>
      </c>
      <c r="C134">
        <v>36</v>
      </c>
      <c r="D134">
        <f>VLOOKUP(C134,'Store Database'!A:C,2,FALSE)</f>
        <v>3</v>
      </c>
      <c r="E134" t="str">
        <f>VLOOKUP(D134,'Store Database'!$B$3:$C$100,2,FALSE)</f>
        <v>North</v>
      </c>
      <c r="F134">
        <v>7</v>
      </c>
      <c r="G134" s="55" t="s">
        <v>300</v>
      </c>
      <c r="H134">
        <v>64805.97</v>
      </c>
      <c r="I134">
        <v>76061.38</v>
      </c>
      <c r="J134">
        <v>-11255.41</v>
      </c>
      <c r="K134">
        <v>-14.7977988303657</v>
      </c>
      <c r="L134">
        <v>1785</v>
      </c>
      <c r="M134">
        <v>1620</v>
      </c>
      <c r="N134">
        <v>10.185185185185199</v>
      </c>
    </row>
    <row r="135" spans="1:14" x14ac:dyDescent="0.25">
      <c r="A135">
        <f t="shared" si="29"/>
        <v>38</v>
      </c>
      <c r="B135">
        <f t="shared" si="30"/>
        <v>368</v>
      </c>
      <c r="C135">
        <v>36</v>
      </c>
      <c r="D135">
        <f>VLOOKUP(C135,'Store Database'!A:C,2,FALSE)</f>
        <v>3</v>
      </c>
      <c r="E135" t="str">
        <f>VLOOKUP(D135,'Store Database'!$B$3:$C$100,2,FALSE)</f>
        <v>North</v>
      </c>
      <c r="F135">
        <v>8</v>
      </c>
      <c r="G135" s="55" t="s">
        <v>301</v>
      </c>
      <c r="H135">
        <v>114027.12</v>
      </c>
      <c r="I135">
        <v>114750.15</v>
      </c>
      <c r="J135">
        <v>-723.03</v>
      </c>
      <c r="K135">
        <v>-0.63009067962002696</v>
      </c>
      <c r="L135">
        <v>1912</v>
      </c>
      <c r="M135">
        <v>1797</v>
      </c>
      <c r="N135">
        <v>6.3995548135781899</v>
      </c>
    </row>
    <row r="136" spans="1:14" x14ac:dyDescent="0.25">
      <c r="A136">
        <f t="shared" si="29"/>
        <v>39</v>
      </c>
      <c r="B136">
        <f t="shared" si="30"/>
        <v>369</v>
      </c>
      <c r="C136">
        <v>36</v>
      </c>
      <c r="D136">
        <f>VLOOKUP(C136,'Store Database'!A:C,2,FALSE)</f>
        <v>3</v>
      </c>
      <c r="E136" t="str">
        <f>VLOOKUP(D136,'Store Database'!$B$3:$C$100,2,FALSE)</f>
        <v>North</v>
      </c>
      <c r="F136">
        <v>9</v>
      </c>
      <c r="G136" s="55" t="s">
        <v>302</v>
      </c>
      <c r="H136">
        <v>35139.550000000003</v>
      </c>
      <c r="I136">
        <v>35062.89</v>
      </c>
      <c r="J136">
        <v>76.66</v>
      </c>
      <c r="K136">
        <v>0.21863571428367701</v>
      </c>
      <c r="L136">
        <v>3661</v>
      </c>
      <c r="M136">
        <v>2573</v>
      </c>
      <c r="N136">
        <v>42.285270112708901</v>
      </c>
    </row>
    <row r="137" spans="1:14" x14ac:dyDescent="0.25">
      <c r="A137">
        <f t="shared" si="29"/>
        <v>41</v>
      </c>
      <c r="B137">
        <f t="shared" si="30"/>
        <v>381</v>
      </c>
      <c r="C137">
        <v>38</v>
      </c>
      <c r="D137">
        <f>VLOOKUP(C137,'Store Database'!A:C,2,FALSE)</f>
        <v>4</v>
      </c>
      <c r="E137" t="str">
        <f>VLOOKUP(D137,'Store Database'!$B$3:$C$100,2,FALSE)</f>
        <v>South</v>
      </c>
      <c r="F137">
        <v>1</v>
      </c>
      <c r="G137" s="55" t="s">
        <v>294</v>
      </c>
      <c r="H137">
        <v>85991.81</v>
      </c>
      <c r="I137">
        <v>77705.03</v>
      </c>
      <c r="J137">
        <v>8286.7800000000007</v>
      </c>
      <c r="K137">
        <v>10.664406152343</v>
      </c>
      <c r="L137">
        <v>1996</v>
      </c>
      <c r="M137">
        <v>1878</v>
      </c>
      <c r="N137">
        <v>6.2832800851970196</v>
      </c>
    </row>
    <row r="138" spans="1:14" x14ac:dyDescent="0.25">
      <c r="A138">
        <f t="shared" si="29"/>
        <v>42</v>
      </c>
      <c r="B138">
        <f t="shared" si="30"/>
        <v>382</v>
      </c>
      <c r="C138">
        <v>38</v>
      </c>
      <c r="D138">
        <f>VLOOKUP(C138,'Store Database'!A:C,2,FALSE)</f>
        <v>4</v>
      </c>
      <c r="E138" t="str">
        <f>VLOOKUP(D138,'Store Database'!$B$3:$C$100,2,FALSE)</f>
        <v>South</v>
      </c>
      <c r="F138">
        <v>2</v>
      </c>
      <c r="G138" s="55" t="s">
        <v>295</v>
      </c>
      <c r="H138">
        <v>44771.3</v>
      </c>
      <c r="I138">
        <v>63240.49</v>
      </c>
      <c r="J138">
        <v>-18469.189999999999</v>
      </c>
      <c r="K138">
        <v>-29.204691488000801</v>
      </c>
      <c r="L138">
        <v>1970</v>
      </c>
      <c r="M138">
        <v>1717</v>
      </c>
      <c r="N138">
        <v>14.735002912055901</v>
      </c>
    </row>
    <row r="139" spans="1:14" x14ac:dyDescent="0.25">
      <c r="A139">
        <f t="shared" si="29"/>
        <v>43</v>
      </c>
      <c r="B139">
        <f t="shared" si="30"/>
        <v>383</v>
      </c>
      <c r="C139">
        <v>38</v>
      </c>
      <c r="D139">
        <f>VLOOKUP(C139,'Store Database'!A:C,2,FALSE)</f>
        <v>4</v>
      </c>
      <c r="E139" t="str">
        <f>VLOOKUP(D139,'Store Database'!$B$3:$C$100,2,FALSE)</f>
        <v>South</v>
      </c>
      <c r="F139">
        <v>3</v>
      </c>
      <c r="G139" s="55" t="s">
        <v>296</v>
      </c>
      <c r="H139">
        <v>10985.58</v>
      </c>
      <c r="I139">
        <v>13813.84</v>
      </c>
      <c r="J139">
        <v>-2828.26</v>
      </c>
      <c r="K139">
        <v>-20.474104231698099</v>
      </c>
      <c r="L139">
        <v>606</v>
      </c>
      <c r="M139">
        <v>343</v>
      </c>
      <c r="N139">
        <v>76.676384839650197</v>
      </c>
    </row>
    <row r="140" spans="1:14" x14ac:dyDescent="0.25">
      <c r="A140">
        <f t="shared" si="29"/>
        <v>44</v>
      </c>
      <c r="B140">
        <f t="shared" si="30"/>
        <v>384</v>
      </c>
      <c r="C140">
        <v>38</v>
      </c>
      <c r="D140">
        <f>VLOOKUP(C140,'Store Database'!A:C,2,FALSE)</f>
        <v>4</v>
      </c>
      <c r="E140" t="str">
        <f>VLOOKUP(D140,'Store Database'!$B$3:$C$100,2,FALSE)</f>
        <v>South</v>
      </c>
      <c r="F140">
        <v>4</v>
      </c>
      <c r="G140" s="55" t="s">
        <v>297</v>
      </c>
      <c r="H140">
        <v>103391.48</v>
      </c>
      <c r="I140">
        <v>121453.42</v>
      </c>
      <c r="J140">
        <v>-18061.939999999999</v>
      </c>
      <c r="K140">
        <v>-14.871495590655201</v>
      </c>
      <c r="L140">
        <v>2188</v>
      </c>
      <c r="M140">
        <v>1608</v>
      </c>
      <c r="N140">
        <v>36.069651741293498</v>
      </c>
    </row>
    <row r="141" spans="1:14" x14ac:dyDescent="0.25">
      <c r="A141">
        <f t="shared" si="29"/>
        <v>45</v>
      </c>
      <c r="B141">
        <f t="shared" si="30"/>
        <v>385</v>
      </c>
      <c r="C141">
        <v>38</v>
      </c>
      <c r="D141">
        <f>VLOOKUP(C141,'Store Database'!A:C,2,FALSE)</f>
        <v>4</v>
      </c>
      <c r="E141" t="str">
        <f>VLOOKUP(D141,'Store Database'!$B$3:$C$100,2,FALSE)</f>
        <v>South</v>
      </c>
      <c r="F141">
        <v>5</v>
      </c>
      <c r="G141" s="55" t="s">
        <v>298</v>
      </c>
      <c r="H141">
        <v>130879.47</v>
      </c>
      <c r="I141">
        <v>137720.88</v>
      </c>
      <c r="J141">
        <v>-6841.41</v>
      </c>
      <c r="K141">
        <v>-4.96759097095517</v>
      </c>
      <c r="L141">
        <v>2442</v>
      </c>
      <c r="M141">
        <v>2317</v>
      </c>
      <c r="N141">
        <v>5.39490720759603</v>
      </c>
    </row>
    <row r="142" spans="1:14" x14ac:dyDescent="0.25">
      <c r="A142">
        <f t="shared" si="29"/>
        <v>46</v>
      </c>
      <c r="B142">
        <f t="shared" si="30"/>
        <v>386</v>
      </c>
      <c r="C142">
        <v>38</v>
      </c>
      <c r="D142">
        <f>VLOOKUP(C142,'Store Database'!A:C,2,FALSE)</f>
        <v>4</v>
      </c>
      <c r="E142" t="str">
        <f>VLOOKUP(D142,'Store Database'!$B$3:$C$100,2,FALSE)</f>
        <v>South</v>
      </c>
      <c r="F142">
        <v>6</v>
      </c>
      <c r="G142" s="55" t="s">
        <v>299</v>
      </c>
      <c r="H142">
        <v>124250.19</v>
      </c>
      <c r="I142">
        <v>124045.17</v>
      </c>
      <c r="J142">
        <v>205.02</v>
      </c>
      <c r="K142">
        <v>0.16527850298403399</v>
      </c>
      <c r="L142">
        <v>1398</v>
      </c>
      <c r="M142">
        <v>1682</v>
      </c>
      <c r="N142">
        <v>-16.884661117717002</v>
      </c>
    </row>
    <row r="143" spans="1:14" x14ac:dyDescent="0.25">
      <c r="A143">
        <f t="shared" si="29"/>
        <v>47</v>
      </c>
      <c r="B143">
        <f t="shared" si="30"/>
        <v>387</v>
      </c>
      <c r="C143">
        <v>38</v>
      </c>
      <c r="D143">
        <f>VLOOKUP(C143,'Store Database'!A:C,2,FALSE)</f>
        <v>4</v>
      </c>
      <c r="E143" t="str">
        <f>VLOOKUP(D143,'Store Database'!$B$3:$C$100,2,FALSE)</f>
        <v>South</v>
      </c>
      <c r="F143">
        <v>7</v>
      </c>
      <c r="G143" s="55" t="s">
        <v>300</v>
      </c>
      <c r="H143">
        <v>41878.22</v>
      </c>
      <c r="I143">
        <v>40675.78</v>
      </c>
      <c r="J143">
        <v>1202.44</v>
      </c>
      <c r="K143">
        <v>2.9561572021483098</v>
      </c>
      <c r="L143">
        <v>1530</v>
      </c>
      <c r="M143">
        <v>1303</v>
      </c>
      <c r="N143">
        <v>17.4213353798926</v>
      </c>
    </row>
    <row r="144" spans="1:14" x14ac:dyDescent="0.25">
      <c r="A144">
        <f t="shared" si="29"/>
        <v>48</v>
      </c>
      <c r="B144">
        <f t="shared" si="30"/>
        <v>388</v>
      </c>
      <c r="C144">
        <v>38</v>
      </c>
      <c r="D144">
        <f>VLOOKUP(C144,'Store Database'!A:C,2,FALSE)</f>
        <v>4</v>
      </c>
      <c r="E144" t="str">
        <f>VLOOKUP(D144,'Store Database'!$B$3:$C$100,2,FALSE)</f>
        <v>South</v>
      </c>
      <c r="F144">
        <v>8</v>
      </c>
      <c r="G144" s="55" t="s">
        <v>301</v>
      </c>
      <c r="H144">
        <v>72262.820000000007</v>
      </c>
      <c r="I144">
        <v>84460.77</v>
      </c>
      <c r="J144">
        <v>-12197.95</v>
      </c>
      <c r="K144">
        <v>-14.442148704067</v>
      </c>
      <c r="L144">
        <v>1572</v>
      </c>
      <c r="M144">
        <v>1402</v>
      </c>
      <c r="N144">
        <v>12.1255349500713</v>
      </c>
    </row>
    <row r="145" spans="1:14" x14ac:dyDescent="0.25">
      <c r="A145">
        <f t="shared" si="29"/>
        <v>49</v>
      </c>
      <c r="B145">
        <f t="shared" si="30"/>
        <v>389</v>
      </c>
      <c r="C145">
        <v>38</v>
      </c>
      <c r="D145">
        <f>VLOOKUP(C145,'Store Database'!A:C,2,FALSE)</f>
        <v>4</v>
      </c>
      <c r="E145" t="str">
        <f>VLOOKUP(D145,'Store Database'!$B$3:$C$100,2,FALSE)</f>
        <v>South</v>
      </c>
      <c r="F145">
        <v>9</v>
      </c>
      <c r="G145" s="55" t="s">
        <v>302</v>
      </c>
      <c r="H145">
        <v>20899.150000000001</v>
      </c>
      <c r="I145">
        <v>24933.42</v>
      </c>
      <c r="J145">
        <v>-4034.27</v>
      </c>
      <c r="K145">
        <v>-16.180171031491099</v>
      </c>
      <c r="L145">
        <v>3598</v>
      </c>
      <c r="M145">
        <v>2053</v>
      </c>
      <c r="N145">
        <v>75.255723331709703</v>
      </c>
    </row>
    <row r="146" spans="1:14" x14ac:dyDescent="0.25">
      <c r="A146">
        <f t="shared" si="29"/>
        <v>11</v>
      </c>
      <c r="B146">
        <f t="shared" si="30"/>
        <v>431</v>
      </c>
      <c r="C146">
        <v>43</v>
      </c>
      <c r="D146">
        <f>VLOOKUP(C146,'Store Database'!A:C,2,FALSE)</f>
        <v>1</v>
      </c>
      <c r="E146" t="str">
        <f>VLOOKUP(D146,'Store Database'!$B$3:$C$100,2,FALSE)</f>
        <v>East</v>
      </c>
      <c r="F146">
        <v>1</v>
      </c>
      <c r="G146" s="55" t="s">
        <v>294</v>
      </c>
      <c r="H146">
        <v>197350.86</v>
      </c>
      <c r="I146">
        <v>187814.65</v>
      </c>
      <c r="J146">
        <v>9536.2099999999991</v>
      </c>
      <c r="K146">
        <v>5.0774580151228896</v>
      </c>
      <c r="L146">
        <v>3602</v>
      </c>
      <c r="M146">
        <v>4033</v>
      </c>
      <c r="N146">
        <v>-10.686833622613399</v>
      </c>
    </row>
    <row r="147" spans="1:14" x14ac:dyDescent="0.25">
      <c r="A147">
        <f t="shared" si="29"/>
        <v>12</v>
      </c>
      <c r="B147">
        <f t="shared" si="30"/>
        <v>432</v>
      </c>
      <c r="C147">
        <v>43</v>
      </c>
      <c r="D147">
        <f>VLOOKUP(C147,'Store Database'!A:C,2,FALSE)</f>
        <v>1</v>
      </c>
      <c r="E147" t="str">
        <f>VLOOKUP(D147,'Store Database'!$B$3:$C$100,2,FALSE)</f>
        <v>East</v>
      </c>
      <c r="F147">
        <v>2</v>
      </c>
      <c r="G147" s="55" t="s">
        <v>295</v>
      </c>
      <c r="H147">
        <v>121291.35</v>
      </c>
      <c r="I147">
        <v>123979.94</v>
      </c>
      <c r="J147">
        <v>-2688.59</v>
      </c>
      <c r="K147">
        <v>-2.1685685603654901</v>
      </c>
      <c r="L147">
        <v>2856</v>
      </c>
      <c r="M147">
        <v>2434</v>
      </c>
      <c r="N147">
        <v>17.337715694330299</v>
      </c>
    </row>
    <row r="148" spans="1:14" x14ac:dyDescent="0.25">
      <c r="A148">
        <f t="shared" si="29"/>
        <v>13</v>
      </c>
      <c r="B148">
        <f t="shared" si="30"/>
        <v>433</v>
      </c>
      <c r="C148">
        <v>43</v>
      </c>
      <c r="D148">
        <f>VLOOKUP(C148,'Store Database'!A:C,2,FALSE)</f>
        <v>1</v>
      </c>
      <c r="E148" t="str">
        <f>VLOOKUP(D148,'Store Database'!$B$3:$C$100,2,FALSE)</f>
        <v>East</v>
      </c>
      <c r="F148">
        <v>3</v>
      </c>
      <c r="G148" s="55" t="s">
        <v>296</v>
      </c>
      <c r="H148">
        <v>28920.29</v>
      </c>
      <c r="I148">
        <v>32807.160000000003</v>
      </c>
      <c r="J148">
        <v>-3886.87</v>
      </c>
      <c r="K148">
        <v>-11.847627164314099</v>
      </c>
      <c r="L148">
        <v>1104</v>
      </c>
      <c r="M148">
        <v>660</v>
      </c>
      <c r="N148">
        <v>67.272727272727295</v>
      </c>
    </row>
    <row r="149" spans="1:14" x14ac:dyDescent="0.25">
      <c r="A149">
        <f t="shared" si="29"/>
        <v>14</v>
      </c>
      <c r="B149">
        <f t="shared" si="30"/>
        <v>434</v>
      </c>
      <c r="C149">
        <v>43</v>
      </c>
      <c r="D149">
        <f>VLOOKUP(C149,'Store Database'!A:C,2,FALSE)</f>
        <v>1</v>
      </c>
      <c r="E149" t="str">
        <f>VLOOKUP(D149,'Store Database'!$B$3:$C$100,2,FALSE)</f>
        <v>East</v>
      </c>
      <c r="F149">
        <v>4</v>
      </c>
      <c r="G149" s="55" t="s">
        <v>297</v>
      </c>
      <c r="H149">
        <v>225443.12</v>
      </c>
      <c r="I149">
        <v>239950.4</v>
      </c>
      <c r="J149">
        <v>-14507.28</v>
      </c>
      <c r="K149">
        <v>-6.0459494962292197</v>
      </c>
      <c r="L149">
        <v>3397</v>
      </c>
      <c r="M149">
        <v>2118</v>
      </c>
      <c r="N149">
        <v>60.387157695939599</v>
      </c>
    </row>
    <row r="150" spans="1:14" x14ac:dyDescent="0.25">
      <c r="A150">
        <f t="shared" si="29"/>
        <v>15</v>
      </c>
      <c r="B150">
        <f t="shared" si="30"/>
        <v>435</v>
      </c>
      <c r="C150">
        <v>43</v>
      </c>
      <c r="D150">
        <f>VLOOKUP(C150,'Store Database'!A:C,2,FALSE)</f>
        <v>1</v>
      </c>
      <c r="E150" t="str">
        <f>VLOOKUP(D150,'Store Database'!$B$3:$C$100,2,FALSE)</f>
        <v>East</v>
      </c>
      <c r="F150">
        <v>5</v>
      </c>
      <c r="G150" s="55" t="s">
        <v>298</v>
      </c>
      <c r="H150">
        <v>253614.09</v>
      </c>
      <c r="I150">
        <v>244325.87</v>
      </c>
      <c r="J150">
        <v>9288.2199999999993</v>
      </c>
      <c r="K150">
        <v>3.8015704190473198</v>
      </c>
      <c r="L150">
        <v>3041</v>
      </c>
      <c r="M150">
        <v>2748</v>
      </c>
      <c r="N150">
        <v>10.662299854439599</v>
      </c>
    </row>
    <row r="151" spans="1:14" x14ac:dyDescent="0.25">
      <c r="A151">
        <f t="shared" si="29"/>
        <v>16</v>
      </c>
      <c r="B151">
        <f t="shared" si="30"/>
        <v>436</v>
      </c>
      <c r="C151">
        <v>43</v>
      </c>
      <c r="D151">
        <f>VLOOKUP(C151,'Store Database'!A:C,2,FALSE)</f>
        <v>1</v>
      </c>
      <c r="E151" t="str">
        <f>VLOOKUP(D151,'Store Database'!$B$3:$C$100,2,FALSE)</f>
        <v>East</v>
      </c>
      <c r="F151">
        <v>6</v>
      </c>
      <c r="G151" s="55" t="s">
        <v>299</v>
      </c>
      <c r="H151">
        <v>223514.27</v>
      </c>
      <c r="I151">
        <v>221624.14</v>
      </c>
      <c r="J151">
        <v>1890.13</v>
      </c>
      <c r="K151">
        <v>0.85285384525350005</v>
      </c>
      <c r="L151">
        <v>2556</v>
      </c>
      <c r="M151">
        <v>3068</v>
      </c>
      <c r="N151">
        <v>-16.688396349413299</v>
      </c>
    </row>
    <row r="152" spans="1:14" x14ac:dyDescent="0.25">
      <c r="A152">
        <f t="shared" si="29"/>
        <v>17</v>
      </c>
      <c r="B152">
        <f t="shared" si="30"/>
        <v>437</v>
      </c>
      <c r="C152">
        <v>43</v>
      </c>
      <c r="D152">
        <f>VLOOKUP(C152,'Store Database'!A:C,2,FALSE)</f>
        <v>1</v>
      </c>
      <c r="E152" t="str">
        <f>VLOOKUP(D152,'Store Database'!$B$3:$C$100,2,FALSE)</f>
        <v>East</v>
      </c>
      <c r="F152">
        <v>7</v>
      </c>
      <c r="G152" s="55" t="s">
        <v>300</v>
      </c>
      <c r="H152">
        <v>68050.070000000007</v>
      </c>
      <c r="I152">
        <v>70386</v>
      </c>
      <c r="J152">
        <v>-2335.9299999999998</v>
      </c>
      <c r="K152">
        <v>-3.3187423635381998</v>
      </c>
      <c r="L152">
        <v>1853</v>
      </c>
      <c r="M152">
        <v>1529</v>
      </c>
      <c r="N152">
        <v>21.190320470896001</v>
      </c>
    </row>
    <row r="153" spans="1:14" x14ac:dyDescent="0.25">
      <c r="A153">
        <f t="shared" si="29"/>
        <v>18</v>
      </c>
      <c r="B153">
        <f t="shared" si="30"/>
        <v>438</v>
      </c>
      <c r="C153">
        <v>43</v>
      </c>
      <c r="D153">
        <f>VLOOKUP(C153,'Store Database'!A:C,2,FALSE)</f>
        <v>1</v>
      </c>
      <c r="E153" t="str">
        <f>VLOOKUP(D153,'Store Database'!$B$3:$C$100,2,FALSE)</f>
        <v>East</v>
      </c>
      <c r="F153">
        <v>8</v>
      </c>
      <c r="G153" s="55" t="s">
        <v>301</v>
      </c>
      <c r="H153">
        <v>131838.18</v>
      </c>
      <c r="I153">
        <v>125491.14</v>
      </c>
      <c r="J153">
        <v>6347.04</v>
      </c>
      <c r="K153">
        <v>5.0577594561655896</v>
      </c>
      <c r="L153">
        <v>1942</v>
      </c>
      <c r="M153">
        <v>1518</v>
      </c>
      <c r="N153">
        <v>27.931488801053998</v>
      </c>
    </row>
    <row r="154" spans="1:14" x14ac:dyDescent="0.25">
      <c r="A154">
        <f t="shared" si="29"/>
        <v>19</v>
      </c>
      <c r="B154">
        <f t="shared" si="30"/>
        <v>439</v>
      </c>
      <c r="C154">
        <v>43</v>
      </c>
      <c r="D154">
        <f>VLOOKUP(C154,'Store Database'!A:C,2,FALSE)</f>
        <v>1</v>
      </c>
      <c r="E154" t="str">
        <f>VLOOKUP(D154,'Store Database'!$B$3:$C$100,2,FALSE)</f>
        <v>East</v>
      </c>
      <c r="F154">
        <v>9</v>
      </c>
      <c r="G154" s="55" t="s">
        <v>302</v>
      </c>
      <c r="H154">
        <v>35845.65</v>
      </c>
      <c r="I154">
        <v>37675.129999999997</v>
      </c>
      <c r="J154">
        <v>-1829.48</v>
      </c>
      <c r="K154">
        <v>-4.85593546724325</v>
      </c>
      <c r="L154">
        <v>4177</v>
      </c>
      <c r="M154">
        <v>2283</v>
      </c>
      <c r="N154">
        <v>82.961016206745498</v>
      </c>
    </row>
    <row r="155" spans="1:14" x14ac:dyDescent="0.25">
      <c r="A155">
        <f t="shared" si="29"/>
        <v>21</v>
      </c>
      <c r="B155">
        <f t="shared" si="30"/>
        <v>451</v>
      </c>
      <c r="C155">
        <v>45</v>
      </c>
      <c r="D155">
        <f>VLOOKUP(C155,'Store Database'!A:C,2,FALSE)</f>
        <v>2</v>
      </c>
      <c r="E155" t="str">
        <f>VLOOKUP(D155,'Store Database'!$B$3:$C$100,2,FALSE)</f>
        <v>West</v>
      </c>
      <c r="F155">
        <v>1</v>
      </c>
      <c r="G155" s="55" t="s">
        <v>294</v>
      </c>
      <c r="H155">
        <v>52902.78</v>
      </c>
      <c r="I155">
        <v>67827.679999999993</v>
      </c>
      <c r="J155">
        <v>-14924.9</v>
      </c>
      <c r="K155">
        <v>-22.0041434411438</v>
      </c>
      <c r="L155">
        <v>2138</v>
      </c>
      <c r="M155">
        <v>1702</v>
      </c>
      <c r="N155">
        <v>25.616921269095201</v>
      </c>
    </row>
    <row r="156" spans="1:14" x14ac:dyDescent="0.25">
      <c r="A156">
        <f t="shared" si="29"/>
        <v>22</v>
      </c>
      <c r="B156">
        <f t="shared" si="30"/>
        <v>452</v>
      </c>
      <c r="C156">
        <v>45</v>
      </c>
      <c r="D156">
        <f>VLOOKUP(C156,'Store Database'!A:C,2,FALSE)</f>
        <v>2</v>
      </c>
      <c r="E156" t="str">
        <f>VLOOKUP(D156,'Store Database'!$B$3:$C$100,2,FALSE)</f>
        <v>West</v>
      </c>
      <c r="F156">
        <v>2</v>
      </c>
      <c r="G156" s="55" t="s">
        <v>295</v>
      </c>
      <c r="H156">
        <v>34290.35</v>
      </c>
      <c r="I156">
        <v>45656.9</v>
      </c>
      <c r="J156">
        <v>-11366.55</v>
      </c>
      <c r="K156">
        <v>-24.89557985759</v>
      </c>
      <c r="L156">
        <v>2133</v>
      </c>
      <c r="M156">
        <v>1687</v>
      </c>
      <c r="N156">
        <v>26.4374629519858</v>
      </c>
    </row>
    <row r="157" spans="1:14" x14ac:dyDescent="0.25">
      <c r="A157">
        <f t="shared" si="29"/>
        <v>23</v>
      </c>
      <c r="B157">
        <f t="shared" si="30"/>
        <v>453</v>
      </c>
      <c r="C157">
        <v>45</v>
      </c>
      <c r="D157">
        <f>VLOOKUP(C157,'Store Database'!A:C,2,FALSE)</f>
        <v>2</v>
      </c>
      <c r="E157" t="str">
        <f>VLOOKUP(D157,'Store Database'!$B$3:$C$100,2,FALSE)</f>
        <v>West</v>
      </c>
      <c r="F157">
        <v>3</v>
      </c>
      <c r="G157" s="55" t="s">
        <v>296</v>
      </c>
      <c r="H157">
        <v>6683.9</v>
      </c>
      <c r="I157">
        <v>6593.55</v>
      </c>
      <c r="J157">
        <v>90.35</v>
      </c>
      <c r="K157">
        <v>1.37027852977531</v>
      </c>
      <c r="L157">
        <v>425</v>
      </c>
      <c r="M157">
        <v>211</v>
      </c>
      <c r="N157">
        <v>101.42180094786698</v>
      </c>
    </row>
    <row r="158" spans="1:14" x14ac:dyDescent="0.25">
      <c r="A158">
        <f t="shared" si="29"/>
        <v>24</v>
      </c>
      <c r="B158">
        <f t="shared" si="30"/>
        <v>454</v>
      </c>
      <c r="C158">
        <v>45</v>
      </c>
      <c r="D158">
        <f>VLOOKUP(C158,'Store Database'!A:C,2,FALSE)</f>
        <v>2</v>
      </c>
      <c r="E158" t="str">
        <f>VLOOKUP(D158,'Store Database'!$B$3:$C$100,2,FALSE)</f>
        <v>West</v>
      </c>
      <c r="F158">
        <v>4</v>
      </c>
      <c r="G158" s="55" t="s">
        <v>297</v>
      </c>
      <c r="H158">
        <v>67161.899999999994</v>
      </c>
      <c r="I158">
        <v>102349.38</v>
      </c>
      <c r="J158">
        <v>-35187.480000000003</v>
      </c>
      <c r="K158">
        <v>-34.3797685926383</v>
      </c>
      <c r="L158">
        <v>2367</v>
      </c>
      <c r="M158">
        <v>1650</v>
      </c>
      <c r="N158">
        <v>43.454545454545503</v>
      </c>
    </row>
    <row r="159" spans="1:14" x14ac:dyDescent="0.25">
      <c r="A159">
        <f t="shared" si="29"/>
        <v>25</v>
      </c>
      <c r="B159">
        <f t="shared" si="30"/>
        <v>455</v>
      </c>
      <c r="C159">
        <v>45</v>
      </c>
      <c r="D159">
        <f>VLOOKUP(C159,'Store Database'!A:C,2,FALSE)</f>
        <v>2</v>
      </c>
      <c r="E159" t="str">
        <f>VLOOKUP(D159,'Store Database'!$B$3:$C$100,2,FALSE)</f>
        <v>West</v>
      </c>
      <c r="F159">
        <v>5</v>
      </c>
      <c r="G159" s="55" t="s">
        <v>298</v>
      </c>
      <c r="H159">
        <v>80177.84</v>
      </c>
      <c r="I159">
        <v>93106.74</v>
      </c>
      <c r="J159">
        <v>-12928.9</v>
      </c>
      <c r="K159">
        <v>-13.8861053453273</v>
      </c>
      <c r="L159">
        <v>2343</v>
      </c>
      <c r="M159">
        <v>2039</v>
      </c>
      <c r="N159">
        <v>14.909269249632201</v>
      </c>
    </row>
    <row r="160" spans="1:14" x14ac:dyDescent="0.25">
      <c r="A160">
        <f t="shared" si="29"/>
        <v>26</v>
      </c>
      <c r="B160">
        <f t="shared" si="30"/>
        <v>456</v>
      </c>
      <c r="C160">
        <v>45</v>
      </c>
      <c r="D160">
        <f>VLOOKUP(C160,'Store Database'!A:C,2,FALSE)</f>
        <v>2</v>
      </c>
      <c r="E160" t="str">
        <f>VLOOKUP(D160,'Store Database'!$B$3:$C$100,2,FALSE)</f>
        <v>West</v>
      </c>
      <c r="F160">
        <v>6</v>
      </c>
      <c r="G160" s="55" t="s">
        <v>299</v>
      </c>
      <c r="H160">
        <v>88796.62</v>
      </c>
      <c r="I160">
        <v>104996.26</v>
      </c>
      <c r="J160">
        <v>-16199.64</v>
      </c>
      <c r="K160">
        <v>-15.4287781298115</v>
      </c>
      <c r="L160">
        <v>1699</v>
      </c>
      <c r="M160">
        <v>1316</v>
      </c>
      <c r="N160">
        <v>29.103343465045601</v>
      </c>
    </row>
    <row r="161" spans="1:14" x14ac:dyDescent="0.25">
      <c r="A161">
        <f t="shared" si="29"/>
        <v>27</v>
      </c>
      <c r="B161">
        <f t="shared" si="30"/>
        <v>457</v>
      </c>
      <c r="C161">
        <v>45</v>
      </c>
      <c r="D161">
        <f>VLOOKUP(C161,'Store Database'!A:C,2,FALSE)</f>
        <v>2</v>
      </c>
      <c r="E161" t="str">
        <f>VLOOKUP(D161,'Store Database'!$B$3:$C$100,2,FALSE)</f>
        <v>West</v>
      </c>
      <c r="F161">
        <v>7</v>
      </c>
      <c r="G161" s="55" t="s">
        <v>300</v>
      </c>
      <c r="H161">
        <v>35723.660000000003</v>
      </c>
      <c r="I161">
        <v>37584.699999999997</v>
      </c>
      <c r="J161">
        <v>-1861.04</v>
      </c>
      <c r="K161">
        <v>-4.9515893435360701</v>
      </c>
      <c r="L161">
        <v>1717</v>
      </c>
      <c r="M161">
        <v>1229</v>
      </c>
      <c r="N161">
        <v>39.707078925956104</v>
      </c>
    </row>
    <row r="162" spans="1:14" x14ac:dyDescent="0.25">
      <c r="A162">
        <f t="shared" si="29"/>
        <v>28</v>
      </c>
      <c r="B162">
        <f t="shared" si="30"/>
        <v>458</v>
      </c>
      <c r="C162">
        <v>45</v>
      </c>
      <c r="D162">
        <f>VLOOKUP(C162,'Store Database'!A:C,2,FALSE)</f>
        <v>2</v>
      </c>
      <c r="E162" t="str">
        <f>VLOOKUP(D162,'Store Database'!$B$3:$C$100,2,FALSE)</f>
        <v>West</v>
      </c>
      <c r="F162">
        <v>8</v>
      </c>
      <c r="G162" s="55" t="s">
        <v>301</v>
      </c>
      <c r="H162">
        <v>56702.45</v>
      </c>
      <c r="I162">
        <v>64575.67</v>
      </c>
      <c r="J162">
        <v>-7873.22</v>
      </c>
      <c r="K162">
        <v>-12.1922389655423</v>
      </c>
      <c r="L162">
        <v>1595</v>
      </c>
      <c r="M162">
        <v>1413</v>
      </c>
      <c r="N162">
        <v>12.880396319886799</v>
      </c>
    </row>
    <row r="163" spans="1:14" x14ac:dyDescent="0.25">
      <c r="A163">
        <f t="shared" si="29"/>
        <v>29</v>
      </c>
      <c r="B163">
        <f t="shared" si="30"/>
        <v>459</v>
      </c>
      <c r="C163">
        <v>45</v>
      </c>
      <c r="D163">
        <f>VLOOKUP(C163,'Store Database'!A:C,2,FALSE)</f>
        <v>2</v>
      </c>
      <c r="E163" t="str">
        <f>VLOOKUP(D163,'Store Database'!$B$3:$C$100,2,FALSE)</f>
        <v>West</v>
      </c>
      <c r="F163">
        <v>9</v>
      </c>
      <c r="G163" s="55" t="s">
        <v>302</v>
      </c>
      <c r="H163">
        <v>11947.43</v>
      </c>
      <c r="I163">
        <v>12739.23</v>
      </c>
      <c r="J163">
        <v>-791.8</v>
      </c>
      <c r="K163">
        <v>-6.2154463024845299</v>
      </c>
      <c r="L163">
        <v>4037</v>
      </c>
      <c r="M163">
        <v>2946</v>
      </c>
      <c r="N163">
        <v>37.033265444670697</v>
      </c>
    </row>
    <row r="164" spans="1:14" x14ac:dyDescent="0.25">
      <c r="A164">
        <f t="shared" si="29"/>
        <v>31</v>
      </c>
      <c r="B164">
        <f t="shared" si="30"/>
        <v>471</v>
      </c>
      <c r="C164">
        <v>47</v>
      </c>
      <c r="D164">
        <f>VLOOKUP(C164,'Store Database'!A:C,2,FALSE)</f>
        <v>3</v>
      </c>
      <c r="E164" t="str">
        <f>VLOOKUP(D164,'Store Database'!$B$3:$C$100,2,FALSE)</f>
        <v>North</v>
      </c>
      <c r="F164">
        <v>1</v>
      </c>
      <c r="G164" s="55" t="s">
        <v>294</v>
      </c>
      <c r="H164">
        <v>179752.07</v>
      </c>
      <c r="I164">
        <v>142120.01</v>
      </c>
      <c r="J164">
        <v>37632.06</v>
      </c>
      <c r="K164">
        <v>26.479072158804399</v>
      </c>
      <c r="L164">
        <v>3125</v>
      </c>
      <c r="M164">
        <v>2230</v>
      </c>
      <c r="N164">
        <v>40.1345291479821</v>
      </c>
    </row>
    <row r="165" spans="1:14" x14ac:dyDescent="0.25">
      <c r="A165">
        <f t="shared" si="29"/>
        <v>32</v>
      </c>
      <c r="B165">
        <f t="shared" si="30"/>
        <v>472</v>
      </c>
      <c r="C165">
        <v>47</v>
      </c>
      <c r="D165">
        <f>VLOOKUP(C165,'Store Database'!A:C,2,FALSE)</f>
        <v>3</v>
      </c>
      <c r="E165" t="str">
        <f>VLOOKUP(D165,'Store Database'!$B$3:$C$100,2,FALSE)</f>
        <v>North</v>
      </c>
      <c r="F165">
        <v>2</v>
      </c>
      <c r="G165" s="55" t="s">
        <v>295</v>
      </c>
      <c r="H165">
        <v>100513.44</v>
      </c>
      <c r="I165">
        <v>109391.44</v>
      </c>
      <c r="J165">
        <v>-8878</v>
      </c>
      <c r="K165">
        <v>-8.1158086958175204</v>
      </c>
      <c r="L165">
        <v>4011</v>
      </c>
      <c r="M165">
        <v>2971</v>
      </c>
      <c r="N165">
        <v>35.005048805116104</v>
      </c>
    </row>
    <row r="166" spans="1:14" x14ac:dyDescent="0.25">
      <c r="A166">
        <f t="shared" si="29"/>
        <v>33</v>
      </c>
      <c r="B166">
        <f t="shared" si="30"/>
        <v>473</v>
      </c>
      <c r="C166">
        <v>47</v>
      </c>
      <c r="D166">
        <f>VLOOKUP(C166,'Store Database'!A:C,2,FALSE)</f>
        <v>3</v>
      </c>
      <c r="E166" t="str">
        <f>VLOOKUP(D166,'Store Database'!$B$3:$C$100,2,FALSE)</f>
        <v>North</v>
      </c>
      <c r="F166">
        <v>3</v>
      </c>
      <c r="G166" s="55" t="s">
        <v>296</v>
      </c>
      <c r="H166">
        <v>4274.5</v>
      </c>
      <c r="I166">
        <v>4730.7299999999996</v>
      </c>
      <c r="J166">
        <v>-456.23</v>
      </c>
      <c r="K166">
        <v>-9.6439661532152599</v>
      </c>
      <c r="L166">
        <v>108</v>
      </c>
      <c r="M166">
        <v>45</v>
      </c>
      <c r="N166">
        <v>140</v>
      </c>
    </row>
    <row r="167" spans="1:14" x14ac:dyDescent="0.25">
      <c r="A167">
        <f t="shared" si="29"/>
        <v>34</v>
      </c>
      <c r="B167">
        <f t="shared" si="30"/>
        <v>474</v>
      </c>
      <c r="C167">
        <v>47</v>
      </c>
      <c r="D167">
        <f>VLOOKUP(C167,'Store Database'!A:C,2,FALSE)</f>
        <v>3</v>
      </c>
      <c r="E167" t="str">
        <f>VLOOKUP(D167,'Store Database'!$B$3:$C$100,2,FALSE)</f>
        <v>North</v>
      </c>
      <c r="F167">
        <v>4</v>
      </c>
      <c r="G167" s="55" t="s">
        <v>297</v>
      </c>
      <c r="H167">
        <v>204328.08</v>
      </c>
      <c r="I167">
        <v>231931.09</v>
      </c>
      <c r="J167">
        <v>-27603.01</v>
      </c>
      <c r="K167">
        <v>-11.901384156820001</v>
      </c>
      <c r="L167">
        <v>4061</v>
      </c>
      <c r="M167">
        <v>2506</v>
      </c>
      <c r="N167">
        <v>62.051077414205899</v>
      </c>
    </row>
    <row r="168" spans="1:14" x14ac:dyDescent="0.25">
      <c r="A168">
        <f t="shared" si="29"/>
        <v>35</v>
      </c>
      <c r="B168">
        <f t="shared" si="30"/>
        <v>475</v>
      </c>
      <c r="C168">
        <v>47</v>
      </c>
      <c r="D168">
        <f>VLOOKUP(C168,'Store Database'!A:C,2,FALSE)</f>
        <v>3</v>
      </c>
      <c r="E168" t="str">
        <f>VLOOKUP(D168,'Store Database'!$B$3:$C$100,2,FALSE)</f>
        <v>North</v>
      </c>
      <c r="F168">
        <v>5</v>
      </c>
      <c r="G168" s="55" t="s">
        <v>298</v>
      </c>
      <c r="H168">
        <v>246800.97</v>
      </c>
      <c r="I168">
        <v>211616.84</v>
      </c>
      <c r="J168">
        <v>35184.129999999997</v>
      </c>
      <c r="K168">
        <v>16.626337488075102</v>
      </c>
      <c r="L168">
        <v>3030</v>
      </c>
      <c r="M168">
        <v>2482</v>
      </c>
      <c r="N168">
        <v>22.078968573730901</v>
      </c>
    </row>
    <row r="169" spans="1:14" x14ac:dyDescent="0.25">
      <c r="A169">
        <f t="shared" si="29"/>
        <v>36</v>
      </c>
      <c r="B169">
        <f t="shared" si="30"/>
        <v>476</v>
      </c>
      <c r="C169">
        <v>47</v>
      </c>
      <c r="D169">
        <f>VLOOKUP(C169,'Store Database'!A:C,2,FALSE)</f>
        <v>3</v>
      </c>
      <c r="E169" t="str">
        <f>VLOOKUP(D169,'Store Database'!$B$3:$C$100,2,FALSE)</f>
        <v>North</v>
      </c>
      <c r="F169">
        <v>6</v>
      </c>
      <c r="G169" s="55" t="s">
        <v>299</v>
      </c>
      <c r="H169">
        <v>233430.06</v>
      </c>
      <c r="I169">
        <v>264971.33</v>
      </c>
      <c r="J169">
        <v>-31541.27</v>
      </c>
      <c r="K169">
        <v>-11.9036538783271</v>
      </c>
      <c r="L169">
        <v>3419</v>
      </c>
      <c r="M169">
        <v>3274</v>
      </c>
      <c r="N169">
        <v>4.4288332315210805</v>
      </c>
    </row>
    <row r="170" spans="1:14" x14ac:dyDescent="0.25">
      <c r="A170">
        <f t="shared" si="29"/>
        <v>37</v>
      </c>
      <c r="B170">
        <f t="shared" si="30"/>
        <v>477</v>
      </c>
      <c r="C170">
        <v>47</v>
      </c>
      <c r="D170">
        <f>VLOOKUP(C170,'Store Database'!A:C,2,FALSE)</f>
        <v>3</v>
      </c>
      <c r="E170" t="str">
        <f>VLOOKUP(D170,'Store Database'!$B$3:$C$100,2,FALSE)</f>
        <v>North</v>
      </c>
      <c r="F170">
        <v>7</v>
      </c>
      <c r="G170" s="55" t="s">
        <v>300</v>
      </c>
      <c r="H170">
        <v>93374.67</v>
      </c>
      <c r="I170">
        <v>81304</v>
      </c>
      <c r="J170">
        <v>12070.67</v>
      </c>
      <c r="K170">
        <v>14.8463421233888</v>
      </c>
      <c r="L170">
        <v>2555</v>
      </c>
      <c r="M170">
        <v>1863</v>
      </c>
      <c r="N170">
        <v>37.144390767579196</v>
      </c>
    </row>
    <row r="171" spans="1:14" x14ac:dyDescent="0.25">
      <c r="A171">
        <f t="shared" si="29"/>
        <v>38</v>
      </c>
      <c r="B171">
        <f t="shared" si="30"/>
        <v>478</v>
      </c>
      <c r="C171">
        <v>47</v>
      </c>
      <c r="D171">
        <f>VLOOKUP(C171,'Store Database'!A:C,2,FALSE)</f>
        <v>3</v>
      </c>
      <c r="E171" t="str">
        <f>VLOOKUP(D171,'Store Database'!$B$3:$C$100,2,FALSE)</f>
        <v>North</v>
      </c>
      <c r="F171">
        <v>8</v>
      </c>
      <c r="G171" s="55" t="s">
        <v>301</v>
      </c>
      <c r="H171">
        <v>147205.01999999999</v>
      </c>
      <c r="I171">
        <v>162043.25</v>
      </c>
      <c r="J171">
        <v>-14838.23</v>
      </c>
      <c r="K171">
        <v>-9.1569565532658697</v>
      </c>
      <c r="L171">
        <v>2751</v>
      </c>
      <c r="M171">
        <v>2416</v>
      </c>
      <c r="N171">
        <v>13.8658940397351</v>
      </c>
    </row>
    <row r="172" spans="1:14" x14ac:dyDescent="0.25">
      <c r="A172">
        <f t="shared" si="29"/>
        <v>39</v>
      </c>
      <c r="B172">
        <f t="shared" si="30"/>
        <v>479</v>
      </c>
      <c r="C172">
        <v>47</v>
      </c>
      <c r="D172">
        <f>VLOOKUP(C172,'Store Database'!A:C,2,FALSE)</f>
        <v>3</v>
      </c>
      <c r="E172" t="str">
        <f>VLOOKUP(D172,'Store Database'!$B$3:$C$100,2,FALSE)</f>
        <v>North</v>
      </c>
      <c r="F172">
        <v>9</v>
      </c>
      <c r="G172" s="55" t="s">
        <v>302</v>
      </c>
      <c r="H172">
        <v>36992.800000000003</v>
      </c>
      <c r="I172">
        <v>39915.279999999999</v>
      </c>
      <c r="J172">
        <v>-2922.48</v>
      </c>
      <c r="K172">
        <v>-7.3217073762228404</v>
      </c>
      <c r="L172">
        <v>4995</v>
      </c>
      <c r="M172">
        <v>2231</v>
      </c>
      <c r="N172">
        <v>123.89063200358601</v>
      </c>
    </row>
    <row r="173" spans="1:14" x14ac:dyDescent="0.25">
      <c r="A173">
        <f t="shared" si="29"/>
        <v>41</v>
      </c>
      <c r="B173">
        <f t="shared" si="30"/>
        <v>491</v>
      </c>
      <c r="C173">
        <v>49</v>
      </c>
      <c r="D173">
        <f>VLOOKUP(C173,'Store Database'!A:C,2,FALSE)</f>
        <v>4</v>
      </c>
      <c r="E173" t="str">
        <f>VLOOKUP(D173,'Store Database'!$B$3:$C$100,2,FALSE)</f>
        <v>South</v>
      </c>
      <c r="F173">
        <v>1</v>
      </c>
      <c r="G173" s="55" t="s">
        <v>294</v>
      </c>
      <c r="H173">
        <v>129441.73</v>
      </c>
      <c r="I173">
        <v>103017.3</v>
      </c>
      <c r="J173">
        <v>26424.43</v>
      </c>
      <c r="K173">
        <v>25.650478123577301</v>
      </c>
      <c r="L173">
        <v>3074</v>
      </c>
      <c r="M173">
        <v>2658</v>
      </c>
      <c r="N173">
        <v>15.6508653122649</v>
      </c>
    </row>
    <row r="174" spans="1:14" x14ac:dyDescent="0.25">
      <c r="A174">
        <f t="shared" si="29"/>
        <v>42</v>
      </c>
      <c r="B174">
        <f t="shared" si="30"/>
        <v>492</v>
      </c>
      <c r="C174">
        <v>49</v>
      </c>
      <c r="D174">
        <f>VLOOKUP(C174,'Store Database'!A:C,2,FALSE)</f>
        <v>4</v>
      </c>
      <c r="E174" t="str">
        <f>VLOOKUP(D174,'Store Database'!$B$3:$C$100,2,FALSE)</f>
        <v>South</v>
      </c>
      <c r="F174">
        <v>2</v>
      </c>
      <c r="G174" s="55" t="s">
        <v>295</v>
      </c>
      <c r="H174">
        <v>90890.11</v>
      </c>
      <c r="I174">
        <v>81044.649999999994</v>
      </c>
      <c r="J174">
        <v>9845.4599999999991</v>
      </c>
      <c r="K174">
        <v>12.148192385308599</v>
      </c>
      <c r="L174">
        <v>2145</v>
      </c>
      <c r="M174">
        <v>1977</v>
      </c>
      <c r="N174">
        <v>8.4977238239757202</v>
      </c>
    </row>
    <row r="175" spans="1:14" x14ac:dyDescent="0.25">
      <c r="A175">
        <f t="shared" si="29"/>
        <v>43</v>
      </c>
      <c r="B175">
        <f t="shared" si="30"/>
        <v>493</v>
      </c>
      <c r="C175">
        <v>49</v>
      </c>
      <c r="D175">
        <f>VLOOKUP(C175,'Store Database'!A:C,2,FALSE)</f>
        <v>4</v>
      </c>
      <c r="E175" t="str">
        <f>VLOOKUP(D175,'Store Database'!$B$3:$C$100,2,FALSE)</f>
        <v>South</v>
      </c>
      <c r="F175">
        <v>3</v>
      </c>
      <c r="G175" s="55" t="s">
        <v>296</v>
      </c>
      <c r="H175">
        <v>17219.28</v>
      </c>
      <c r="I175">
        <v>28808.28</v>
      </c>
      <c r="J175">
        <v>-11589</v>
      </c>
      <c r="K175">
        <v>-40.228017778222103</v>
      </c>
      <c r="L175">
        <v>1380</v>
      </c>
      <c r="M175">
        <v>865</v>
      </c>
      <c r="N175">
        <v>59.537572254335302</v>
      </c>
    </row>
    <row r="176" spans="1:14" x14ac:dyDescent="0.25">
      <c r="A176">
        <f t="shared" si="29"/>
        <v>44</v>
      </c>
      <c r="B176">
        <f t="shared" si="30"/>
        <v>494</v>
      </c>
      <c r="C176">
        <v>49</v>
      </c>
      <c r="D176">
        <f>VLOOKUP(C176,'Store Database'!A:C,2,FALSE)</f>
        <v>4</v>
      </c>
      <c r="E176" t="str">
        <f>VLOOKUP(D176,'Store Database'!$B$3:$C$100,2,FALSE)</f>
        <v>South</v>
      </c>
      <c r="F176">
        <v>4</v>
      </c>
      <c r="G176" s="55" t="s">
        <v>297</v>
      </c>
      <c r="H176">
        <v>118812.56</v>
      </c>
      <c r="I176">
        <v>126738.64</v>
      </c>
      <c r="J176">
        <v>-7926.08</v>
      </c>
      <c r="K176">
        <v>-6.2538780596036103</v>
      </c>
      <c r="L176">
        <v>2504</v>
      </c>
      <c r="M176">
        <v>1774</v>
      </c>
      <c r="N176">
        <v>41.149943630214196</v>
      </c>
    </row>
    <row r="177" spans="1:14" x14ac:dyDescent="0.25">
      <c r="A177">
        <f t="shared" si="29"/>
        <v>45</v>
      </c>
      <c r="B177">
        <f t="shared" si="30"/>
        <v>495</v>
      </c>
      <c r="C177">
        <v>49</v>
      </c>
      <c r="D177">
        <f>VLOOKUP(C177,'Store Database'!A:C,2,FALSE)</f>
        <v>4</v>
      </c>
      <c r="E177" t="str">
        <f>VLOOKUP(D177,'Store Database'!$B$3:$C$100,2,FALSE)</f>
        <v>South</v>
      </c>
      <c r="F177">
        <v>5</v>
      </c>
      <c r="G177" s="55" t="s">
        <v>298</v>
      </c>
      <c r="H177">
        <v>158555.54</v>
      </c>
      <c r="I177">
        <v>146088.28</v>
      </c>
      <c r="J177">
        <v>12467.26</v>
      </c>
      <c r="K177">
        <v>8.5340589950131491</v>
      </c>
      <c r="L177">
        <v>2633</v>
      </c>
      <c r="M177">
        <v>2774</v>
      </c>
      <c r="N177">
        <v>-5.0829127613554403</v>
      </c>
    </row>
    <row r="178" spans="1:14" x14ac:dyDescent="0.25">
      <c r="A178">
        <f t="shared" si="29"/>
        <v>46</v>
      </c>
      <c r="B178">
        <f t="shared" si="30"/>
        <v>496</v>
      </c>
      <c r="C178">
        <v>49</v>
      </c>
      <c r="D178">
        <f>VLOOKUP(C178,'Store Database'!A:C,2,FALSE)</f>
        <v>4</v>
      </c>
      <c r="E178" t="str">
        <f>VLOOKUP(D178,'Store Database'!$B$3:$C$100,2,FALSE)</f>
        <v>South</v>
      </c>
      <c r="F178">
        <v>6</v>
      </c>
      <c r="G178" s="55" t="s">
        <v>299</v>
      </c>
      <c r="H178">
        <v>121980.63</v>
      </c>
      <c r="I178">
        <v>112411.37</v>
      </c>
      <c r="J178">
        <v>9569.26</v>
      </c>
      <c r="K178">
        <v>8.5127153952487191</v>
      </c>
      <c r="L178">
        <v>1692</v>
      </c>
      <c r="M178">
        <v>1845</v>
      </c>
      <c r="N178">
        <v>-8.2926829268292703</v>
      </c>
    </row>
    <row r="179" spans="1:14" x14ac:dyDescent="0.25">
      <c r="A179">
        <f t="shared" si="29"/>
        <v>47</v>
      </c>
      <c r="B179">
        <f t="shared" si="30"/>
        <v>497</v>
      </c>
      <c r="C179">
        <v>49</v>
      </c>
      <c r="D179">
        <f>VLOOKUP(C179,'Store Database'!A:C,2,FALSE)</f>
        <v>4</v>
      </c>
      <c r="E179" t="str">
        <f>VLOOKUP(D179,'Store Database'!$B$3:$C$100,2,FALSE)</f>
        <v>South</v>
      </c>
      <c r="F179">
        <v>7</v>
      </c>
      <c r="G179" s="55" t="s">
        <v>300</v>
      </c>
      <c r="H179">
        <v>49925.26</v>
      </c>
      <c r="I179">
        <v>49537.99</v>
      </c>
      <c r="J179">
        <v>387.27</v>
      </c>
      <c r="K179">
        <v>0.78176365250184798</v>
      </c>
      <c r="L179">
        <v>1836</v>
      </c>
      <c r="M179">
        <v>1551</v>
      </c>
      <c r="N179">
        <v>18.375241779497102</v>
      </c>
    </row>
    <row r="180" spans="1:14" x14ac:dyDescent="0.25">
      <c r="A180">
        <f t="shared" si="29"/>
        <v>48</v>
      </c>
      <c r="B180">
        <f t="shared" si="30"/>
        <v>498</v>
      </c>
      <c r="C180">
        <v>49</v>
      </c>
      <c r="D180">
        <f>VLOOKUP(C180,'Store Database'!A:C,2,FALSE)</f>
        <v>4</v>
      </c>
      <c r="E180" t="str">
        <f>VLOOKUP(D180,'Store Database'!$B$3:$C$100,2,FALSE)</f>
        <v>South</v>
      </c>
      <c r="F180">
        <v>8</v>
      </c>
      <c r="G180" s="55" t="s">
        <v>301</v>
      </c>
      <c r="H180">
        <v>65739.19</v>
      </c>
      <c r="I180">
        <v>65099.7</v>
      </c>
      <c r="J180">
        <v>639.49</v>
      </c>
      <c r="K180">
        <v>0.98232403528741297</v>
      </c>
      <c r="L180">
        <v>1560</v>
      </c>
      <c r="M180">
        <v>1245</v>
      </c>
      <c r="N180">
        <v>25.3012048192771</v>
      </c>
    </row>
    <row r="181" spans="1:14" x14ac:dyDescent="0.25">
      <c r="A181">
        <f t="shared" si="29"/>
        <v>49</v>
      </c>
      <c r="B181">
        <f t="shared" si="30"/>
        <v>499</v>
      </c>
      <c r="C181">
        <v>49</v>
      </c>
      <c r="D181">
        <f>VLOOKUP(C181,'Store Database'!A:C,2,FALSE)</f>
        <v>4</v>
      </c>
      <c r="E181" t="str">
        <f>VLOOKUP(D181,'Store Database'!$B$3:$C$100,2,FALSE)</f>
        <v>South</v>
      </c>
      <c r="F181">
        <v>9</v>
      </c>
      <c r="G181" s="55" t="s">
        <v>302</v>
      </c>
      <c r="H181">
        <v>31925.81</v>
      </c>
      <c r="I181">
        <v>32165.63</v>
      </c>
      <c r="J181">
        <v>-239.82</v>
      </c>
      <c r="K181">
        <v>-0.74557843263135204</v>
      </c>
      <c r="L181">
        <v>4651</v>
      </c>
      <c r="M181">
        <v>2891</v>
      </c>
      <c r="N181">
        <v>60.878588723625008</v>
      </c>
    </row>
    <row r="182" spans="1:14" x14ac:dyDescent="0.25">
      <c r="A182">
        <f t="shared" si="29"/>
        <v>11</v>
      </c>
      <c r="B182">
        <f t="shared" si="30"/>
        <v>511</v>
      </c>
      <c r="C182">
        <v>51</v>
      </c>
      <c r="D182">
        <f>VLOOKUP(C182,'Store Database'!A:C,2,FALSE)</f>
        <v>1</v>
      </c>
      <c r="E182" t="str">
        <f>VLOOKUP(D182,'Store Database'!$B$3:$C$100,2,FALSE)</f>
        <v>East</v>
      </c>
      <c r="F182">
        <v>1</v>
      </c>
      <c r="G182" s="55" t="s">
        <v>294</v>
      </c>
      <c r="H182">
        <v>140289.74</v>
      </c>
      <c r="I182">
        <v>133735.38</v>
      </c>
      <c r="J182">
        <v>6554.36</v>
      </c>
      <c r="K182">
        <v>4.9009917943927803</v>
      </c>
      <c r="L182">
        <v>3329</v>
      </c>
      <c r="M182">
        <v>3344</v>
      </c>
      <c r="N182">
        <v>-0.44856459330143494</v>
      </c>
    </row>
    <row r="183" spans="1:14" x14ac:dyDescent="0.25">
      <c r="A183">
        <f t="shared" si="29"/>
        <v>12</v>
      </c>
      <c r="B183">
        <f t="shared" si="30"/>
        <v>512</v>
      </c>
      <c r="C183">
        <v>51</v>
      </c>
      <c r="D183">
        <f>VLOOKUP(C183,'Store Database'!A:C,2,FALSE)</f>
        <v>1</v>
      </c>
      <c r="E183" t="str">
        <f>VLOOKUP(D183,'Store Database'!$B$3:$C$100,2,FALSE)</f>
        <v>East</v>
      </c>
      <c r="F183">
        <v>2</v>
      </c>
      <c r="G183" s="55" t="s">
        <v>295</v>
      </c>
      <c r="H183">
        <v>107831.27</v>
      </c>
      <c r="I183">
        <v>104353.75</v>
      </c>
      <c r="J183">
        <v>3477.52</v>
      </c>
      <c r="K183">
        <v>3.33243414826971</v>
      </c>
      <c r="L183">
        <v>2661</v>
      </c>
      <c r="M183">
        <v>2189</v>
      </c>
      <c r="N183">
        <v>21.562357240749201</v>
      </c>
    </row>
    <row r="184" spans="1:14" x14ac:dyDescent="0.25">
      <c r="A184">
        <f t="shared" si="29"/>
        <v>13</v>
      </c>
      <c r="B184">
        <f t="shared" si="30"/>
        <v>513</v>
      </c>
      <c r="C184">
        <v>51</v>
      </c>
      <c r="D184">
        <f>VLOOKUP(C184,'Store Database'!A:C,2,FALSE)</f>
        <v>1</v>
      </c>
      <c r="E184" t="str">
        <f>VLOOKUP(D184,'Store Database'!$B$3:$C$100,2,FALSE)</f>
        <v>East</v>
      </c>
      <c r="F184">
        <v>3</v>
      </c>
      <c r="G184" s="55" t="s">
        <v>296</v>
      </c>
      <c r="H184">
        <v>19877.84</v>
      </c>
      <c r="I184">
        <v>23973.42</v>
      </c>
      <c r="J184">
        <v>-4095.58</v>
      </c>
      <c r="K184">
        <v>-17.0838370161621</v>
      </c>
      <c r="L184">
        <v>963</v>
      </c>
      <c r="M184">
        <v>564</v>
      </c>
      <c r="N184">
        <v>70.744680851063805</v>
      </c>
    </row>
    <row r="185" spans="1:14" x14ac:dyDescent="0.25">
      <c r="A185">
        <f t="shared" si="29"/>
        <v>14</v>
      </c>
      <c r="B185">
        <f t="shared" si="30"/>
        <v>514</v>
      </c>
      <c r="C185">
        <v>51</v>
      </c>
      <c r="D185">
        <f>VLOOKUP(C185,'Store Database'!A:C,2,FALSE)</f>
        <v>1</v>
      </c>
      <c r="E185" t="str">
        <f>VLOOKUP(D185,'Store Database'!$B$3:$C$100,2,FALSE)</f>
        <v>East</v>
      </c>
      <c r="F185">
        <v>4</v>
      </c>
      <c r="G185" s="55" t="s">
        <v>297</v>
      </c>
      <c r="H185">
        <v>154724.07</v>
      </c>
      <c r="I185">
        <v>144415.22</v>
      </c>
      <c r="J185">
        <v>10308.85</v>
      </c>
      <c r="K185">
        <v>7.1383404048409904</v>
      </c>
      <c r="L185">
        <v>2404</v>
      </c>
      <c r="M185">
        <v>1816</v>
      </c>
      <c r="N185">
        <v>32.378854625550701</v>
      </c>
    </row>
    <row r="186" spans="1:14" x14ac:dyDescent="0.25">
      <c r="A186">
        <f t="shared" si="29"/>
        <v>15</v>
      </c>
      <c r="B186">
        <f t="shared" si="30"/>
        <v>515</v>
      </c>
      <c r="C186">
        <v>51</v>
      </c>
      <c r="D186">
        <f>VLOOKUP(C186,'Store Database'!A:C,2,FALSE)</f>
        <v>1</v>
      </c>
      <c r="E186" t="str">
        <f>VLOOKUP(D186,'Store Database'!$B$3:$C$100,2,FALSE)</f>
        <v>East</v>
      </c>
      <c r="F186">
        <v>5</v>
      </c>
      <c r="G186" s="55" t="s">
        <v>298</v>
      </c>
      <c r="H186">
        <v>125179</v>
      </c>
      <c r="I186">
        <v>127341.44</v>
      </c>
      <c r="J186">
        <v>-2162.44</v>
      </c>
      <c r="K186">
        <v>-1.69814319674726</v>
      </c>
      <c r="L186">
        <v>2468</v>
      </c>
      <c r="M186">
        <v>2490</v>
      </c>
      <c r="N186">
        <v>-0.88353413654618496</v>
      </c>
    </row>
    <row r="187" spans="1:14" x14ac:dyDescent="0.25">
      <c r="A187">
        <f t="shared" si="29"/>
        <v>16</v>
      </c>
      <c r="B187">
        <f t="shared" si="30"/>
        <v>516</v>
      </c>
      <c r="C187">
        <v>51</v>
      </c>
      <c r="D187">
        <f>VLOOKUP(C187,'Store Database'!A:C,2,FALSE)</f>
        <v>1</v>
      </c>
      <c r="E187" t="str">
        <f>VLOOKUP(D187,'Store Database'!$B$3:$C$100,2,FALSE)</f>
        <v>East</v>
      </c>
      <c r="F187">
        <v>6</v>
      </c>
      <c r="G187" s="55" t="s">
        <v>299</v>
      </c>
      <c r="H187">
        <v>123592.05</v>
      </c>
      <c r="I187">
        <v>110573.91</v>
      </c>
      <c r="J187">
        <v>13018.14</v>
      </c>
      <c r="K187">
        <v>11.7732474143313</v>
      </c>
      <c r="L187">
        <v>1655</v>
      </c>
      <c r="M187">
        <v>1659</v>
      </c>
      <c r="N187">
        <v>-0.24110910186859602</v>
      </c>
    </row>
    <row r="188" spans="1:14" x14ac:dyDescent="0.25">
      <c r="A188">
        <f t="shared" si="29"/>
        <v>17</v>
      </c>
      <c r="B188">
        <f t="shared" si="30"/>
        <v>517</v>
      </c>
      <c r="C188">
        <v>51</v>
      </c>
      <c r="D188">
        <f>VLOOKUP(C188,'Store Database'!A:C,2,FALSE)</f>
        <v>1</v>
      </c>
      <c r="E188" t="str">
        <f>VLOOKUP(D188,'Store Database'!$B$3:$C$100,2,FALSE)</f>
        <v>East</v>
      </c>
      <c r="F188">
        <v>7</v>
      </c>
      <c r="G188" s="55" t="s">
        <v>300</v>
      </c>
      <c r="H188">
        <v>51032.7</v>
      </c>
      <c r="I188">
        <v>55892.94</v>
      </c>
      <c r="J188">
        <v>-4860.24</v>
      </c>
      <c r="K188">
        <v>-8.6956241700651304</v>
      </c>
      <c r="L188">
        <v>1735</v>
      </c>
      <c r="M188">
        <v>1437</v>
      </c>
      <c r="N188">
        <v>20.737647877522601</v>
      </c>
    </row>
    <row r="189" spans="1:14" x14ac:dyDescent="0.25">
      <c r="A189">
        <f t="shared" si="29"/>
        <v>18</v>
      </c>
      <c r="B189">
        <f t="shared" si="30"/>
        <v>518</v>
      </c>
      <c r="C189">
        <v>51</v>
      </c>
      <c r="D189">
        <f>VLOOKUP(C189,'Store Database'!A:C,2,FALSE)</f>
        <v>1</v>
      </c>
      <c r="E189" t="str">
        <f>VLOOKUP(D189,'Store Database'!$B$3:$C$100,2,FALSE)</f>
        <v>East</v>
      </c>
      <c r="F189">
        <v>8</v>
      </c>
      <c r="G189" s="55" t="s">
        <v>301</v>
      </c>
      <c r="H189">
        <v>85376.85</v>
      </c>
      <c r="I189">
        <v>81850.100000000006</v>
      </c>
      <c r="J189">
        <v>3526.75</v>
      </c>
      <c r="K189">
        <v>4.3087913148548402</v>
      </c>
      <c r="L189">
        <v>1564</v>
      </c>
      <c r="M189">
        <v>1263</v>
      </c>
      <c r="N189">
        <v>23.8321456848773</v>
      </c>
    </row>
    <row r="190" spans="1:14" x14ac:dyDescent="0.25">
      <c r="A190">
        <f t="shared" si="29"/>
        <v>19</v>
      </c>
      <c r="B190">
        <f t="shared" si="30"/>
        <v>519</v>
      </c>
      <c r="C190">
        <v>51</v>
      </c>
      <c r="D190">
        <f>VLOOKUP(C190,'Store Database'!A:C,2,FALSE)</f>
        <v>1</v>
      </c>
      <c r="E190" t="str">
        <f>VLOOKUP(D190,'Store Database'!$B$3:$C$100,2,FALSE)</f>
        <v>East</v>
      </c>
      <c r="F190">
        <v>9</v>
      </c>
      <c r="G190" s="55" t="s">
        <v>302</v>
      </c>
      <c r="H190">
        <v>31861.82</v>
      </c>
      <c r="I190">
        <v>35190.31</v>
      </c>
      <c r="J190">
        <v>-3328.49</v>
      </c>
      <c r="K190">
        <v>-9.4585412859392299</v>
      </c>
      <c r="L190">
        <v>5194</v>
      </c>
      <c r="M190">
        <v>2216</v>
      </c>
      <c r="N190">
        <v>134.38628158844801</v>
      </c>
    </row>
    <row r="191" spans="1:14" x14ac:dyDescent="0.25">
      <c r="A191">
        <f t="shared" si="29"/>
        <v>21</v>
      </c>
      <c r="B191">
        <f t="shared" si="30"/>
        <v>531</v>
      </c>
      <c r="C191">
        <v>53</v>
      </c>
      <c r="D191">
        <f>VLOOKUP(C191,'Store Database'!A:C,2,FALSE)</f>
        <v>2</v>
      </c>
      <c r="E191" t="str">
        <f>VLOOKUP(D191,'Store Database'!$B$3:$C$100,2,FALSE)</f>
        <v>West</v>
      </c>
      <c r="F191">
        <v>1</v>
      </c>
      <c r="G191" s="55" t="s">
        <v>294</v>
      </c>
      <c r="H191">
        <v>161261.79</v>
      </c>
      <c r="I191">
        <v>141197.35</v>
      </c>
      <c r="J191">
        <v>20064.439999999999</v>
      </c>
      <c r="K191">
        <v>14.210210035811601</v>
      </c>
      <c r="L191">
        <v>3032</v>
      </c>
      <c r="M191">
        <v>2365</v>
      </c>
      <c r="N191">
        <v>28.202959830866796</v>
      </c>
    </row>
    <row r="192" spans="1:14" x14ac:dyDescent="0.25">
      <c r="A192">
        <f t="shared" si="29"/>
        <v>22</v>
      </c>
      <c r="B192">
        <f t="shared" si="30"/>
        <v>532</v>
      </c>
      <c r="C192">
        <v>53</v>
      </c>
      <c r="D192">
        <f>VLOOKUP(C192,'Store Database'!A:C,2,FALSE)</f>
        <v>2</v>
      </c>
      <c r="E192" t="str">
        <f>VLOOKUP(D192,'Store Database'!$B$3:$C$100,2,FALSE)</f>
        <v>West</v>
      </c>
      <c r="F192">
        <v>2</v>
      </c>
      <c r="G192" s="55" t="s">
        <v>295</v>
      </c>
      <c r="H192">
        <v>168391.21</v>
      </c>
      <c r="I192">
        <v>156882.47</v>
      </c>
      <c r="J192">
        <v>11508.74</v>
      </c>
      <c r="K192">
        <v>7.3358992881741303</v>
      </c>
      <c r="L192">
        <v>4248</v>
      </c>
      <c r="M192">
        <v>3383</v>
      </c>
      <c r="N192">
        <v>25.569021578480601</v>
      </c>
    </row>
    <row r="193" spans="1:14" x14ac:dyDescent="0.25">
      <c r="A193">
        <f t="shared" si="29"/>
        <v>23</v>
      </c>
      <c r="B193">
        <f t="shared" si="30"/>
        <v>533</v>
      </c>
      <c r="C193">
        <v>53</v>
      </c>
      <c r="D193">
        <f>VLOOKUP(C193,'Store Database'!A:C,2,FALSE)</f>
        <v>2</v>
      </c>
      <c r="E193" t="str">
        <f>VLOOKUP(D193,'Store Database'!$B$3:$C$100,2,FALSE)</f>
        <v>West</v>
      </c>
      <c r="F193">
        <v>3</v>
      </c>
      <c r="G193" s="55" t="s">
        <v>296</v>
      </c>
      <c r="H193">
        <v>2632.63</v>
      </c>
      <c r="I193">
        <v>4242.8599999999997</v>
      </c>
      <c r="J193">
        <v>-1610.23</v>
      </c>
      <c r="K193">
        <v>-37.951523264967499</v>
      </c>
      <c r="L193">
        <v>44</v>
      </c>
      <c r="M193">
        <v>49</v>
      </c>
      <c r="N193">
        <v>-10.2040816326531</v>
      </c>
    </row>
    <row r="194" spans="1:14" x14ac:dyDescent="0.25">
      <c r="A194">
        <f t="shared" si="29"/>
        <v>24</v>
      </c>
      <c r="B194">
        <f t="shared" si="30"/>
        <v>534</v>
      </c>
      <c r="C194">
        <v>53</v>
      </c>
      <c r="D194">
        <f>VLOOKUP(C194,'Store Database'!A:C,2,FALSE)</f>
        <v>2</v>
      </c>
      <c r="E194" t="str">
        <f>VLOOKUP(D194,'Store Database'!$B$3:$C$100,2,FALSE)</f>
        <v>West</v>
      </c>
      <c r="F194">
        <v>4</v>
      </c>
      <c r="G194" s="55" t="s">
        <v>297</v>
      </c>
      <c r="H194">
        <v>212983.67999999999</v>
      </c>
      <c r="I194">
        <v>251525.9</v>
      </c>
      <c r="J194">
        <v>-38542.22</v>
      </c>
      <c r="K194">
        <v>-15.323360337841899</v>
      </c>
      <c r="L194">
        <v>3910</v>
      </c>
      <c r="M194">
        <v>2513</v>
      </c>
      <c r="N194">
        <v>55.590927178670903</v>
      </c>
    </row>
    <row r="195" spans="1:14" x14ac:dyDescent="0.25">
      <c r="A195">
        <f t="shared" ref="A195:A258" si="31">VALUE(CONCATENATE(D195,F195))</f>
        <v>25</v>
      </c>
      <c r="B195">
        <f t="shared" ref="B195:B258" si="32">VALUE(CONCATENATE(C195,F195))</f>
        <v>535</v>
      </c>
      <c r="C195">
        <v>53</v>
      </c>
      <c r="D195">
        <f>VLOOKUP(C195,'Store Database'!A:C,2,FALSE)</f>
        <v>2</v>
      </c>
      <c r="E195" t="str">
        <f>VLOOKUP(D195,'Store Database'!$B$3:$C$100,2,FALSE)</f>
        <v>West</v>
      </c>
      <c r="F195">
        <v>5</v>
      </c>
      <c r="G195" s="55" t="s">
        <v>298</v>
      </c>
      <c r="H195">
        <v>296806.86</v>
      </c>
      <c r="I195">
        <v>260317.95</v>
      </c>
      <c r="J195">
        <v>36488.910000000003</v>
      </c>
      <c r="K195">
        <v>14.017054913040001</v>
      </c>
      <c r="L195">
        <v>3078</v>
      </c>
      <c r="M195">
        <v>2871</v>
      </c>
      <c r="N195">
        <v>7.2100313479623797</v>
      </c>
    </row>
    <row r="196" spans="1:14" x14ac:dyDescent="0.25">
      <c r="A196">
        <f t="shared" si="31"/>
        <v>26</v>
      </c>
      <c r="B196">
        <f t="shared" si="32"/>
        <v>536</v>
      </c>
      <c r="C196">
        <v>53</v>
      </c>
      <c r="D196">
        <f>VLOOKUP(C196,'Store Database'!A:C,2,FALSE)</f>
        <v>2</v>
      </c>
      <c r="E196" t="str">
        <f>VLOOKUP(D196,'Store Database'!$B$3:$C$100,2,FALSE)</f>
        <v>West</v>
      </c>
      <c r="F196">
        <v>6</v>
      </c>
      <c r="G196" s="55" t="s">
        <v>299</v>
      </c>
      <c r="H196">
        <v>249425.77</v>
      </c>
      <c r="I196">
        <v>293705.3</v>
      </c>
      <c r="J196">
        <v>-44279.53</v>
      </c>
      <c r="K196">
        <v>-15.0761766982074</v>
      </c>
      <c r="L196">
        <v>3234</v>
      </c>
      <c r="M196">
        <v>3184</v>
      </c>
      <c r="N196">
        <v>1.5703517587939702</v>
      </c>
    </row>
    <row r="197" spans="1:14" x14ac:dyDescent="0.25">
      <c r="A197">
        <f t="shared" si="31"/>
        <v>27</v>
      </c>
      <c r="B197">
        <f t="shared" si="32"/>
        <v>537</v>
      </c>
      <c r="C197">
        <v>53</v>
      </c>
      <c r="D197">
        <f>VLOOKUP(C197,'Store Database'!A:C,2,FALSE)</f>
        <v>2</v>
      </c>
      <c r="E197" t="str">
        <f>VLOOKUP(D197,'Store Database'!$B$3:$C$100,2,FALSE)</f>
        <v>West</v>
      </c>
      <c r="F197">
        <v>7</v>
      </c>
      <c r="G197" s="55" t="s">
        <v>300</v>
      </c>
      <c r="H197">
        <v>61830.13</v>
      </c>
      <c r="I197">
        <v>58626.39</v>
      </c>
      <c r="J197">
        <v>3203.74</v>
      </c>
      <c r="K197">
        <v>5.4646721382640102</v>
      </c>
      <c r="L197">
        <v>2144</v>
      </c>
      <c r="M197">
        <v>1666</v>
      </c>
      <c r="N197">
        <v>28.691476590636299</v>
      </c>
    </row>
    <row r="198" spans="1:14" x14ac:dyDescent="0.25">
      <c r="A198">
        <f t="shared" si="31"/>
        <v>28</v>
      </c>
      <c r="B198">
        <f t="shared" si="32"/>
        <v>538</v>
      </c>
      <c r="C198">
        <v>53</v>
      </c>
      <c r="D198">
        <f>VLOOKUP(C198,'Store Database'!A:C,2,FALSE)</f>
        <v>2</v>
      </c>
      <c r="E198" t="str">
        <f>VLOOKUP(D198,'Store Database'!$B$3:$C$100,2,FALSE)</f>
        <v>West</v>
      </c>
      <c r="F198">
        <v>8</v>
      </c>
      <c r="G198" s="55" t="s">
        <v>301</v>
      </c>
      <c r="H198">
        <v>136432.20000000001</v>
      </c>
      <c r="I198">
        <v>154824.56</v>
      </c>
      <c r="J198">
        <v>-18392.36</v>
      </c>
      <c r="K198">
        <v>-11.8794847535817</v>
      </c>
      <c r="L198">
        <v>2820</v>
      </c>
      <c r="M198">
        <v>2242</v>
      </c>
      <c r="N198">
        <v>25.780553077609298</v>
      </c>
    </row>
    <row r="199" spans="1:14" x14ac:dyDescent="0.25">
      <c r="A199">
        <f t="shared" si="31"/>
        <v>29</v>
      </c>
      <c r="B199">
        <f t="shared" si="32"/>
        <v>539</v>
      </c>
      <c r="C199">
        <v>53</v>
      </c>
      <c r="D199">
        <f>VLOOKUP(C199,'Store Database'!A:C,2,FALSE)</f>
        <v>2</v>
      </c>
      <c r="E199" t="str">
        <f>VLOOKUP(D199,'Store Database'!$B$3:$C$100,2,FALSE)</f>
        <v>West</v>
      </c>
      <c r="F199">
        <v>9</v>
      </c>
      <c r="G199" s="55" t="s">
        <v>302</v>
      </c>
      <c r="H199">
        <v>43612.45</v>
      </c>
      <c r="I199">
        <v>48067.360000000001</v>
      </c>
      <c r="J199">
        <v>-4454.91</v>
      </c>
      <c r="K199">
        <v>-9.2680563276202399</v>
      </c>
      <c r="L199">
        <v>5268</v>
      </c>
      <c r="M199">
        <v>2260</v>
      </c>
      <c r="N199">
        <v>133.09734513274302</v>
      </c>
    </row>
    <row r="200" spans="1:14" x14ac:dyDescent="0.25">
      <c r="A200">
        <f t="shared" si="31"/>
        <v>31</v>
      </c>
      <c r="B200">
        <f t="shared" si="32"/>
        <v>561</v>
      </c>
      <c r="C200">
        <v>56</v>
      </c>
      <c r="D200">
        <f>VLOOKUP(C200,'Store Database'!A:C,2,FALSE)</f>
        <v>3</v>
      </c>
      <c r="E200" t="str">
        <f>VLOOKUP(D200,'Store Database'!$B$3:$C$100,2,FALSE)</f>
        <v>North</v>
      </c>
      <c r="F200">
        <v>1</v>
      </c>
      <c r="G200" s="55" t="s">
        <v>294</v>
      </c>
      <c r="H200">
        <v>214302.57</v>
      </c>
      <c r="I200">
        <v>194071.28</v>
      </c>
      <c r="J200">
        <v>20231.29</v>
      </c>
      <c r="K200">
        <v>10.4246697399018</v>
      </c>
      <c r="L200">
        <v>3120</v>
      </c>
      <c r="M200">
        <v>2119</v>
      </c>
      <c r="N200">
        <v>47.239263803680998</v>
      </c>
    </row>
    <row r="201" spans="1:14" x14ac:dyDescent="0.25">
      <c r="A201">
        <f t="shared" si="31"/>
        <v>32</v>
      </c>
      <c r="B201">
        <f t="shared" si="32"/>
        <v>562</v>
      </c>
      <c r="C201">
        <v>56</v>
      </c>
      <c r="D201">
        <f>VLOOKUP(C201,'Store Database'!A:C,2,FALSE)</f>
        <v>3</v>
      </c>
      <c r="E201" t="str">
        <f>VLOOKUP(D201,'Store Database'!$B$3:$C$100,2,FALSE)</f>
        <v>North</v>
      </c>
      <c r="F201">
        <v>2</v>
      </c>
      <c r="G201" s="55" t="s">
        <v>295</v>
      </c>
      <c r="H201">
        <v>99555.03</v>
      </c>
      <c r="I201">
        <v>109150.06</v>
      </c>
      <c r="J201">
        <v>-9595.0300000000007</v>
      </c>
      <c r="K201">
        <v>-8.7906777146984592</v>
      </c>
      <c r="L201">
        <v>4549</v>
      </c>
      <c r="M201">
        <v>2992</v>
      </c>
      <c r="N201">
        <v>52.038770053475901</v>
      </c>
    </row>
    <row r="202" spans="1:14" x14ac:dyDescent="0.25">
      <c r="A202">
        <f t="shared" si="31"/>
        <v>33</v>
      </c>
      <c r="B202">
        <f t="shared" si="32"/>
        <v>563</v>
      </c>
      <c r="C202">
        <v>56</v>
      </c>
      <c r="D202">
        <f>VLOOKUP(C202,'Store Database'!A:C,2,FALSE)</f>
        <v>3</v>
      </c>
      <c r="E202" t="str">
        <f>VLOOKUP(D202,'Store Database'!$B$3:$C$100,2,FALSE)</f>
        <v>North</v>
      </c>
      <c r="F202">
        <v>3</v>
      </c>
      <c r="G202" s="55" t="s">
        <v>296</v>
      </c>
      <c r="H202">
        <v>13456.98</v>
      </c>
      <c r="I202">
        <v>13298.14</v>
      </c>
      <c r="J202">
        <v>158.84</v>
      </c>
      <c r="K202">
        <v>1.19445275805489</v>
      </c>
      <c r="L202">
        <v>365</v>
      </c>
      <c r="M202">
        <v>149</v>
      </c>
      <c r="N202">
        <v>144.96644295301999</v>
      </c>
    </row>
    <row r="203" spans="1:14" x14ac:dyDescent="0.25">
      <c r="A203">
        <f t="shared" si="31"/>
        <v>34</v>
      </c>
      <c r="B203">
        <f t="shared" si="32"/>
        <v>564</v>
      </c>
      <c r="C203">
        <v>56</v>
      </c>
      <c r="D203">
        <f>VLOOKUP(C203,'Store Database'!A:C,2,FALSE)</f>
        <v>3</v>
      </c>
      <c r="E203" t="str">
        <f>VLOOKUP(D203,'Store Database'!$B$3:$C$100,2,FALSE)</f>
        <v>North</v>
      </c>
      <c r="F203">
        <v>4</v>
      </c>
      <c r="G203" s="55" t="s">
        <v>297</v>
      </c>
      <c r="H203">
        <v>209267.89</v>
      </c>
      <c r="I203">
        <v>289782.81</v>
      </c>
      <c r="J203">
        <v>-80514.92</v>
      </c>
      <c r="K203">
        <v>-27.784574247175001</v>
      </c>
      <c r="L203">
        <v>4618</v>
      </c>
      <c r="M203">
        <v>3888</v>
      </c>
      <c r="N203">
        <v>18.775720164609101</v>
      </c>
    </row>
    <row r="204" spans="1:14" x14ac:dyDescent="0.25">
      <c r="A204">
        <f t="shared" si="31"/>
        <v>35</v>
      </c>
      <c r="B204">
        <f t="shared" si="32"/>
        <v>565</v>
      </c>
      <c r="C204">
        <v>56</v>
      </c>
      <c r="D204">
        <f>VLOOKUP(C204,'Store Database'!A:C,2,FALSE)</f>
        <v>3</v>
      </c>
      <c r="E204" t="str">
        <f>VLOOKUP(D204,'Store Database'!$B$3:$C$100,2,FALSE)</f>
        <v>North</v>
      </c>
      <c r="F204">
        <v>5</v>
      </c>
      <c r="G204" s="55" t="s">
        <v>298</v>
      </c>
      <c r="H204">
        <v>302701.5</v>
      </c>
      <c r="I204">
        <v>280059.88</v>
      </c>
      <c r="J204">
        <v>22641.62</v>
      </c>
      <c r="K204">
        <v>8.0845639154026596</v>
      </c>
      <c r="L204">
        <v>3685</v>
      </c>
      <c r="M204">
        <v>2914</v>
      </c>
      <c r="N204">
        <v>26.458476321208003</v>
      </c>
    </row>
    <row r="205" spans="1:14" x14ac:dyDescent="0.25">
      <c r="A205">
        <f t="shared" si="31"/>
        <v>36</v>
      </c>
      <c r="B205">
        <f t="shared" si="32"/>
        <v>566</v>
      </c>
      <c r="C205">
        <v>56</v>
      </c>
      <c r="D205">
        <f>VLOOKUP(C205,'Store Database'!A:C,2,FALSE)</f>
        <v>3</v>
      </c>
      <c r="E205" t="str">
        <f>VLOOKUP(D205,'Store Database'!$B$3:$C$100,2,FALSE)</f>
        <v>North</v>
      </c>
      <c r="F205">
        <v>6</v>
      </c>
      <c r="G205" s="55" t="s">
        <v>299</v>
      </c>
      <c r="H205">
        <v>249591.19</v>
      </c>
      <c r="I205">
        <v>315983.24</v>
      </c>
      <c r="J205">
        <v>-66392.05</v>
      </c>
      <c r="K205">
        <v>-21.011256799569502</v>
      </c>
      <c r="L205">
        <v>3946</v>
      </c>
      <c r="M205">
        <v>3691</v>
      </c>
      <c r="N205">
        <v>6.9086968301273393</v>
      </c>
    </row>
    <row r="206" spans="1:14" x14ac:dyDescent="0.25">
      <c r="A206">
        <f t="shared" si="31"/>
        <v>37</v>
      </c>
      <c r="B206">
        <f t="shared" si="32"/>
        <v>567</v>
      </c>
      <c r="C206">
        <v>56</v>
      </c>
      <c r="D206">
        <f>VLOOKUP(C206,'Store Database'!A:C,2,FALSE)</f>
        <v>3</v>
      </c>
      <c r="E206" t="str">
        <f>VLOOKUP(D206,'Store Database'!$B$3:$C$100,2,FALSE)</f>
        <v>North</v>
      </c>
      <c r="F206">
        <v>7</v>
      </c>
      <c r="G206" s="55" t="s">
        <v>300</v>
      </c>
      <c r="H206">
        <v>125571.31</v>
      </c>
      <c r="I206">
        <v>106809.63</v>
      </c>
      <c r="J206">
        <v>18761.68</v>
      </c>
      <c r="K206">
        <v>17.565532246483802</v>
      </c>
      <c r="L206">
        <v>2593</v>
      </c>
      <c r="M206">
        <v>2085</v>
      </c>
      <c r="N206">
        <v>24.364508393285401</v>
      </c>
    </row>
    <row r="207" spans="1:14" x14ac:dyDescent="0.25">
      <c r="A207">
        <f t="shared" si="31"/>
        <v>38</v>
      </c>
      <c r="B207">
        <f t="shared" si="32"/>
        <v>568</v>
      </c>
      <c r="C207">
        <v>56</v>
      </c>
      <c r="D207">
        <f>VLOOKUP(C207,'Store Database'!A:C,2,FALSE)</f>
        <v>3</v>
      </c>
      <c r="E207" t="str">
        <f>VLOOKUP(D207,'Store Database'!$B$3:$C$100,2,FALSE)</f>
        <v>North</v>
      </c>
      <c r="F207">
        <v>8</v>
      </c>
      <c r="G207" s="55" t="s">
        <v>301</v>
      </c>
      <c r="H207">
        <v>201831.29</v>
      </c>
      <c r="I207">
        <v>214816.05</v>
      </c>
      <c r="J207">
        <v>-12984.76</v>
      </c>
      <c r="K207">
        <v>-6.0445948987517504</v>
      </c>
      <c r="L207">
        <v>3226</v>
      </c>
      <c r="M207">
        <v>2909</v>
      </c>
      <c r="N207">
        <v>10.8972155379856</v>
      </c>
    </row>
    <row r="208" spans="1:14" x14ac:dyDescent="0.25">
      <c r="A208">
        <f t="shared" si="31"/>
        <v>39</v>
      </c>
      <c r="B208">
        <f t="shared" si="32"/>
        <v>569</v>
      </c>
      <c r="C208">
        <v>56</v>
      </c>
      <c r="D208">
        <f>VLOOKUP(C208,'Store Database'!A:C,2,FALSE)</f>
        <v>3</v>
      </c>
      <c r="E208" t="str">
        <f>VLOOKUP(D208,'Store Database'!$B$3:$C$100,2,FALSE)</f>
        <v>North</v>
      </c>
      <c r="F208">
        <v>9</v>
      </c>
      <c r="G208" s="55" t="s">
        <v>302</v>
      </c>
      <c r="H208">
        <v>48692.46</v>
      </c>
      <c r="I208">
        <v>55435.18</v>
      </c>
      <c r="J208">
        <v>-6742.72</v>
      </c>
      <c r="K208">
        <v>-12.1632508454018</v>
      </c>
      <c r="L208">
        <v>5536</v>
      </c>
      <c r="M208">
        <v>2411</v>
      </c>
      <c r="N208">
        <v>129.614267938615</v>
      </c>
    </row>
    <row r="209" spans="1:14" x14ac:dyDescent="0.25">
      <c r="A209">
        <f t="shared" si="31"/>
        <v>41</v>
      </c>
      <c r="B209">
        <f t="shared" si="32"/>
        <v>581</v>
      </c>
      <c r="C209">
        <v>58</v>
      </c>
      <c r="D209">
        <f>VLOOKUP(C209,'Store Database'!A:C,2,FALSE)</f>
        <v>4</v>
      </c>
      <c r="E209" t="str">
        <f>VLOOKUP(D209,'Store Database'!$B$3:$C$100,2,FALSE)</f>
        <v>South</v>
      </c>
      <c r="F209">
        <v>1</v>
      </c>
      <c r="G209" s="55" t="s">
        <v>294</v>
      </c>
      <c r="H209">
        <v>94699.04</v>
      </c>
      <c r="I209">
        <v>66279.850000000006</v>
      </c>
      <c r="J209">
        <v>28419.19</v>
      </c>
      <c r="K209">
        <v>42.877571388589402</v>
      </c>
      <c r="L209">
        <v>1998</v>
      </c>
      <c r="M209">
        <v>1719</v>
      </c>
      <c r="N209">
        <v>16.230366492146601</v>
      </c>
    </row>
    <row r="210" spans="1:14" x14ac:dyDescent="0.25">
      <c r="A210">
        <f t="shared" si="31"/>
        <v>42</v>
      </c>
      <c r="B210">
        <f t="shared" si="32"/>
        <v>582</v>
      </c>
      <c r="C210">
        <v>58</v>
      </c>
      <c r="D210">
        <f>VLOOKUP(C210,'Store Database'!A:C,2,FALSE)</f>
        <v>4</v>
      </c>
      <c r="E210" t="str">
        <f>VLOOKUP(D210,'Store Database'!$B$3:$C$100,2,FALSE)</f>
        <v>South</v>
      </c>
      <c r="F210">
        <v>2</v>
      </c>
      <c r="G210" s="55" t="s">
        <v>295</v>
      </c>
      <c r="H210">
        <v>90957.68</v>
      </c>
      <c r="I210">
        <v>79069.16</v>
      </c>
      <c r="J210">
        <v>11888.52</v>
      </c>
      <c r="K210">
        <v>15.035596685231001</v>
      </c>
      <c r="L210">
        <v>2296</v>
      </c>
      <c r="M210">
        <v>2103</v>
      </c>
      <c r="N210">
        <v>9.1773656680932003</v>
      </c>
    </row>
    <row r="211" spans="1:14" x14ac:dyDescent="0.25">
      <c r="A211">
        <f t="shared" si="31"/>
        <v>43</v>
      </c>
      <c r="B211">
        <f t="shared" si="32"/>
        <v>583</v>
      </c>
      <c r="C211">
        <v>58</v>
      </c>
      <c r="D211">
        <f>VLOOKUP(C211,'Store Database'!A:C,2,FALSE)</f>
        <v>4</v>
      </c>
      <c r="E211" t="str">
        <f>VLOOKUP(D211,'Store Database'!$B$3:$C$100,2,FALSE)</f>
        <v>South</v>
      </c>
      <c r="F211">
        <v>3</v>
      </c>
      <c r="G211" s="55" t="s">
        <v>296</v>
      </c>
      <c r="H211">
        <v>15115.4</v>
      </c>
      <c r="I211">
        <v>18900.22</v>
      </c>
      <c r="J211">
        <v>-3784.82</v>
      </c>
      <c r="K211">
        <v>-20.025269547126999</v>
      </c>
      <c r="L211">
        <v>991</v>
      </c>
      <c r="M211">
        <v>638</v>
      </c>
      <c r="N211">
        <v>55.329153605015705</v>
      </c>
    </row>
    <row r="212" spans="1:14" x14ac:dyDescent="0.25">
      <c r="A212">
        <f t="shared" si="31"/>
        <v>44</v>
      </c>
      <c r="B212">
        <f t="shared" si="32"/>
        <v>584</v>
      </c>
      <c r="C212">
        <v>58</v>
      </c>
      <c r="D212">
        <f>VLOOKUP(C212,'Store Database'!A:C,2,FALSE)</f>
        <v>4</v>
      </c>
      <c r="E212" t="str">
        <f>VLOOKUP(D212,'Store Database'!$B$3:$C$100,2,FALSE)</f>
        <v>South</v>
      </c>
      <c r="F212">
        <v>4</v>
      </c>
      <c r="G212" s="55" t="s">
        <v>297</v>
      </c>
      <c r="H212">
        <v>141332.54999999999</v>
      </c>
      <c r="I212">
        <v>130198.09</v>
      </c>
      <c r="J212">
        <v>11134.46</v>
      </c>
      <c r="K212">
        <v>8.5519380507041198</v>
      </c>
      <c r="L212">
        <v>2976</v>
      </c>
      <c r="M212">
        <v>2096</v>
      </c>
      <c r="N212">
        <v>41.984732824427503</v>
      </c>
    </row>
    <row r="213" spans="1:14" x14ac:dyDescent="0.25">
      <c r="A213">
        <f t="shared" si="31"/>
        <v>45</v>
      </c>
      <c r="B213">
        <f t="shared" si="32"/>
        <v>585</v>
      </c>
      <c r="C213">
        <v>58</v>
      </c>
      <c r="D213">
        <f>VLOOKUP(C213,'Store Database'!A:C,2,FALSE)</f>
        <v>4</v>
      </c>
      <c r="E213" t="str">
        <f>VLOOKUP(D213,'Store Database'!$B$3:$C$100,2,FALSE)</f>
        <v>South</v>
      </c>
      <c r="F213">
        <v>5</v>
      </c>
      <c r="G213" s="55" t="s">
        <v>298</v>
      </c>
      <c r="H213">
        <v>130556.39</v>
      </c>
      <c r="I213">
        <v>102617.96</v>
      </c>
      <c r="J213">
        <v>27938.43</v>
      </c>
      <c r="K213">
        <v>27.2256727769681</v>
      </c>
      <c r="L213">
        <v>2502</v>
      </c>
      <c r="M213">
        <v>2249</v>
      </c>
      <c r="N213">
        <v>11.2494441974211</v>
      </c>
    </row>
    <row r="214" spans="1:14" x14ac:dyDescent="0.25">
      <c r="A214">
        <f t="shared" si="31"/>
        <v>46</v>
      </c>
      <c r="B214">
        <f t="shared" si="32"/>
        <v>586</v>
      </c>
      <c r="C214">
        <v>58</v>
      </c>
      <c r="D214">
        <f>VLOOKUP(C214,'Store Database'!A:C,2,FALSE)</f>
        <v>4</v>
      </c>
      <c r="E214" t="str">
        <f>VLOOKUP(D214,'Store Database'!$B$3:$C$100,2,FALSE)</f>
        <v>South</v>
      </c>
      <c r="F214">
        <v>6</v>
      </c>
      <c r="G214" s="55" t="s">
        <v>299</v>
      </c>
      <c r="H214">
        <v>122672.97</v>
      </c>
      <c r="I214">
        <v>114080.92</v>
      </c>
      <c r="J214">
        <v>8592.0499999999993</v>
      </c>
      <c r="K214">
        <v>7.5315398929111002</v>
      </c>
      <c r="L214">
        <v>1816</v>
      </c>
      <c r="M214">
        <v>1958</v>
      </c>
      <c r="N214">
        <v>-7.2522982635342199</v>
      </c>
    </row>
    <row r="215" spans="1:14" x14ac:dyDescent="0.25">
      <c r="A215">
        <f t="shared" si="31"/>
        <v>47</v>
      </c>
      <c r="B215">
        <f t="shared" si="32"/>
        <v>587</v>
      </c>
      <c r="C215">
        <v>58</v>
      </c>
      <c r="D215">
        <f>VLOOKUP(C215,'Store Database'!A:C,2,FALSE)</f>
        <v>4</v>
      </c>
      <c r="E215" t="str">
        <f>VLOOKUP(D215,'Store Database'!$B$3:$C$100,2,FALSE)</f>
        <v>South</v>
      </c>
      <c r="F215">
        <v>7</v>
      </c>
      <c r="G215" s="55" t="s">
        <v>300</v>
      </c>
      <c r="H215">
        <v>47785.74</v>
      </c>
      <c r="I215">
        <v>42876.13</v>
      </c>
      <c r="J215">
        <v>4909.6099999999997</v>
      </c>
      <c r="K215">
        <v>11.4506836321282</v>
      </c>
      <c r="L215">
        <v>2137</v>
      </c>
      <c r="M215">
        <v>1364</v>
      </c>
      <c r="N215">
        <v>56.6715542521994</v>
      </c>
    </row>
    <row r="216" spans="1:14" x14ac:dyDescent="0.25">
      <c r="A216">
        <f t="shared" si="31"/>
        <v>48</v>
      </c>
      <c r="B216">
        <f t="shared" si="32"/>
        <v>588</v>
      </c>
      <c r="C216">
        <v>58</v>
      </c>
      <c r="D216">
        <f>VLOOKUP(C216,'Store Database'!A:C,2,FALSE)</f>
        <v>4</v>
      </c>
      <c r="E216" t="str">
        <f>VLOOKUP(D216,'Store Database'!$B$3:$C$100,2,FALSE)</f>
        <v>South</v>
      </c>
      <c r="F216">
        <v>8</v>
      </c>
      <c r="G216" s="55" t="s">
        <v>301</v>
      </c>
      <c r="H216">
        <v>77205.149999999994</v>
      </c>
      <c r="I216">
        <v>74122.38</v>
      </c>
      <c r="J216">
        <v>3082.77</v>
      </c>
      <c r="K216">
        <v>4.1590272735441003</v>
      </c>
      <c r="L216">
        <v>1879</v>
      </c>
      <c r="M216">
        <v>1518</v>
      </c>
      <c r="N216">
        <v>23.781291172595502</v>
      </c>
    </row>
    <row r="217" spans="1:14" x14ac:dyDescent="0.25">
      <c r="A217">
        <f t="shared" si="31"/>
        <v>49</v>
      </c>
      <c r="B217">
        <f t="shared" si="32"/>
        <v>589</v>
      </c>
      <c r="C217">
        <v>58</v>
      </c>
      <c r="D217">
        <f>VLOOKUP(C217,'Store Database'!A:C,2,FALSE)</f>
        <v>4</v>
      </c>
      <c r="E217" t="str">
        <f>VLOOKUP(D217,'Store Database'!$B$3:$C$100,2,FALSE)</f>
        <v>South</v>
      </c>
      <c r="F217">
        <v>9</v>
      </c>
      <c r="G217" s="55" t="s">
        <v>302</v>
      </c>
      <c r="H217">
        <v>21392.400000000001</v>
      </c>
      <c r="I217">
        <v>22181.94</v>
      </c>
      <c r="J217">
        <v>-789.54</v>
      </c>
      <c r="K217">
        <v>-3.5593820919180201</v>
      </c>
      <c r="L217">
        <v>4079</v>
      </c>
      <c r="M217">
        <v>2361</v>
      </c>
      <c r="N217">
        <v>72.765777213045297</v>
      </c>
    </row>
    <row r="218" spans="1:14" x14ac:dyDescent="0.25">
      <c r="A218">
        <f t="shared" si="31"/>
        <v>11</v>
      </c>
      <c r="B218">
        <f t="shared" si="32"/>
        <v>611</v>
      </c>
      <c r="C218">
        <v>61</v>
      </c>
      <c r="D218">
        <f>VLOOKUP(C218,'Store Database'!A:C,2,FALSE)</f>
        <v>1</v>
      </c>
      <c r="E218" t="str">
        <f>VLOOKUP(D218,'Store Database'!$B$3:$C$100,2,FALSE)</f>
        <v>East</v>
      </c>
      <c r="F218">
        <v>1</v>
      </c>
      <c r="G218" s="55" t="s">
        <v>294</v>
      </c>
      <c r="H218">
        <v>74806.97</v>
      </c>
      <c r="I218">
        <v>74583.62</v>
      </c>
      <c r="J218">
        <v>223.35</v>
      </c>
      <c r="K218">
        <v>0.29946253614399498</v>
      </c>
      <c r="L218">
        <v>2507</v>
      </c>
      <c r="M218">
        <v>2159</v>
      </c>
      <c r="N218">
        <v>16.118573413617401</v>
      </c>
    </row>
    <row r="219" spans="1:14" x14ac:dyDescent="0.25">
      <c r="A219">
        <f t="shared" si="31"/>
        <v>12</v>
      </c>
      <c r="B219">
        <f t="shared" si="32"/>
        <v>612</v>
      </c>
      <c r="C219">
        <v>61</v>
      </c>
      <c r="D219">
        <f>VLOOKUP(C219,'Store Database'!A:C,2,FALSE)</f>
        <v>1</v>
      </c>
      <c r="E219" t="str">
        <f>VLOOKUP(D219,'Store Database'!$B$3:$C$100,2,FALSE)</f>
        <v>East</v>
      </c>
      <c r="F219">
        <v>2</v>
      </c>
      <c r="G219" s="55" t="s">
        <v>295</v>
      </c>
      <c r="H219">
        <v>57305.2</v>
      </c>
      <c r="I219">
        <v>60703.199999999997</v>
      </c>
      <c r="J219">
        <v>-3398</v>
      </c>
      <c r="K219">
        <v>-5.5977279616231099</v>
      </c>
      <c r="L219">
        <v>2386</v>
      </c>
      <c r="M219">
        <v>1903</v>
      </c>
      <c r="N219">
        <v>25.380977404098797</v>
      </c>
    </row>
    <row r="220" spans="1:14" x14ac:dyDescent="0.25">
      <c r="A220">
        <f t="shared" si="31"/>
        <v>13</v>
      </c>
      <c r="B220">
        <f t="shared" si="32"/>
        <v>613</v>
      </c>
      <c r="C220">
        <v>61</v>
      </c>
      <c r="D220">
        <f>VLOOKUP(C220,'Store Database'!A:C,2,FALSE)</f>
        <v>1</v>
      </c>
      <c r="E220" t="str">
        <f>VLOOKUP(D220,'Store Database'!$B$3:$C$100,2,FALSE)</f>
        <v>East</v>
      </c>
      <c r="F220">
        <v>3</v>
      </c>
      <c r="G220" s="55" t="s">
        <v>296</v>
      </c>
      <c r="H220">
        <v>8911.59</v>
      </c>
      <c r="I220">
        <v>6290.37</v>
      </c>
      <c r="J220">
        <v>2621.2199999999998</v>
      </c>
      <c r="K220">
        <v>41.670362792649698</v>
      </c>
      <c r="L220">
        <v>613</v>
      </c>
      <c r="M220">
        <v>548</v>
      </c>
      <c r="N220">
        <v>11.861313868613101</v>
      </c>
    </row>
    <row r="221" spans="1:14" x14ac:dyDescent="0.25">
      <c r="A221">
        <f t="shared" si="31"/>
        <v>14</v>
      </c>
      <c r="B221">
        <f t="shared" si="32"/>
        <v>614</v>
      </c>
      <c r="C221">
        <v>61</v>
      </c>
      <c r="D221">
        <f>VLOOKUP(C221,'Store Database'!A:C,2,FALSE)</f>
        <v>1</v>
      </c>
      <c r="E221" t="str">
        <f>VLOOKUP(D221,'Store Database'!$B$3:$C$100,2,FALSE)</f>
        <v>East</v>
      </c>
      <c r="F221">
        <v>4</v>
      </c>
      <c r="G221" s="55" t="s">
        <v>297</v>
      </c>
      <c r="H221">
        <v>88078.54</v>
      </c>
      <c r="I221">
        <v>86057.78</v>
      </c>
      <c r="J221">
        <v>2020.76</v>
      </c>
      <c r="K221">
        <v>2.3481433055791099</v>
      </c>
      <c r="L221">
        <v>2037</v>
      </c>
      <c r="M221">
        <v>1738</v>
      </c>
      <c r="N221">
        <v>17.203682393555798</v>
      </c>
    </row>
    <row r="222" spans="1:14" x14ac:dyDescent="0.25">
      <c r="A222">
        <f t="shared" si="31"/>
        <v>15</v>
      </c>
      <c r="B222">
        <f t="shared" si="32"/>
        <v>615</v>
      </c>
      <c r="C222">
        <v>61</v>
      </c>
      <c r="D222">
        <f>VLOOKUP(C222,'Store Database'!A:C,2,FALSE)</f>
        <v>1</v>
      </c>
      <c r="E222" t="str">
        <f>VLOOKUP(D222,'Store Database'!$B$3:$C$100,2,FALSE)</f>
        <v>East</v>
      </c>
      <c r="F222">
        <v>5</v>
      </c>
      <c r="G222" s="55" t="s">
        <v>298</v>
      </c>
      <c r="H222">
        <v>91131.6</v>
      </c>
      <c r="I222">
        <v>72443.490000000005</v>
      </c>
      <c r="J222">
        <v>18688.11</v>
      </c>
      <c r="K222">
        <v>25.796810727920501</v>
      </c>
      <c r="L222">
        <v>2129</v>
      </c>
      <c r="M222">
        <v>2157</v>
      </c>
      <c r="N222">
        <v>-1.2980992118683401</v>
      </c>
    </row>
    <row r="223" spans="1:14" x14ac:dyDescent="0.25">
      <c r="A223">
        <f t="shared" si="31"/>
        <v>16</v>
      </c>
      <c r="B223">
        <f t="shared" si="32"/>
        <v>616</v>
      </c>
      <c r="C223">
        <v>61</v>
      </c>
      <c r="D223">
        <f>VLOOKUP(C223,'Store Database'!A:C,2,FALSE)</f>
        <v>1</v>
      </c>
      <c r="E223" t="str">
        <f>VLOOKUP(D223,'Store Database'!$B$3:$C$100,2,FALSE)</f>
        <v>East</v>
      </c>
      <c r="F223">
        <v>6</v>
      </c>
      <c r="G223" s="55" t="s">
        <v>299</v>
      </c>
      <c r="H223">
        <v>86164.76</v>
      </c>
      <c r="I223">
        <v>80798.179999999993</v>
      </c>
      <c r="J223">
        <v>5366.58</v>
      </c>
      <c r="K223">
        <v>6.6419565391200699</v>
      </c>
      <c r="L223">
        <v>1593</v>
      </c>
      <c r="M223">
        <v>1159</v>
      </c>
      <c r="N223">
        <v>37.446074201898199</v>
      </c>
    </row>
    <row r="224" spans="1:14" x14ac:dyDescent="0.25">
      <c r="A224">
        <f t="shared" si="31"/>
        <v>17</v>
      </c>
      <c r="B224">
        <f t="shared" si="32"/>
        <v>617</v>
      </c>
      <c r="C224">
        <v>61</v>
      </c>
      <c r="D224">
        <f>VLOOKUP(C224,'Store Database'!A:C,2,FALSE)</f>
        <v>1</v>
      </c>
      <c r="E224" t="str">
        <f>VLOOKUP(D224,'Store Database'!$B$3:$C$100,2,FALSE)</f>
        <v>East</v>
      </c>
      <c r="F224">
        <v>7</v>
      </c>
      <c r="G224" s="55" t="s">
        <v>300</v>
      </c>
      <c r="H224">
        <v>53767.16</v>
      </c>
      <c r="I224">
        <v>50266.57</v>
      </c>
      <c r="J224">
        <v>3500.59</v>
      </c>
      <c r="K224">
        <v>6.96405185394587</v>
      </c>
      <c r="L224">
        <v>1932</v>
      </c>
      <c r="M224">
        <v>1720</v>
      </c>
      <c r="N224">
        <v>12.3255813953488</v>
      </c>
    </row>
    <row r="225" spans="1:14" x14ac:dyDescent="0.25">
      <c r="A225">
        <f t="shared" si="31"/>
        <v>18</v>
      </c>
      <c r="B225">
        <f t="shared" si="32"/>
        <v>618</v>
      </c>
      <c r="C225">
        <v>61</v>
      </c>
      <c r="D225">
        <f>VLOOKUP(C225,'Store Database'!A:C,2,FALSE)</f>
        <v>1</v>
      </c>
      <c r="E225" t="str">
        <f>VLOOKUP(D225,'Store Database'!$B$3:$C$100,2,FALSE)</f>
        <v>East</v>
      </c>
      <c r="F225">
        <v>8</v>
      </c>
      <c r="G225" s="55" t="s">
        <v>301</v>
      </c>
      <c r="H225">
        <v>61059.49</v>
      </c>
      <c r="I225">
        <v>65045.23</v>
      </c>
      <c r="J225">
        <v>-3985.74</v>
      </c>
      <c r="K225">
        <v>-6.1276437949408402</v>
      </c>
      <c r="L225">
        <v>1784</v>
      </c>
      <c r="M225">
        <v>1817</v>
      </c>
      <c r="N225">
        <v>-1.81618051733627</v>
      </c>
    </row>
    <row r="226" spans="1:14" x14ac:dyDescent="0.25">
      <c r="A226">
        <f t="shared" si="31"/>
        <v>19</v>
      </c>
      <c r="B226">
        <f t="shared" si="32"/>
        <v>619</v>
      </c>
      <c r="C226">
        <v>61</v>
      </c>
      <c r="D226">
        <f>VLOOKUP(C226,'Store Database'!A:C,2,FALSE)</f>
        <v>1</v>
      </c>
      <c r="E226" t="str">
        <f>VLOOKUP(D226,'Store Database'!$B$3:$C$100,2,FALSE)</f>
        <v>East</v>
      </c>
      <c r="F226">
        <v>9</v>
      </c>
      <c r="G226" s="55" t="s">
        <v>302</v>
      </c>
      <c r="H226">
        <v>17404.88</v>
      </c>
      <c r="I226">
        <v>15999.01</v>
      </c>
      <c r="J226">
        <v>1405.87</v>
      </c>
      <c r="K226">
        <v>8.7872312099311092</v>
      </c>
      <c r="L226">
        <v>4273</v>
      </c>
      <c r="M226">
        <v>2341</v>
      </c>
      <c r="N226">
        <v>82.528833831695906</v>
      </c>
    </row>
    <row r="227" spans="1:14" x14ac:dyDescent="0.25">
      <c r="A227">
        <f t="shared" si="31"/>
        <v>21</v>
      </c>
      <c r="B227">
        <f t="shared" si="32"/>
        <v>641</v>
      </c>
      <c r="C227">
        <v>64</v>
      </c>
      <c r="D227">
        <f>VLOOKUP(C227,'Store Database'!A:C,2,FALSE)</f>
        <v>2</v>
      </c>
      <c r="E227" t="str">
        <f>VLOOKUP(D227,'Store Database'!$B$3:$C$100,2,FALSE)</f>
        <v>West</v>
      </c>
      <c r="F227">
        <v>1</v>
      </c>
      <c r="G227" s="55" t="s">
        <v>294</v>
      </c>
      <c r="H227">
        <v>136287.97</v>
      </c>
      <c r="I227">
        <v>85806.47</v>
      </c>
      <c r="J227">
        <v>50481.5</v>
      </c>
      <c r="K227">
        <v>58.831810701454103</v>
      </c>
      <c r="L227">
        <v>2766</v>
      </c>
      <c r="M227">
        <v>3164</v>
      </c>
      <c r="N227">
        <v>-12.5790139064475</v>
      </c>
    </row>
    <row r="228" spans="1:14" x14ac:dyDescent="0.25">
      <c r="A228">
        <f t="shared" si="31"/>
        <v>22</v>
      </c>
      <c r="B228">
        <f t="shared" si="32"/>
        <v>642</v>
      </c>
      <c r="C228">
        <v>64</v>
      </c>
      <c r="D228">
        <f>VLOOKUP(C228,'Store Database'!A:C,2,FALSE)</f>
        <v>2</v>
      </c>
      <c r="E228" t="str">
        <f>VLOOKUP(D228,'Store Database'!$B$3:$C$100,2,FALSE)</f>
        <v>West</v>
      </c>
      <c r="F228">
        <v>2</v>
      </c>
      <c r="G228" s="55" t="s">
        <v>295</v>
      </c>
      <c r="H228">
        <v>82003.41</v>
      </c>
      <c r="I228">
        <v>97126.12</v>
      </c>
      <c r="J228">
        <v>-15122.71</v>
      </c>
      <c r="K228">
        <v>-15.570178238356499</v>
      </c>
      <c r="L228">
        <v>2848</v>
      </c>
      <c r="M228">
        <v>2911</v>
      </c>
      <c r="N228">
        <v>-2.1642047406389602</v>
      </c>
    </row>
    <row r="229" spans="1:14" x14ac:dyDescent="0.25">
      <c r="A229">
        <f t="shared" si="31"/>
        <v>23</v>
      </c>
      <c r="B229">
        <f t="shared" si="32"/>
        <v>643</v>
      </c>
      <c r="C229">
        <v>64</v>
      </c>
      <c r="D229">
        <f>VLOOKUP(C229,'Store Database'!A:C,2,FALSE)</f>
        <v>2</v>
      </c>
      <c r="E229" t="str">
        <f>VLOOKUP(D229,'Store Database'!$B$3:$C$100,2,FALSE)</f>
        <v>West</v>
      </c>
      <c r="F229">
        <v>3</v>
      </c>
      <c r="G229" s="55" t="s">
        <v>296</v>
      </c>
      <c r="H229">
        <v>18343.53</v>
      </c>
      <c r="I229">
        <v>30976.38</v>
      </c>
      <c r="J229">
        <v>-12632.85</v>
      </c>
      <c r="K229">
        <v>-40.782202439407101</v>
      </c>
      <c r="L229">
        <v>1505</v>
      </c>
      <c r="M229">
        <v>877</v>
      </c>
      <c r="N229">
        <v>71.607753705815298</v>
      </c>
    </row>
    <row r="230" spans="1:14" x14ac:dyDescent="0.25">
      <c r="A230">
        <f t="shared" si="31"/>
        <v>24</v>
      </c>
      <c r="B230">
        <f t="shared" si="32"/>
        <v>644</v>
      </c>
      <c r="C230">
        <v>64</v>
      </c>
      <c r="D230">
        <f>VLOOKUP(C230,'Store Database'!A:C,2,FALSE)</f>
        <v>2</v>
      </c>
      <c r="E230" t="str">
        <f>VLOOKUP(D230,'Store Database'!$B$3:$C$100,2,FALSE)</f>
        <v>West</v>
      </c>
      <c r="F230">
        <v>4</v>
      </c>
      <c r="G230" s="55" t="s">
        <v>297</v>
      </c>
      <c r="H230">
        <v>122980.65</v>
      </c>
      <c r="I230">
        <v>141637.16</v>
      </c>
      <c r="J230">
        <v>-18656.509999999998</v>
      </c>
      <c r="K230">
        <v>-13.172044680929799</v>
      </c>
      <c r="L230">
        <v>3240</v>
      </c>
      <c r="M230">
        <v>3090</v>
      </c>
      <c r="N230">
        <v>4.8543689320388301</v>
      </c>
    </row>
    <row r="231" spans="1:14" x14ac:dyDescent="0.25">
      <c r="A231">
        <f t="shared" si="31"/>
        <v>25</v>
      </c>
      <c r="B231">
        <f t="shared" si="32"/>
        <v>645</v>
      </c>
      <c r="C231">
        <v>64</v>
      </c>
      <c r="D231">
        <f>VLOOKUP(C231,'Store Database'!A:C,2,FALSE)</f>
        <v>2</v>
      </c>
      <c r="E231" t="str">
        <f>VLOOKUP(D231,'Store Database'!$B$3:$C$100,2,FALSE)</f>
        <v>West</v>
      </c>
      <c r="F231">
        <v>5</v>
      </c>
      <c r="G231" s="55" t="s">
        <v>298</v>
      </c>
      <c r="H231">
        <v>186490.93</v>
      </c>
      <c r="I231">
        <v>191641.07</v>
      </c>
      <c r="J231">
        <v>-5150.1400000000003</v>
      </c>
      <c r="K231">
        <v>-2.6873884601040898</v>
      </c>
      <c r="L231">
        <v>3419</v>
      </c>
      <c r="M231">
        <v>3221</v>
      </c>
      <c r="N231">
        <v>6.1471592673082904</v>
      </c>
    </row>
    <row r="232" spans="1:14" x14ac:dyDescent="0.25">
      <c r="A232">
        <f t="shared" si="31"/>
        <v>26</v>
      </c>
      <c r="B232">
        <f t="shared" si="32"/>
        <v>646</v>
      </c>
      <c r="C232">
        <v>64</v>
      </c>
      <c r="D232">
        <f>VLOOKUP(C232,'Store Database'!A:C,2,FALSE)</f>
        <v>2</v>
      </c>
      <c r="E232" t="str">
        <f>VLOOKUP(D232,'Store Database'!$B$3:$C$100,2,FALSE)</f>
        <v>West</v>
      </c>
      <c r="F232">
        <v>6</v>
      </c>
      <c r="G232" s="55" t="s">
        <v>299</v>
      </c>
      <c r="H232">
        <v>122475.45</v>
      </c>
      <c r="I232">
        <v>153956.84</v>
      </c>
      <c r="J232">
        <v>-31481.39</v>
      </c>
      <c r="K232">
        <v>-20.448191843896002</v>
      </c>
      <c r="L232">
        <v>3290</v>
      </c>
      <c r="M232">
        <v>3817</v>
      </c>
      <c r="N232">
        <v>-13.806654440660198</v>
      </c>
    </row>
    <row r="233" spans="1:14" x14ac:dyDescent="0.25">
      <c r="A233">
        <f t="shared" si="31"/>
        <v>27</v>
      </c>
      <c r="B233">
        <f t="shared" si="32"/>
        <v>647</v>
      </c>
      <c r="C233">
        <v>64</v>
      </c>
      <c r="D233">
        <f>VLOOKUP(C233,'Store Database'!A:C,2,FALSE)</f>
        <v>2</v>
      </c>
      <c r="E233" t="str">
        <f>VLOOKUP(D233,'Store Database'!$B$3:$C$100,2,FALSE)</f>
        <v>West</v>
      </c>
      <c r="F233">
        <v>7</v>
      </c>
      <c r="G233" s="55" t="s">
        <v>300</v>
      </c>
      <c r="H233">
        <v>52745.14</v>
      </c>
      <c r="I233">
        <v>47881.21</v>
      </c>
      <c r="J233">
        <v>4863.93</v>
      </c>
      <c r="K233">
        <v>10.158327243609801</v>
      </c>
      <c r="L233">
        <v>2090</v>
      </c>
      <c r="M233">
        <v>1994</v>
      </c>
      <c r="N233">
        <v>4.8144433299899703</v>
      </c>
    </row>
    <row r="234" spans="1:14" x14ac:dyDescent="0.25">
      <c r="A234">
        <f t="shared" si="31"/>
        <v>28</v>
      </c>
      <c r="B234">
        <f t="shared" si="32"/>
        <v>648</v>
      </c>
      <c r="C234">
        <v>64</v>
      </c>
      <c r="D234">
        <f>VLOOKUP(C234,'Store Database'!A:C,2,FALSE)</f>
        <v>2</v>
      </c>
      <c r="E234" t="str">
        <f>VLOOKUP(D234,'Store Database'!$B$3:$C$100,2,FALSE)</f>
        <v>West</v>
      </c>
      <c r="F234">
        <v>8</v>
      </c>
      <c r="G234" s="55" t="s">
        <v>301</v>
      </c>
      <c r="H234">
        <v>52911.68</v>
      </c>
      <c r="I234">
        <v>62380.36</v>
      </c>
      <c r="J234">
        <v>-9468.68</v>
      </c>
      <c r="K234">
        <v>-15.1789441420344</v>
      </c>
      <c r="L234">
        <v>1921</v>
      </c>
      <c r="M234">
        <v>2046</v>
      </c>
      <c r="N234">
        <v>-6.1094819159335296</v>
      </c>
    </row>
    <row r="235" spans="1:14" x14ac:dyDescent="0.25">
      <c r="A235">
        <f t="shared" si="31"/>
        <v>29</v>
      </c>
      <c r="B235">
        <f t="shared" si="32"/>
        <v>649</v>
      </c>
      <c r="C235">
        <v>64</v>
      </c>
      <c r="D235">
        <f>VLOOKUP(C235,'Store Database'!A:C,2,FALSE)</f>
        <v>2</v>
      </c>
      <c r="E235" t="str">
        <f>VLOOKUP(D235,'Store Database'!$B$3:$C$100,2,FALSE)</f>
        <v>West</v>
      </c>
      <c r="F235">
        <v>9</v>
      </c>
      <c r="G235" s="55" t="s">
        <v>302</v>
      </c>
      <c r="H235">
        <v>33392.39</v>
      </c>
      <c r="I235">
        <v>42900.66</v>
      </c>
      <c r="J235">
        <v>-9508.27</v>
      </c>
      <c r="K235">
        <v>-22.163458557514002</v>
      </c>
      <c r="L235">
        <v>5443</v>
      </c>
      <c r="M235">
        <v>3660</v>
      </c>
      <c r="N235">
        <v>48.715846994535497</v>
      </c>
    </row>
    <row r="236" spans="1:14" x14ac:dyDescent="0.25">
      <c r="A236">
        <f t="shared" si="31"/>
        <v>31</v>
      </c>
      <c r="B236">
        <f t="shared" si="32"/>
        <v>671</v>
      </c>
      <c r="C236">
        <v>67</v>
      </c>
      <c r="D236">
        <f>VLOOKUP(C236,'Store Database'!A:C,2,FALSE)</f>
        <v>3</v>
      </c>
      <c r="E236" t="str">
        <f>VLOOKUP(D236,'Store Database'!$B$3:$C$100,2,FALSE)</f>
        <v>North</v>
      </c>
      <c r="F236">
        <v>1</v>
      </c>
      <c r="G236" s="55" t="s">
        <v>294</v>
      </c>
      <c r="H236">
        <v>98090.83</v>
      </c>
      <c r="I236">
        <v>91528.71</v>
      </c>
      <c r="J236">
        <v>6562.12</v>
      </c>
      <c r="K236">
        <v>7.1694662800338804</v>
      </c>
      <c r="L236">
        <v>2657</v>
      </c>
      <c r="M236">
        <v>2256</v>
      </c>
      <c r="N236">
        <v>17.7748226950355</v>
      </c>
    </row>
    <row r="237" spans="1:14" x14ac:dyDescent="0.25">
      <c r="A237">
        <f t="shared" si="31"/>
        <v>32</v>
      </c>
      <c r="B237">
        <f t="shared" si="32"/>
        <v>672</v>
      </c>
      <c r="C237">
        <v>67</v>
      </c>
      <c r="D237">
        <f>VLOOKUP(C237,'Store Database'!A:C,2,FALSE)</f>
        <v>3</v>
      </c>
      <c r="E237" t="str">
        <f>VLOOKUP(D237,'Store Database'!$B$3:$C$100,2,FALSE)</f>
        <v>North</v>
      </c>
      <c r="F237">
        <v>2</v>
      </c>
      <c r="G237" s="55" t="s">
        <v>295</v>
      </c>
      <c r="H237">
        <v>67489.55</v>
      </c>
      <c r="I237">
        <v>75610.58</v>
      </c>
      <c r="J237">
        <v>-8121.03</v>
      </c>
      <c r="K237">
        <v>-10.740600058880601</v>
      </c>
      <c r="L237">
        <v>2428</v>
      </c>
      <c r="M237">
        <v>2267</v>
      </c>
      <c r="N237">
        <v>7.1018967798853101</v>
      </c>
    </row>
    <row r="238" spans="1:14" x14ac:dyDescent="0.25">
      <c r="A238">
        <f t="shared" si="31"/>
        <v>33</v>
      </c>
      <c r="B238">
        <f t="shared" si="32"/>
        <v>673</v>
      </c>
      <c r="C238">
        <v>67</v>
      </c>
      <c r="D238">
        <f>VLOOKUP(C238,'Store Database'!A:C,2,FALSE)</f>
        <v>3</v>
      </c>
      <c r="E238" t="str">
        <f>VLOOKUP(D238,'Store Database'!$B$3:$C$100,2,FALSE)</f>
        <v>North</v>
      </c>
      <c r="F238">
        <v>3</v>
      </c>
      <c r="G238" s="55" t="s">
        <v>296</v>
      </c>
      <c r="H238">
        <v>9600.9599999999991</v>
      </c>
      <c r="I238">
        <v>13007.5</v>
      </c>
      <c r="J238">
        <v>-3406.54</v>
      </c>
      <c r="K238">
        <v>-26.189044781856602</v>
      </c>
      <c r="L238">
        <v>754</v>
      </c>
      <c r="M238">
        <v>446</v>
      </c>
      <c r="N238">
        <v>69.058295964125605</v>
      </c>
    </row>
    <row r="239" spans="1:14" x14ac:dyDescent="0.25">
      <c r="A239">
        <f t="shared" si="31"/>
        <v>34</v>
      </c>
      <c r="B239">
        <f t="shared" si="32"/>
        <v>674</v>
      </c>
      <c r="C239">
        <v>67</v>
      </c>
      <c r="D239">
        <f>VLOOKUP(C239,'Store Database'!A:C,2,FALSE)</f>
        <v>3</v>
      </c>
      <c r="E239" t="str">
        <f>VLOOKUP(D239,'Store Database'!$B$3:$C$100,2,FALSE)</f>
        <v>North</v>
      </c>
      <c r="F239">
        <v>4</v>
      </c>
      <c r="G239" s="55" t="s">
        <v>297</v>
      </c>
      <c r="H239">
        <v>89755.93</v>
      </c>
      <c r="I239">
        <v>104167.14</v>
      </c>
      <c r="J239">
        <v>-14411.21</v>
      </c>
      <c r="K239">
        <v>-13.834698735128899</v>
      </c>
      <c r="L239">
        <v>2163</v>
      </c>
      <c r="M239">
        <v>1454</v>
      </c>
      <c r="N239">
        <v>48.762035763411298</v>
      </c>
    </row>
    <row r="240" spans="1:14" x14ac:dyDescent="0.25">
      <c r="A240">
        <f t="shared" si="31"/>
        <v>35</v>
      </c>
      <c r="B240">
        <f t="shared" si="32"/>
        <v>675</v>
      </c>
      <c r="C240">
        <v>67</v>
      </c>
      <c r="D240">
        <f>VLOOKUP(C240,'Store Database'!A:C,2,FALSE)</f>
        <v>3</v>
      </c>
      <c r="E240" t="str">
        <f>VLOOKUP(D240,'Store Database'!$B$3:$C$100,2,FALSE)</f>
        <v>North</v>
      </c>
      <c r="F240">
        <v>5</v>
      </c>
      <c r="G240" s="55" t="s">
        <v>298</v>
      </c>
      <c r="H240">
        <v>114720.53</v>
      </c>
      <c r="I240">
        <v>105664.27</v>
      </c>
      <c r="J240">
        <v>9056.26</v>
      </c>
      <c r="K240">
        <v>8.5707874572928002</v>
      </c>
      <c r="L240">
        <v>2494</v>
      </c>
      <c r="M240">
        <v>2408</v>
      </c>
      <c r="N240">
        <v>3.5714285714285698</v>
      </c>
    </row>
    <row r="241" spans="1:14" x14ac:dyDescent="0.25">
      <c r="A241">
        <f t="shared" si="31"/>
        <v>36</v>
      </c>
      <c r="B241">
        <f t="shared" si="32"/>
        <v>676</v>
      </c>
      <c r="C241">
        <v>67</v>
      </c>
      <c r="D241">
        <f>VLOOKUP(C241,'Store Database'!A:C,2,FALSE)</f>
        <v>3</v>
      </c>
      <c r="E241" t="str">
        <f>VLOOKUP(D241,'Store Database'!$B$3:$C$100,2,FALSE)</f>
        <v>North</v>
      </c>
      <c r="F241">
        <v>6</v>
      </c>
      <c r="G241" s="55" t="s">
        <v>299</v>
      </c>
      <c r="H241">
        <v>88736.38</v>
      </c>
      <c r="I241">
        <v>96910.19</v>
      </c>
      <c r="J241">
        <v>-8173.81</v>
      </c>
      <c r="K241">
        <v>-8.4344174745710401</v>
      </c>
      <c r="L241">
        <v>1627</v>
      </c>
      <c r="M241">
        <v>1413</v>
      </c>
      <c r="N241">
        <v>15.1450813871196</v>
      </c>
    </row>
    <row r="242" spans="1:14" x14ac:dyDescent="0.25">
      <c r="A242">
        <f t="shared" si="31"/>
        <v>37</v>
      </c>
      <c r="B242">
        <f t="shared" si="32"/>
        <v>677</v>
      </c>
      <c r="C242">
        <v>67</v>
      </c>
      <c r="D242">
        <f>VLOOKUP(C242,'Store Database'!A:C,2,FALSE)</f>
        <v>3</v>
      </c>
      <c r="E242" t="str">
        <f>VLOOKUP(D242,'Store Database'!$B$3:$C$100,2,FALSE)</f>
        <v>North</v>
      </c>
      <c r="F242">
        <v>7</v>
      </c>
      <c r="G242" s="55" t="s">
        <v>300</v>
      </c>
      <c r="H242">
        <v>48577.98</v>
      </c>
      <c r="I242">
        <v>44874.79</v>
      </c>
      <c r="J242">
        <v>3703.19</v>
      </c>
      <c r="K242">
        <v>8.2522726011642593</v>
      </c>
      <c r="L242">
        <v>1460</v>
      </c>
      <c r="M242">
        <v>1545</v>
      </c>
      <c r="N242">
        <v>-5.5016181229773506</v>
      </c>
    </row>
    <row r="243" spans="1:14" x14ac:dyDescent="0.25">
      <c r="A243">
        <f t="shared" si="31"/>
        <v>38</v>
      </c>
      <c r="B243">
        <f t="shared" si="32"/>
        <v>678</v>
      </c>
      <c r="C243">
        <v>67</v>
      </c>
      <c r="D243">
        <f>VLOOKUP(C243,'Store Database'!A:C,2,FALSE)</f>
        <v>3</v>
      </c>
      <c r="E243" t="str">
        <f>VLOOKUP(D243,'Store Database'!$B$3:$C$100,2,FALSE)</f>
        <v>North</v>
      </c>
      <c r="F243">
        <v>8</v>
      </c>
      <c r="G243" s="55" t="s">
        <v>301</v>
      </c>
      <c r="H243">
        <v>56945.57</v>
      </c>
      <c r="I243">
        <v>52737.24</v>
      </c>
      <c r="J243">
        <v>4208.33</v>
      </c>
      <c r="K243">
        <v>7.9798070585415504</v>
      </c>
      <c r="L243">
        <v>1450</v>
      </c>
      <c r="M243">
        <v>1201</v>
      </c>
      <c r="N243">
        <v>20.7327227310575</v>
      </c>
    </row>
    <row r="244" spans="1:14" x14ac:dyDescent="0.25">
      <c r="A244">
        <f t="shared" si="31"/>
        <v>39</v>
      </c>
      <c r="B244">
        <f t="shared" si="32"/>
        <v>679</v>
      </c>
      <c r="C244">
        <v>67</v>
      </c>
      <c r="D244">
        <f>VLOOKUP(C244,'Store Database'!A:C,2,FALSE)</f>
        <v>3</v>
      </c>
      <c r="E244" t="str">
        <f>VLOOKUP(D244,'Store Database'!$B$3:$C$100,2,FALSE)</f>
        <v>North</v>
      </c>
      <c r="F244">
        <v>9</v>
      </c>
      <c r="G244" s="55" t="s">
        <v>302</v>
      </c>
      <c r="H244">
        <v>28075.599999999999</v>
      </c>
      <c r="I244">
        <v>27371.91</v>
      </c>
      <c r="J244">
        <v>703.69</v>
      </c>
      <c r="K244">
        <v>2.5708472664128998</v>
      </c>
      <c r="L244">
        <v>4009</v>
      </c>
      <c r="M244">
        <v>2465</v>
      </c>
      <c r="N244">
        <v>62.636916835699793</v>
      </c>
    </row>
    <row r="245" spans="1:14" x14ac:dyDescent="0.25">
      <c r="A245">
        <f t="shared" si="31"/>
        <v>41</v>
      </c>
      <c r="B245">
        <f t="shared" si="32"/>
        <v>691</v>
      </c>
      <c r="C245">
        <v>69</v>
      </c>
      <c r="D245">
        <f>VLOOKUP(C245,'Store Database'!A:C,2,FALSE)</f>
        <v>4</v>
      </c>
      <c r="E245" t="str">
        <f>VLOOKUP(D245,'Store Database'!$B$3:$C$100,2,FALSE)</f>
        <v>South</v>
      </c>
      <c r="F245">
        <v>1</v>
      </c>
      <c r="G245" s="55" t="s">
        <v>294</v>
      </c>
      <c r="H245">
        <v>114566.18</v>
      </c>
      <c r="I245">
        <v>111337.11</v>
      </c>
      <c r="J245">
        <v>3229.07</v>
      </c>
      <c r="K245">
        <v>2.9002638922458099</v>
      </c>
      <c r="L245">
        <v>2670</v>
      </c>
      <c r="M245">
        <v>2865</v>
      </c>
      <c r="N245">
        <v>-6.8062827225130906</v>
      </c>
    </row>
    <row r="246" spans="1:14" x14ac:dyDescent="0.25">
      <c r="A246">
        <f t="shared" si="31"/>
        <v>42</v>
      </c>
      <c r="B246">
        <f t="shared" si="32"/>
        <v>692</v>
      </c>
      <c r="C246">
        <v>69</v>
      </c>
      <c r="D246">
        <f>VLOOKUP(C246,'Store Database'!A:C,2,FALSE)</f>
        <v>4</v>
      </c>
      <c r="E246" t="str">
        <f>VLOOKUP(D246,'Store Database'!$B$3:$C$100,2,FALSE)</f>
        <v>South</v>
      </c>
      <c r="F246">
        <v>2</v>
      </c>
      <c r="G246" s="55" t="s">
        <v>295</v>
      </c>
      <c r="H246">
        <v>98219.22</v>
      </c>
      <c r="I246">
        <v>110065.06</v>
      </c>
      <c r="J246">
        <v>-11845.84</v>
      </c>
      <c r="K246">
        <v>-10.762579877755901</v>
      </c>
      <c r="L246">
        <v>2707</v>
      </c>
      <c r="M246">
        <v>2082</v>
      </c>
      <c r="N246">
        <v>30.019212295869401</v>
      </c>
    </row>
    <row r="247" spans="1:14" x14ac:dyDescent="0.25">
      <c r="A247">
        <f t="shared" si="31"/>
        <v>43</v>
      </c>
      <c r="B247">
        <f t="shared" si="32"/>
        <v>693</v>
      </c>
      <c r="C247">
        <v>69</v>
      </c>
      <c r="D247">
        <f>VLOOKUP(C247,'Store Database'!A:C,2,FALSE)</f>
        <v>4</v>
      </c>
      <c r="E247" t="str">
        <f>VLOOKUP(D247,'Store Database'!$B$3:$C$100,2,FALSE)</f>
        <v>South</v>
      </c>
      <c r="F247">
        <v>3</v>
      </c>
      <c r="G247" s="55" t="s">
        <v>296</v>
      </c>
      <c r="H247">
        <v>22272.87</v>
      </c>
      <c r="I247">
        <v>26906.41</v>
      </c>
      <c r="J247">
        <v>-4633.54</v>
      </c>
      <c r="K247">
        <v>-17.220952182026501</v>
      </c>
      <c r="L247">
        <v>1311</v>
      </c>
      <c r="M247">
        <v>671</v>
      </c>
      <c r="N247">
        <v>95.380029806259301</v>
      </c>
    </row>
    <row r="248" spans="1:14" x14ac:dyDescent="0.25">
      <c r="A248">
        <f t="shared" si="31"/>
        <v>44</v>
      </c>
      <c r="B248">
        <f t="shared" si="32"/>
        <v>694</v>
      </c>
      <c r="C248">
        <v>69</v>
      </c>
      <c r="D248">
        <f>VLOOKUP(C248,'Store Database'!A:C,2,FALSE)</f>
        <v>4</v>
      </c>
      <c r="E248" t="str">
        <f>VLOOKUP(D248,'Store Database'!$B$3:$C$100,2,FALSE)</f>
        <v>South</v>
      </c>
      <c r="F248">
        <v>4</v>
      </c>
      <c r="G248" s="55" t="s">
        <v>297</v>
      </c>
      <c r="H248">
        <v>217465.91</v>
      </c>
      <c r="I248">
        <v>234814.62</v>
      </c>
      <c r="J248">
        <v>-17348.71</v>
      </c>
      <c r="K248">
        <v>-7.3882580224348899</v>
      </c>
      <c r="L248">
        <v>3704</v>
      </c>
      <c r="M248">
        <v>2609</v>
      </c>
      <c r="N248">
        <v>41.970103487926401</v>
      </c>
    </row>
    <row r="249" spans="1:14" x14ac:dyDescent="0.25">
      <c r="A249">
        <f t="shared" si="31"/>
        <v>45</v>
      </c>
      <c r="B249">
        <f t="shared" si="32"/>
        <v>695</v>
      </c>
      <c r="C249">
        <v>69</v>
      </c>
      <c r="D249">
        <f>VLOOKUP(C249,'Store Database'!A:C,2,FALSE)</f>
        <v>4</v>
      </c>
      <c r="E249" t="str">
        <f>VLOOKUP(D249,'Store Database'!$B$3:$C$100,2,FALSE)</f>
        <v>South</v>
      </c>
      <c r="F249">
        <v>5</v>
      </c>
      <c r="G249" s="55" t="s">
        <v>298</v>
      </c>
      <c r="H249">
        <v>154861.31</v>
      </c>
      <c r="I249">
        <v>168930.61</v>
      </c>
      <c r="J249">
        <v>-14069.3</v>
      </c>
      <c r="K249">
        <v>-8.3284491780382499</v>
      </c>
      <c r="L249">
        <v>2953</v>
      </c>
      <c r="M249">
        <v>2484</v>
      </c>
      <c r="N249">
        <v>18.880837359098198</v>
      </c>
    </row>
    <row r="250" spans="1:14" x14ac:dyDescent="0.25">
      <c r="A250">
        <f t="shared" si="31"/>
        <v>46</v>
      </c>
      <c r="B250">
        <f t="shared" si="32"/>
        <v>696</v>
      </c>
      <c r="C250">
        <v>69</v>
      </c>
      <c r="D250">
        <f>VLOOKUP(C250,'Store Database'!A:C,2,FALSE)</f>
        <v>4</v>
      </c>
      <c r="E250" t="str">
        <f>VLOOKUP(D250,'Store Database'!$B$3:$C$100,2,FALSE)</f>
        <v>South</v>
      </c>
      <c r="F250">
        <v>6</v>
      </c>
      <c r="G250" s="55" t="s">
        <v>299</v>
      </c>
      <c r="H250">
        <v>200126.82</v>
      </c>
      <c r="I250">
        <v>205083.79</v>
      </c>
      <c r="J250">
        <v>-4956.97</v>
      </c>
      <c r="K250">
        <v>-2.4170462229121101</v>
      </c>
      <c r="L250">
        <v>2565</v>
      </c>
      <c r="M250">
        <v>2617</v>
      </c>
      <c r="N250">
        <v>-1.9870080244554797</v>
      </c>
    </row>
    <row r="251" spans="1:14" x14ac:dyDescent="0.25">
      <c r="A251">
        <f t="shared" si="31"/>
        <v>47</v>
      </c>
      <c r="B251">
        <f t="shared" si="32"/>
        <v>697</v>
      </c>
      <c r="C251">
        <v>69</v>
      </c>
      <c r="D251">
        <f>VLOOKUP(C251,'Store Database'!A:C,2,FALSE)</f>
        <v>4</v>
      </c>
      <c r="E251" t="str">
        <f>VLOOKUP(D251,'Store Database'!$B$3:$C$100,2,FALSE)</f>
        <v>South</v>
      </c>
      <c r="F251">
        <v>7</v>
      </c>
      <c r="G251" s="55" t="s">
        <v>300</v>
      </c>
      <c r="H251">
        <v>76937.399999999994</v>
      </c>
      <c r="I251">
        <v>79587.710000000006</v>
      </c>
      <c r="J251">
        <v>-2650.31</v>
      </c>
      <c r="K251">
        <v>-3.3300493254549002</v>
      </c>
      <c r="L251">
        <v>3737</v>
      </c>
      <c r="M251">
        <v>2795</v>
      </c>
      <c r="N251">
        <v>33.703041144901604</v>
      </c>
    </row>
    <row r="252" spans="1:14" x14ac:dyDescent="0.25">
      <c r="A252">
        <f t="shared" si="31"/>
        <v>48</v>
      </c>
      <c r="B252">
        <f t="shared" si="32"/>
        <v>698</v>
      </c>
      <c r="C252">
        <v>69</v>
      </c>
      <c r="D252">
        <f>VLOOKUP(C252,'Store Database'!A:C,2,FALSE)</f>
        <v>4</v>
      </c>
      <c r="E252" t="str">
        <f>VLOOKUP(D252,'Store Database'!$B$3:$C$100,2,FALSE)</f>
        <v>South</v>
      </c>
      <c r="F252">
        <v>8</v>
      </c>
      <c r="G252" s="55" t="s">
        <v>301</v>
      </c>
      <c r="H252">
        <v>132413.98000000001</v>
      </c>
      <c r="I252">
        <v>156439.04000000001</v>
      </c>
      <c r="J252">
        <v>-24025.06</v>
      </c>
      <c r="K252">
        <v>-15.357458087188499</v>
      </c>
      <c r="L252">
        <v>3305</v>
      </c>
      <c r="M252">
        <v>2604</v>
      </c>
      <c r="N252">
        <v>26.9201228878648</v>
      </c>
    </row>
    <row r="253" spans="1:14" x14ac:dyDescent="0.25">
      <c r="A253">
        <f t="shared" si="31"/>
        <v>49</v>
      </c>
      <c r="B253">
        <f t="shared" si="32"/>
        <v>699</v>
      </c>
      <c r="C253">
        <v>69</v>
      </c>
      <c r="D253">
        <f>VLOOKUP(C253,'Store Database'!A:C,2,FALSE)</f>
        <v>4</v>
      </c>
      <c r="E253" t="str">
        <f>VLOOKUP(D253,'Store Database'!$B$3:$C$100,2,FALSE)</f>
        <v>South</v>
      </c>
      <c r="F253">
        <v>9</v>
      </c>
      <c r="G253" s="55" t="s">
        <v>302</v>
      </c>
      <c r="H253">
        <v>45101.11</v>
      </c>
      <c r="I253">
        <v>46719.89</v>
      </c>
      <c r="J253">
        <v>-1618.78</v>
      </c>
      <c r="K253">
        <v>-3.4648626099076898</v>
      </c>
      <c r="L253">
        <v>5595</v>
      </c>
      <c r="M253">
        <v>2801</v>
      </c>
      <c r="N253">
        <v>99.750089253837899</v>
      </c>
    </row>
    <row r="254" spans="1:14" x14ac:dyDescent="0.25">
      <c r="A254">
        <f t="shared" si="31"/>
        <v>11</v>
      </c>
      <c r="B254">
        <f t="shared" si="32"/>
        <v>721</v>
      </c>
      <c r="C254">
        <v>72</v>
      </c>
      <c r="D254">
        <f>VLOOKUP(C254,'Store Database'!A:C,2,FALSE)</f>
        <v>1</v>
      </c>
      <c r="E254" t="str">
        <f>VLOOKUP(D254,'Store Database'!$B$3:$C$100,2,FALSE)</f>
        <v>East</v>
      </c>
      <c r="F254">
        <v>1</v>
      </c>
      <c r="G254" s="55" t="s">
        <v>294</v>
      </c>
      <c r="H254">
        <v>80233.23</v>
      </c>
      <c r="I254">
        <v>73262.14</v>
      </c>
      <c r="J254">
        <v>6971.09</v>
      </c>
      <c r="K254">
        <v>9.51526941473454</v>
      </c>
      <c r="L254">
        <v>1668</v>
      </c>
      <c r="M254">
        <v>1078</v>
      </c>
      <c r="N254">
        <v>54.730983302411893</v>
      </c>
    </row>
    <row r="255" spans="1:14" x14ac:dyDescent="0.25">
      <c r="A255">
        <f t="shared" si="31"/>
        <v>12</v>
      </c>
      <c r="B255">
        <f t="shared" si="32"/>
        <v>722</v>
      </c>
      <c r="C255">
        <v>72</v>
      </c>
      <c r="D255">
        <f>VLOOKUP(C255,'Store Database'!A:C,2,FALSE)</f>
        <v>1</v>
      </c>
      <c r="E255" t="str">
        <f>VLOOKUP(D255,'Store Database'!$B$3:$C$100,2,FALSE)</f>
        <v>East</v>
      </c>
      <c r="F255">
        <v>2</v>
      </c>
      <c r="G255" s="55" t="s">
        <v>295</v>
      </c>
      <c r="H255">
        <v>89684.6</v>
      </c>
      <c r="I255">
        <v>95113.16</v>
      </c>
      <c r="J255">
        <v>-5428.56</v>
      </c>
      <c r="K255">
        <v>-5.7074751800907499</v>
      </c>
      <c r="L255">
        <v>3702</v>
      </c>
      <c r="M255">
        <v>2532</v>
      </c>
      <c r="N255">
        <v>46.208530805687197</v>
      </c>
    </row>
    <row r="256" spans="1:14" x14ac:dyDescent="0.25">
      <c r="A256">
        <f t="shared" si="31"/>
        <v>13</v>
      </c>
      <c r="B256">
        <f t="shared" si="32"/>
        <v>723</v>
      </c>
      <c r="C256">
        <v>72</v>
      </c>
      <c r="D256">
        <f>VLOOKUP(C256,'Store Database'!A:C,2,FALSE)</f>
        <v>1</v>
      </c>
      <c r="E256" t="str">
        <f>VLOOKUP(D256,'Store Database'!$B$3:$C$100,2,FALSE)</f>
        <v>East</v>
      </c>
      <c r="F256">
        <v>3</v>
      </c>
      <c r="G256" s="55" t="s">
        <v>296</v>
      </c>
      <c r="H256">
        <v>2969.99</v>
      </c>
      <c r="I256">
        <v>2520.12</v>
      </c>
      <c r="J256">
        <v>449.87</v>
      </c>
      <c r="K256">
        <v>17.851134072980699</v>
      </c>
      <c r="L256">
        <v>59</v>
      </c>
      <c r="M256">
        <v>42</v>
      </c>
      <c r="N256">
        <v>40.476190476190496</v>
      </c>
    </row>
    <row r="257" spans="1:14" x14ac:dyDescent="0.25">
      <c r="A257">
        <f t="shared" si="31"/>
        <v>14</v>
      </c>
      <c r="B257">
        <f t="shared" si="32"/>
        <v>724</v>
      </c>
      <c r="C257">
        <v>72</v>
      </c>
      <c r="D257">
        <f>VLOOKUP(C257,'Store Database'!A:C,2,FALSE)</f>
        <v>1</v>
      </c>
      <c r="E257" t="str">
        <f>VLOOKUP(D257,'Store Database'!$B$3:$C$100,2,FALSE)</f>
        <v>East</v>
      </c>
      <c r="F257">
        <v>4</v>
      </c>
      <c r="G257" s="55" t="s">
        <v>297</v>
      </c>
      <c r="H257">
        <v>123569.66</v>
      </c>
      <c r="I257">
        <v>155637.5</v>
      </c>
      <c r="J257">
        <v>-32067.84</v>
      </c>
      <c r="K257">
        <v>-20.604186009155899</v>
      </c>
      <c r="L257">
        <v>2481</v>
      </c>
      <c r="M257">
        <v>1581</v>
      </c>
      <c r="N257">
        <v>56.925996204933604</v>
      </c>
    </row>
    <row r="258" spans="1:14" x14ac:dyDescent="0.25">
      <c r="A258">
        <f t="shared" si="31"/>
        <v>15</v>
      </c>
      <c r="B258">
        <f t="shared" si="32"/>
        <v>725</v>
      </c>
      <c r="C258">
        <v>72</v>
      </c>
      <c r="D258">
        <f>VLOOKUP(C258,'Store Database'!A:C,2,FALSE)</f>
        <v>1</v>
      </c>
      <c r="E258" t="str">
        <f>VLOOKUP(D258,'Store Database'!$B$3:$C$100,2,FALSE)</f>
        <v>East</v>
      </c>
      <c r="F258">
        <v>5</v>
      </c>
      <c r="G258" s="55" t="s">
        <v>298</v>
      </c>
      <c r="H258">
        <v>167216.14000000001</v>
      </c>
      <c r="I258">
        <v>173114.94</v>
      </c>
      <c r="J258">
        <v>-5898.8</v>
      </c>
      <c r="K258">
        <v>-3.4074470984422298</v>
      </c>
      <c r="L258">
        <v>2719</v>
      </c>
      <c r="M258">
        <v>2243</v>
      </c>
      <c r="N258">
        <v>21.221578243423998</v>
      </c>
    </row>
    <row r="259" spans="1:14" x14ac:dyDescent="0.25">
      <c r="A259">
        <f t="shared" ref="A259:A322" si="33">VALUE(CONCATENATE(D259,F259))</f>
        <v>16</v>
      </c>
      <c r="B259">
        <f t="shared" ref="B259:B322" si="34">VALUE(CONCATENATE(C259,F259))</f>
        <v>726</v>
      </c>
      <c r="C259">
        <v>72</v>
      </c>
      <c r="D259">
        <f>VLOOKUP(C259,'Store Database'!A:C,2,FALSE)</f>
        <v>1</v>
      </c>
      <c r="E259" t="str">
        <f>VLOOKUP(D259,'Store Database'!$B$3:$C$100,2,FALSE)</f>
        <v>East</v>
      </c>
      <c r="F259">
        <v>6</v>
      </c>
      <c r="G259" s="55" t="s">
        <v>299</v>
      </c>
      <c r="H259">
        <v>180145.15</v>
      </c>
      <c r="I259">
        <v>207338.41</v>
      </c>
      <c r="J259">
        <v>-27193.26</v>
      </c>
      <c r="K259">
        <v>-13.115399119728901</v>
      </c>
      <c r="L259">
        <v>2344</v>
      </c>
      <c r="M259">
        <v>2054</v>
      </c>
      <c r="N259">
        <v>14.1187925998053</v>
      </c>
    </row>
    <row r="260" spans="1:14" x14ac:dyDescent="0.25">
      <c r="A260">
        <f t="shared" si="33"/>
        <v>17</v>
      </c>
      <c r="B260">
        <f t="shared" si="34"/>
        <v>727</v>
      </c>
      <c r="C260">
        <v>72</v>
      </c>
      <c r="D260">
        <f>VLOOKUP(C260,'Store Database'!A:C,2,FALSE)</f>
        <v>1</v>
      </c>
      <c r="E260" t="str">
        <f>VLOOKUP(D260,'Store Database'!$B$3:$C$100,2,FALSE)</f>
        <v>East</v>
      </c>
      <c r="F260">
        <v>7</v>
      </c>
      <c r="G260" s="55" t="s">
        <v>300</v>
      </c>
      <c r="H260">
        <v>40003.42</v>
      </c>
      <c r="I260">
        <v>42252.92</v>
      </c>
      <c r="J260">
        <v>-2249.5</v>
      </c>
      <c r="K260">
        <v>-5.3238924079093204</v>
      </c>
      <c r="L260">
        <v>1747</v>
      </c>
      <c r="M260">
        <v>1163</v>
      </c>
      <c r="N260">
        <v>50.214961306964703</v>
      </c>
    </row>
    <row r="261" spans="1:14" x14ac:dyDescent="0.25">
      <c r="A261">
        <f t="shared" si="33"/>
        <v>18</v>
      </c>
      <c r="B261">
        <f t="shared" si="34"/>
        <v>728</v>
      </c>
      <c r="C261">
        <v>72</v>
      </c>
      <c r="D261">
        <f>VLOOKUP(C261,'Store Database'!A:C,2,FALSE)</f>
        <v>1</v>
      </c>
      <c r="E261" t="str">
        <f>VLOOKUP(D261,'Store Database'!$B$3:$C$100,2,FALSE)</f>
        <v>East</v>
      </c>
      <c r="F261">
        <v>8</v>
      </c>
      <c r="G261" s="55" t="s">
        <v>301</v>
      </c>
      <c r="H261">
        <v>82200.47</v>
      </c>
      <c r="I261">
        <v>97202.5</v>
      </c>
      <c r="J261">
        <v>-15002.03</v>
      </c>
      <c r="K261">
        <v>-15.4337902831717</v>
      </c>
      <c r="L261">
        <v>1965</v>
      </c>
      <c r="M261">
        <v>1505</v>
      </c>
      <c r="N261">
        <v>30.564784053156103</v>
      </c>
    </row>
    <row r="262" spans="1:14" x14ac:dyDescent="0.25">
      <c r="A262">
        <f t="shared" si="33"/>
        <v>19</v>
      </c>
      <c r="B262">
        <f t="shared" si="34"/>
        <v>729</v>
      </c>
      <c r="C262">
        <v>72</v>
      </c>
      <c r="D262">
        <f>VLOOKUP(C262,'Store Database'!A:C,2,FALSE)</f>
        <v>1</v>
      </c>
      <c r="E262" t="str">
        <f>VLOOKUP(D262,'Store Database'!$B$3:$C$100,2,FALSE)</f>
        <v>East</v>
      </c>
      <c r="F262">
        <v>9</v>
      </c>
      <c r="G262" s="55" t="s">
        <v>302</v>
      </c>
      <c r="H262">
        <v>29109.65</v>
      </c>
      <c r="I262">
        <v>32178.09</v>
      </c>
      <c r="J262">
        <v>-3068.44</v>
      </c>
      <c r="K262">
        <v>-9.5358052637679904</v>
      </c>
      <c r="L262">
        <v>4724</v>
      </c>
      <c r="M262">
        <v>2168</v>
      </c>
      <c r="N262">
        <v>117.89667896678999</v>
      </c>
    </row>
    <row r="263" spans="1:14" x14ac:dyDescent="0.25">
      <c r="A263">
        <f t="shared" si="33"/>
        <v>21</v>
      </c>
      <c r="B263">
        <f t="shared" si="34"/>
        <v>751</v>
      </c>
      <c r="C263">
        <v>75</v>
      </c>
      <c r="D263">
        <f>VLOOKUP(C263,'Store Database'!A:C,2,FALSE)</f>
        <v>2</v>
      </c>
      <c r="E263" t="str">
        <f>VLOOKUP(D263,'Store Database'!$B$3:$C$100,2,FALSE)</f>
        <v>West</v>
      </c>
      <c r="F263">
        <v>1</v>
      </c>
      <c r="G263" s="55" t="s">
        <v>294</v>
      </c>
      <c r="H263">
        <v>142080.99</v>
      </c>
      <c r="I263">
        <v>88309.97</v>
      </c>
      <c r="J263">
        <v>53771.02</v>
      </c>
      <c r="K263">
        <v>60.888957384992899</v>
      </c>
      <c r="L263">
        <v>2097</v>
      </c>
      <c r="M263">
        <v>1851</v>
      </c>
      <c r="N263">
        <v>13.290113452187999</v>
      </c>
    </row>
    <row r="264" spans="1:14" x14ac:dyDescent="0.25">
      <c r="A264">
        <f t="shared" si="33"/>
        <v>22</v>
      </c>
      <c r="B264">
        <f t="shared" si="34"/>
        <v>752</v>
      </c>
      <c r="C264">
        <v>75</v>
      </c>
      <c r="D264">
        <f>VLOOKUP(C264,'Store Database'!A:C,2,FALSE)</f>
        <v>2</v>
      </c>
      <c r="E264" t="str">
        <f>VLOOKUP(D264,'Store Database'!$B$3:$C$100,2,FALSE)</f>
        <v>West</v>
      </c>
      <c r="F264">
        <v>2</v>
      </c>
      <c r="G264" s="55" t="s">
        <v>295</v>
      </c>
      <c r="H264">
        <v>157888.94</v>
      </c>
      <c r="I264">
        <v>151322.26999999999</v>
      </c>
      <c r="J264">
        <v>6566.67</v>
      </c>
      <c r="K264">
        <v>4.3395264953400403</v>
      </c>
      <c r="L264">
        <v>3303</v>
      </c>
      <c r="M264">
        <v>2981</v>
      </c>
      <c r="N264">
        <v>10.8017443810802</v>
      </c>
    </row>
    <row r="265" spans="1:14" x14ac:dyDescent="0.25">
      <c r="A265">
        <f t="shared" si="33"/>
        <v>23</v>
      </c>
      <c r="B265">
        <f t="shared" si="34"/>
        <v>753</v>
      </c>
      <c r="C265">
        <v>75</v>
      </c>
      <c r="D265">
        <f>VLOOKUP(C265,'Store Database'!A:C,2,FALSE)</f>
        <v>2</v>
      </c>
      <c r="E265" t="str">
        <f>VLOOKUP(D265,'Store Database'!$B$3:$C$100,2,FALSE)</f>
        <v>West</v>
      </c>
      <c r="F265">
        <v>3</v>
      </c>
      <c r="G265" s="55" t="s">
        <v>296</v>
      </c>
      <c r="H265">
        <v>13363.08</v>
      </c>
      <c r="I265">
        <v>9294.42</v>
      </c>
      <c r="J265">
        <v>4068.66</v>
      </c>
      <c r="K265">
        <v>43.775297436526401</v>
      </c>
      <c r="L265">
        <v>378</v>
      </c>
      <c r="M265">
        <v>129</v>
      </c>
      <c r="N265">
        <v>193.02325581395399</v>
      </c>
    </row>
    <row r="266" spans="1:14" x14ac:dyDescent="0.25">
      <c r="A266">
        <f t="shared" si="33"/>
        <v>24</v>
      </c>
      <c r="B266">
        <f t="shared" si="34"/>
        <v>754</v>
      </c>
      <c r="C266">
        <v>75</v>
      </c>
      <c r="D266">
        <f>VLOOKUP(C266,'Store Database'!A:C,2,FALSE)</f>
        <v>2</v>
      </c>
      <c r="E266" t="str">
        <f>VLOOKUP(D266,'Store Database'!$B$3:$C$100,2,FALSE)</f>
        <v>West</v>
      </c>
      <c r="F266">
        <v>4</v>
      </c>
      <c r="G266" s="55" t="s">
        <v>297</v>
      </c>
      <c r="H266">
        <v>162275.56</v>
      </c>
      <c r="I266">
        <v>139728.09</v>
      </c>
      <c r="J266">
        <v>22547.47</v>
      </c>
      <c r="K266">
        <v>16.1366765980985</v>
      </c>
      <c r="L266">
        <v>2077</v>
      </c>
      <c r="M266">
        <v>1479</v>
      </c>
      <c r="N266">
        <v>40.432724814063597</v>
      </c>
    </row>
    <row r="267" spans="1:14" x14ac:dyDescent="0.25">
      <c r="A267">
        <f t="shared" si="33"/>
        <v>25</v>
      </c>
      <c r="B267">
        <f t="shared" si="34"/>
        <v>755</v>
      </c>
      <c r="C267">
        <v>75</v>
      </c>
      <c r="D267">
        <f>VLOOKUP(C267,'Store Database'!A:C,2,FALSE)</f>
        <v>2</v>
      </c>
      <c r="E267" t="str">
        <f>VLOOKUP(D267,'Store Database'!$B$3:$C$100,2,FALSE)</f>
        <v>West</v>
      </c>
      <c r="F267">
        <v>5</v>
      </c>
      <c r="G267" s="55" t="s">
        <v>298</v>
      </c>
      <c r="H267">
        <v>231517.82</v>
      </c>
      <c r="I267">
        <v>152518.64000000001</v>
      </c>
      <c r="J267">
        <v>78999.179999999993</v>
      </c>
      <c r="K267">
        <v>51.796409933893997</v>
      </c>
      <c r="L267">
        <v>1908</v>
      </c>
      <c r="M267">
        <v>2049</v>
      </c>
      <c r="N267">
        <v>-6.881405563689599</v>
      </c>
    </row>
    <row r="268" spans="1:14" x14ac:dyDescent="0.25">
      <c r="A268">
        <f t="shared" si="33"/>
        <v>26</v>
      </c>
      <c r="B268">
        <f t="shared" si="34"/>
        <v>756</v>
      </c>
      <c r="C268">
        <v>75</v>
      </c>
      <c r="D268">
        <f>VLOOKUP(C268,'Store Database'!A:C,2,FALSE)</f>
        <v>2</v>
      </c>
      <c r="E268" t="str">
        <f>VLOOKUP(D268,'Store Database'!$B$3:$C$100,2,FALSE)</f>
        <v>West</v>
      </c>
      <c r="F268">
        <v>6</v>
      </c>
      <c r="G268" s="55" t="s">
        <v>299</v>
      </c>
      <c r="H268">
        <v>181894.13</v>
      </c>
      <c r="I268">
        <v>156358.34</v>
      </c>
      <c r="J268">
        <v>25535.79</v>
      </c>
      <c r="K268">
        <v>16.331581673225699</v>
      </c>
      <c r="L268">
        <v>1995</v>
      </c>
      <c r="M268">
        <v>2123</v>
      </c>
      <c r="N268">
        <v>-6.0292039566650999</v>
      </c>
    </row>
    <row r="269" spans="1:14" x14ac:dyDescent="0.25">
      <c r="A269">
        <f t="shared" si="33"/>
        <v>27</v>
      </c>
      <c r="B269">
        <f t="shared" si="34"/>
        <v>757</v>
      </c>
      <c r="C269">
        <v>75</v>
      </c>
      <c r="D269">
        <f>VLOOKUP(C269,'Store Database'!A:C,2,FALSE)</f>
        <v>2</v>
      </c>
      <c r="E269" t="str">
        <f>VLOOKUP(D269,'Store Database'!$B$3:$C$100,2,FALSE)</f>
        <v>West</v>
      </c>
      <c r="F269">
        <v>7</v>
      </c>
      <c r="G269" s="55" t="s">
        <v>300</v>
      </c>
      <c r="H269">
        <v>80774.12</v>
      </c>
      <c r="I269">
        <v>62608.25</v>
      </c>
      <c r="J269">
        <v>18165.87</v>
      </c>
      <c r="K269">
        <v>29.0151377813627</v>
      </c>
      <c r="L269">
        <v>2477</v>
      </c>
      <c r="M269">
        <v>1783</v>
      </c>
      <c r="N269">
        <v>38.923163208076303</v>
      </c>
    </row>
    <row r="270" spans="1:14" x14ac:dyDescent="0.25">
      <c r="A270">
        <f t="shared" si="33"/>
        <v>28</v>
      </c>
      <c r="B270">
        <f t="shared" si="34"/>
        <v>758</v>
      </c>
      <c r="C270">
        <v>75</v>
      </c>
      <c r="D270">
        <f>VLOOKUP(C270,'Store Database'!A:C,2,FALSE)</f>
        <v>2</v>
      </c>
      <c r="E270" t="str">
        <f>VLOOKUP(D270,'Store Database'!$B$3:$C$100,2,FALSE)</f>
        <v>West</v>
      </c>
      <c r="F270">
        <v>8</v>
      </c>
      <c r="G270" s="55" t="s">
        <v>301</v>
      </c>
      <c r="H270">
        <v>67905.740000000005</v>
      </c>
      <c r="I270">
        <v>45635.15</v>
      </c>
      <c r="J270">
        <v>22270.59</v>
      </c>
      <c r="K270">
        <v>48.801395415595202</v>
      </c>
      <c r="L270">
        <v>1662</v>
      </c>
      <c r="M270">
        <v>1388</v>
      </c>
      <c r="N270">
        <v>19.740634005763699</v>
      </c>
    </row>
    <row r="271" spans="1:14" x14ac:dyDescent="0.25">
      <c r="A271">
        <f t="shared" si="33"/>
        <v>29</v>
      </c>
      <c r="B271">
        <f t="shared" si="34"/>
        <v>759</v>
      </c>
      <c r="C271">
        <v>75</v>
      </c>
      <c r="D271">
        <f>VLOOKUP(C271,'Store Database'!A:C,2,FALSE)</f>
        <v>2</v>
      </c>
      <c r="E271" t="str">
        <f>VLOOKUP(D271,'Store Database'!$B$3:$C$100,2,FALSE)</f>
        <v>West</v>
      </c>
      <c r="F271">
        <v>9</v>
      </c>
      <c r="G271" s="55" t="s">
        <v>302</v>
      </c>
      <c r="H271">
        <v>63086.97</v>
      </c>
      <c r="I271">
        <v>41351.699999999997</v>
      </c>
      <c r="J271">
        <v>21735.27</v>
      </c>
      <c r="K271">
        <v>52.561974477470102</v>
      </c>
      <c r="L271">
        <v>4852</v>
      </c>
      <c r="M271">
        <v>3112</v>
      </c>
      <c r="N271">
        <v>55.912596401028303</v>
      </c>
    </row>
    <row r="272" spans="1:14" x14ac:dyDescent="0.25">
      <c r="A272">
        <f t="shared" si="33"/>
        <v>31</v>
      </c>
      <c r="B272">
        <f t="shared" si="34"/>
        <v>781</v>
      </c>
      <c r="C272">
        <v>78</v>
      </c>
      <c r="D272">
        <f>VLOOKUP(C272,'Store Database'!A:C,2,FALSE)</f>
        <v>3</v>
      </c>
      <c r="E272" t="str">
        <f>VLOOKUP(D272,'Store Database'!$B$3:$C$100,2,FALSE)</f>
        <v>North</v>
      </c>
      <c r="F272">
        <v>1</v>
      </c>
      <c r="G272" s="55" t="s">
        <v>294</v>
      </c>
      <c r="H272">
        <v>115794.09</v>
      </c>
      <c r="I272">
        <v>113343.73</v>
      </c>
      <c r="J272">
        <v>2450.36</v>
      </c>
      <c r="K272">
        <v>2.1618840318736599</v>
      </c>
      <c r="L272">
        <v>2240</v>
      </c>
      <c r="M272">
        <v>2330</v>
      </c>
      <c r="N272">
        <v>-3.8626609442060102</v>
      </c>
    </row>
    <row r="273" spans="1:14" x14ac:dyDescent="0.25">
      <c r="A273">
        <f t="shared" si="33"/>
        <v>32</v>
      </c>
      <c r="B273">
        <f t="shared" si="34"/>
        <v>782</v>
      </c>
      <c r="C273">
        <v>78</v>
      </c>
      <c r="D273">
        <f>VLOOKUP(C273,'Store Database'!A:C,2,FALSE)</f>
        <v>3</v>
      </c>
      <c r="E273" t="str">
        <f>VLOOKUP(D273,'Store Database'!$B$3:$C$100,2,FALSE)</f>
        <v>North</v>
      </c>
      <c r="F273">
        <v>2</v>
      </c>
      <c r="G273" s="55" t="s">
        <v>295</v>
      </c>
      <c r="H273">
        <v>47245.99</v>
      </c>
      <c r="I273">
        <v>52557.03</v>
      </c>
      <c r="J273">
        <v>-5311.04</v>
      </c>
      <c r="K273">
        <v>-10.105289435114599</v>
      </c>
      <c r="L273">
        <v>1991</v>
      </c>
      <c r="M273">
        <v>1633</v>
      </c>
      <c r="N273">
        <v>21.9228413962033</v>
      </c>
    </row>
    <row r="274" spans="1:14" x14ac:dyDescent="0.25">
      <c r="A274">
        <f t="shared" si="33"/>
        <v>33</v>
      </c>
      <c r="B274">
        <f t="shared" si="34"/>
        <v>783</v>
      </c>
      <c r="C274">
        <v>78</v>
      </c>
      <c r="D274">
        <f>VLOOKUP(C274,'Store Database'!A:C,2,FALSE)</f>
        <v>3</v>
      </c>
      <c r="E274" t="str">
        <f>VLOOKUP(D274,'Store Database'!$B$3:$C$100,2,FALSE)</f>
        <v>North</v>
      </c>
      <c r="F274">
        <v>3</v>
      </c>
      <c r="G274" s="55" t="s">
        <v>296</v>
      </c>
      <c r="H274">
        <v>14549.62</v>
      </c>
      <c r="I274">
        <v>16152.2</v>
      </c>
      <c r="J274">
        <v>-1602.58</v>
      </c>
      <c r="K274">
        <v>-9.9217444063347404</v>
      </c>
      <c r="L274">
        <v>668</v>
      </c>
      <c r="M274">
        <v>525</v>
      </c>
      <c r="N274">
        <v>27.238095238095202</v>
      </c>
    </row>
    <row r="275" spans="1:14" x14ac:dyDescent="0.25">
      <c r="A275">
        <f t="shared" si="33"/>
        <v>34</v>
      </c>
      <c r="B275">
        <f t="shared" si="34"/>
        <v>784</v>
      </c>
      <c r="C275">
        <v>78</v>
      </c>
      <c r="D275">
        <f>VLOOKUP(C275,'Store Database'!A:C,2,FALSE)</f>
        <v>3</v>
      </c>
      <c r="E275" t="str">
        <f>VLOOKUP(D275,'Store Database'!$B$3:$C$100,2,FALSE)</f>
        <v>North</v>
      </c>
      <c r="F275">
        <v>4</v>
      </c>
      <c r="G275" s="55" t="s">
        <v>297</v>
      </c>
      <c r="H275">
        <v>117009.94</v>
      </c>
      <c r="I275">
        <v>129349.21</v>
      </c>
      <c r="J275">
        <v>-12339.27</v>
      </c>
      <c r="K275">
        <v>-9.5395016328279105</v>
      </c>
      <c r="L275">
        <v>2140</v>
      </c>
      <c r="M275">
        <v>1828</v>
      </c>
      <c r="N275">
        <v>17.067833698030597</v>
      </c>
    </row>
    <row r="276" spans="1:14" x14ac:dyDescent="0.25">
      <c r="A276">
        <f t="shared" si="33"/>
        <v>35</v>
      </c>
      <c r="B276">
        <f t="shared" si="34"/>
        <v>785</v>
      </c>
      <c r="C276">
        <v>78</v>
      </c>
      <c r="D276">
        <f>VLOOKUP(C276,'Store Database'!A:C,2,FALSE)</f>
        <v>3</v>
      </c>
      <c r="E276" t="str">
        <f>VLOOKUP(D276,'Store Database'!$B$3:$C$100,2,FALSE)</f>
        <v>North</v>
      </c>
      <c r="F276">
        <v>5</v>
      </c>
      <c r="G276" s="55" t="s">
        <v>298</v>
      </c>
      <c r="H276">
        <v>139124.93</v>
      </c>
      <c r="I276">
        <v>134607.43</v>
      </c>
      <c r="J276">
        <v>4517.5</v>
      </c>
      <c r="K276">
        <v>3.35605545696846</v>
      </c>
      <c r="L276">
        <v>2247</v>
      </c>
      <c r="M276">
        <v>2259</v>
      </c>
      <c r="N276">
        <v>-0.53120849933598902</v>
      </c>
    </row>
    <row r="277" spans="1:14" x14ac:dyDescent="0.25">
      <c r="A277">
        <f t="shared" si="33"/>
        <v>36</v>
      </c>
      <c r="B277">
        <f t="shared" si="34"/>
        <v>786</v>
      </c>
      <c r="C277">
        <v>78</v>
      </c>
      <c r="D277">
        <f>VLOOKUP(C277,'Store Database'!A:C,2,FALSE)</f>
        <v>3</v>
      </c>
      <c r="E277" t="str">
        <f>VLOOKUP(D277,'Store Database'!$B$3:$C$100,2,FALSE)</f>
        <v>North</v>
      </c>
      <c r="F277">
        <v>6</v>
      </c>
      <c r="G277" s="55" t="s">
        <v>299</v>
      </c>
      <c r="H277">
        <v>131294.89000000001</v>
      </c>
      <c r="I277">
        <v>137713.48000000001</v>
      </c>
      <c r="J277">
        <v>-6418.59</v>
      </c>
      <c r="K277">
        <v>-4.6608291359712899</v>
      </c>
      <c r="L277">
        <v>1725</v>
      </c>
      <c r="M277">
        <v>2114</v>
      </c>
      <c r="N277">
        <v>-18.401135288552499</v>
      </c>
    </row>
    <row r="278" spans="1:14" x14ac:dyDescent="0.25">
      <c r="A278">
        <f t="shared" si="33"/>
        <v>37</v>
      </c>
      <c r="B278">
        <f t="shared" si="34"/>
        <v>787</v>
      </c>
      <c r="C278">
        <v>78</v>
      </c>
      <c r="D278">
        <f>VLOOKUP(C278,'Store Database'!A:C,2,FALSE)</f>
        <v>3</v>
      </c>
      <c r="E278" t="str">
        <f>VLOOKUP(D278,'Store Database'!$B$3:$C$100,2,FALSE)</f>
        <v>North</v>
      </c>
      <c r="F278">
        <v>7</v>
      </c>
      <c r="G278" s="55" t="s">
        <v>300</v>
      </c>
      <c r="H278">
        <v>58629.01</v>
      </c>
      <c r="I278">
        <v>68851.399999999994</v>
      </c>
      <c r="J278">
        <v>-10222.39</v>
      </c>
      <c r="K278">
        <v>-14.847032885315301</v>
      </c>
      <c r="L278">
        <v>1569</v>
      </c>
      <c r="M278">
        <v>1683</v>
      </c>
      <c r="N278">
        <v>-6.7736185383244205</v>
      </c>
    </row>
    <row r="279" spans="1:14" x14ac:dyDescent="0.25">
      <c r="A279">
        <f t="shared" si="33"/>
        <v>38</v>
      </c>
      <c r="B279">
        <f t="shared" si="34"/>
        <v>788</v>
      </c>
      <c r="C279">
        <v>78</v>
      </c>
      <c r="D279">
        <f>VLOOKUP(C279,'Store Database'!A:C,2,FALSE)</f>
        <v>3</v>
      </c>
      <c r="E279" t="str">
        <f>VLOOKUP(D279,'Store Database'!$B$3:$C$100,2,FALSE)</f>
        <v>North</v>
      </c>
      <c r="F279">
        <v>8</v>
      </c>
      <c r="G279" s="55" t="s">
        <v>301</v>
      </c>
      <c r="H279">
        <v>122285.74</v>
      </c>
      <c r="I279">
        <v>116292.35</v>
      </c>
      <c r="J279">
        <v>5993.39</v>
      </c>
      <c r="K279">
        <v>5.1537267928629902</v>
      </c>
      <c r="L279">
        <v>1761</v>
      </c>
      <c r="M279">
        <v>1634</v>
      </c>
      <c r="N279">
        <v>7.7723378212974303</v>
      </c>
    </row>
    <row r="280" spans="1:14" x14ac:dyDescent="0.25">
      <c r="A280">
        <f t="shared" si="33"/>
        <v>39</v>
      </c>
      <c r="B280">
        <f t="shared" si="34"/>
        <v>789</v>
      </c>
      <c r="C280">
        <v>78</v>
      </c>
      <c r="D280">
        <f>VLOOKUP(C280,'Store Database'!A:C,2,FALSE)</f>
        <v>3</v>
      </c>
      <c r="E280" t="str">
        <f>VLOOKUP(D280,'Store Database'!$B$3:$C$100,2,FALSE)</f>
        <v>North</v>
      </c>
      <c r="F280">
        <v>9</v>
      </c>
      <c r="G280" s="55" t="s">
        <v>302</v>
      </c>
      <c r="H280">
        <v>26966.21</v>
      </c>
      <c r="I280">
        <v>26364.62</v>
      </c>
      <c r="J280">
        <v>601.59</v>
      </c>
      <c r="K280">
        <v>2.2818079684061399</v>
      </c>
      <c r="L280">
        <v>4242</v>
      </c>
      <c r="M280">
        <v>2286</v>
      </c>
      <c r="N280">
        <v>85.564304461942299</v>
      </c>
    </row>
    <row r="281" spans="1:14" x14ac:dyDescent="0.25">
      <c r="A281">
        <f t="shared" si="33"/>
        <v>41</v>
      </c>
      <c r="B281">
        <f t="shared" si="34"/>
        <v>791</v>
      </c>
      <c r="C281">
        <v>79</v>
      </c>
      <c r="D281">
        <f>VLOOKUP(C281,'Store Database'!A:C,2,FALSE)</f>
        <v>4</v>
      </c>
      <c r="E281" t="str">
        <f>VLOOKUP(D281,'Store Database'!$B$3:$C$100,2,FALSE)</f>
        <v>South</v>
      </c>
      <c r="F281">
        <v>1</v>
      </c>
      <c r="G281" s="55" t="s">
        <v>294</v>
      </c>
      <c r="H281">
        <v>67006.53</v>
      </c>
      <c r="I281">
        <v>57144.54</v>
      </c>
      <c r="J281">
        <v>9861.99</v>
      </c>
      <c r="K281">
        <v>17.2579742526583</v>
      </c>
      <c r="L281">
        <v>1912</v>
      </c>
      <c r="M281">
        <v>1684</v>
      </c>
      <c r="N281">
        <v>13.539192399049901</v>
      </c>
    </row>
    <row r="282" spans="1:14" x14ac:dyDescent="0.25">
      <c r="A282">
        <f t="shared" si="33"/>
        <v>42</v>
      </c>
      <c r="B282">
        <f t="shared" si="34"/>
        <v>792</v>
      </c>
      <c r="C282">
        <v>79</v>
      </c>
      <c r="D282">
        <f>VLOOKUP(C282,'Store Database'!A:C,2,FALSE)</f>
        <v>4</v>
      </c>
      <c r="E282" t="str">
        <f>VLOOKUP(D282,'Store Database'!$B$3:$C$100,2,FALSE)</f>
        <v>South</v>
      </c>
      <c r="F282">
        <v>2</v>
      </c>
      <c r="G282" s="55" t="s">
        <v>295</v>
      </c>
      <c r="H282">
        <v>62144.59</v>
      </c>
      <c r="I282">
        <v>69652.86</v>
      </c>
      <c r="J282">
        <v>-7508.27</v>
      </c>
      <c r="K282">
        <v>-10.779557364909399</v>
      </c>
      <c r="L282">
        <v>2341</v>
      </c>
      <c r="M282">
        <v>1875</v>
      </c>
      <c r="N282">
        <v>24.8533333333333</v>
      </c>
    </row>
    <row r="283" spans="1:14" x14ac:dyDescent="0.25">
      <c r="A283">
        <f t="shared" si="33"/>
        <v>43</v>
      </c>
      <c r="B283">
        <f t="shared" si="34"/>
        <v>793</v>
      </c>
      <c r="C283">
        <v>79</v>
      </c>
      <c r="D283">
        <f>VLOOKUP(C283,'Store Database'!A:C,2,FALSE)</f>
        <v>4</v>
      </c>
      <c r="E283" t="str">
        <f>VLOOKUP(D283,'Store Database'!$B$3:$C$100,2,FALSE)</f>
        <v>South</v>
      </c>
      <c r="F283">
        <v>3</v>
      </c>
      <c r="G283" s="55" t="s">
        <v>296</v>
      </c>
      <c r="H283">
        <v>9960.98</v>
      </c>
      <c r="I283">
        <v>15815.75</v>
      </c>
      <c r="J283">
        <v>-5854.77</v>
      </c>
      <c r="K283">
        <v>-37.018604871725998</v>
      </c>
      <c r="L283">
        <v>964</v>
      </c>
      <c r="M283">
        <v>642</v>
      </c>
      <c r="N283">
        <v>50.155763239875398</v>
      </c>
    </row>
    <row r="284" spans="1:14" x14ac:dyDescent="0.25">
      <c r="A284">
        <f t="shared" si="33"/>
        <v>44</v>
      </c>
      <c r="B284">
        <f t="shared" si="34"/>
        <v>794</v>
      </c>
      <c r="C284">
        <v>79</v>
      </c>
      <c r="D284">
        <f>VLOOKUP(C284,'Store Database'!A:C,2,FALSE)</f>
        <v>4</v>
      </c>
      <c r="E284" t="str">
        <f>VLOOKUP(D284,'Store Database'!$B$3:$C$100,2,FALSE)</f>
        <v>South</v>
      </c>
      <c r="F284">
        <v>4</v>
      </c>
      <c r="G284" s="55" t="s">
        <v>297</v>
      </c>
      <c r="H284">
        <v>96508.84</v>
      </c>
      <c r="I284">
        <v>107030.06</v>
      </c>
      <c r="J284">
        <v>-10521.22</v>
      </c>
      <c r="K284">
        <v>-9.8301542575982808</v>
      </c>
      <c r="L284">
        <v>2233</v>
      </c>
      <c r="M284">
        <v>1861</v>
      </c>
      <c r="N284">
        <v>19.9892530897367</v>
      </c>
    </row>
    <row r="285" spans="1:14" x14ac:dyDescent="0.25">
      <c r="A285">
        <f t="shared" si="33"/>
        <v>45</v>
      </c>
      <c r="B285">
        <f t="shared" si="34"/>
        <v>795</v>
      </c>
      <c r="C285">
        <v>79</v>
      </c>
      <c r="D285">
        <f>VLOOKUP(C285,'Store Database'!A:C,2,FALSE)</f>
        <v>4</v>
      </c>
      <c r="E285" t="str">
        <f>VLOOKUP(D285,'Store Database'!$B$3:$C$100,2,FALSE)</f>
        <v>South</v>
      </c>
      <c r="F285">
        <v>5</v>
      </c>
      <c r="G285" s="55" t="s">
        <v>298</v>
      </c>
      <c r="H285">
        <v>91126.98</v>
      </c>
      <c r="I285">
        <v>78077.27</v>
      </c>
      <c r="J285">
        <v>13049.71</v>
      </c>
      <c r="K285">
        <v>16.713840020277299</v>
      </c>
      <c r="L285">
        <v>2038</v>
      </c>
      <c r="M285">
        <v>2073</v>
      </c>
      <c r="N285">
        <v>-1.6883743367100801</v>
      </c>
    </row>
    <row r="286" spans="1:14" x14ac:dyDescent="0.25">
      <c r="A286">
        <f t="shared" si="33"/>
        <v>46</v>
      </c>
      <c r="B286">
        <f t="shared" si="34"/>
        <v>796</v>
      </c>
      <c r="C286">
        <v>79</v>
      </c>
      <c r="D286">
        <f>VLOOKUP(C286,'Store Database'!A:C,2,FALSE)</f>
        <v>4</v>
      </c>
      <c r="E286" t="str">
        <f>VLOOKUP(D286,'Store Database'!$B$3:$C$100,2,FALSE)</f>
        <v>South</v>
      </c>
      <c r="F286">
        <v>6</v>
      </c>
      <c r="G286" s="55" t="s">
        <v>299</v>
      </c>
      <c r="H286">
        <v>90377.23</v>
      </c>
      <c r="I286">
        <v>86678.8</v>
      </c>
      <c r="J286">
        <v>3698.43</v>
      </c>
      <c r="K286">
        <v>4.2668218757066301</v>
      </c>
      <c r="L286">
        <v>1393</v>
      </c>
      <c r="M286">
        <v>1244</v>
      </c>
      <c r="N286">
        <v>11.977491961414801</v>
      </c>
    </row>
    <row r="287" spans="1:14" x14ac:dyDescent="0.25">
      <c r="A287">
        <f t="shared" si="33"/>
        <v>47</v>
      </c>
      <c r="B287">
        <f t="shared" si="34"/>
        <v>797</v>
      </c>
      <c r="C287">
        <v>79</v>
      </c>
      <c r="D287">
        <f>VLOOKUP(C287,'Store Database'!A:C,2,FALSE)</f>
        <v>4</v>
      </c>
      <c r="E287" t="str">
        <f>VLOOKUP(D287,'Store Database'!$B$3:$C$100,2,FALSE)</f>
        <v>South</v>
      </c>
      <c r="F287">
        <v>7</v>
      </c>
      <c r="G287" s="55" t="s">
        <v>300</v>
      </c>
      <c r="H287">
        <v>44903.040000000001</v>
      </c>
      <c r="I287">
        <v>42072.28</v>
      </c>
      <c r="J287">
        <v>2830.76</v>
      </c>
      <c r="K287">
        <v>6.7283256338852997</v>
      </c>
      <c r="L287">
        <v>1925</v>
      </c>
      <c r="M287">
        <v>1389</v>
      </c>
      <c r="N287">
        <v>38.588912886968998</v>
      </c>
    </row>
    <row r="288" spans="1:14" x14ac:dyDescent="0.25">
      <c r="A288">
        <f t="shared" si="33"/>
        <v>48</v>
      </c>
      <c r="B288">
        <f t="shared" si="34"/>
        <v>798</v>
      </c>
      <c r="C288">
        <v>79</v>
      </c>
      <c r="D288">
        <f>VLOOKUP(C288,'Store Database'!A:C,2,FALSE)</f>
        <v>4</v>
      </c>
      <c r="E288" t="str">
        <f>VLOOKUP(D288,'Store Database'!$B$3:$C$100,2,FALSE)</f>
        <v>South</v>
      </c>
      <c r="F288">
        <v>8</v>
      </c>
      <c r="G288" s="55" t="s">
        <v>301</v>
      </c>
      <c r="H288">
        <v>74189.58</v>
      </c>
      <c r="I288">
        <v>74246.009999999995</v>
      </c>
      <c r="J288">
        <v>-56.43</v>
      </c>
      <c r="K288">
        <v>-7.6004084259881394E-2</v>
      </c>
      <c r="L288">
        <v>1707</v>
      </c>
      <c r="M288">
        <v>1505</v>
      </c>
      <c r="N288">
        <v>13.421926910299002</v>
      </c>
    </row>
    <row r="289" spans="1:14" x14ac:dyDescent="0.25">
      <c r="A289">
        <f t="shared" si="33"/>
        <v>49</v>
      </c>
      <c r="B289">
        <f t="shared" si="34"/>
        <v>799</v>
      </c>
      <c r="C289">
        <v>79</v>
      </c>
      <c r="D289">
        <f>VLOOKUP(C289,'Store Database'!A:C,2,FALSE)</f>
        <v>4</v>
      </c>
      <c r="E289" t="str">
        <f>VLOOKUP(D289,'Store Database'!$B$3:$C$100,2,FALSE)</f>
        <v>South</v>
      </c>
      <c r="F289">
        <v>9</v>
      </c>
      <c r="G289" s="55" t="s">
        <v>302</v>
      </c>
      <c r="H289">
        <v>15943.56</v>
      </c>
      <c r="I289">
        <v>18815.490000000002</v>
      </c>
      <c r="J289">
        <v>-2871.93</v>
      </c>
      <c r="K289">
        <v>-15.2636471332928</v>
      </c>
      <c r="L289">
        <v>3610</v>
      </c>
      <c r="M289">
        <v>2282</v>
      </c>
      <c r="N289">
        <v>58.194566170026299</v>
      </c>
    </row>
    <row r="290" spans="1:14" x14ac:dyDescent="0.25">
      <c r="A290">
        <f t="shared" si="33"/>
        <v>11</v>
      </c>
      <c r="B290">
        <f t="shared" si="34"/>
        <v>801</v>
      </c>
      <c r="C290">
        <v>80</v>
      </c>
      <c r="D290">
        <f>VLOOKUP(C290,'Store Database'!A:C,2,FALSE)</f>
        <v>1</v>
      </c>
      <c r="E290" t="str">
        <f>VLOOKUP(D290,'Store Database'!$B$3:$C$100,2,FALSE)</f>
        <v>East</v>
      </c>
      <c r="F290">
        <v>1</v>
      </c>
      <c r="G290" s="55" t="s">
        <v>294</v>
      </c>
      <c r="H290">
        <v>79229.509999999995</v>
      </c>
      <c r="I290">
        <v>70832</v>
      </c>
      <c r="J290">
        <v>8397.51</v>
      </c>
      <c r="K290">
        <v>11.855531398238099</v>
      </c>
      <c r="L290">
        <v>2109</v>
      </c>
      <c r="M290">
        <v>1994</v>
      </c>
      <c r="N290">
        <v>5.76730190571715</v>
      </c>
    </row>
    <row r="291" spans="1:14" x14ac:dyDescent="0.25">
      <c r="A291">
        <f t="shared" si="33"/>
        <v>12</v>
      </c>
      <c r="B291">
        <f t="shared" si="34"/>
        <v>802</v>
      </c>
      <c r="C291">
        <v>80</v>
      </c>
      <c r="D291">
        <f>VLOOKUP(C291,'Store Database'!A:C,2,FALSE)</f>
        <v>1</v>
      </c>
      <c r="E291" t="str">
        <f>VLOOKUP(D291,'Store Database'!$B$3:$C$100,2,FALSE)</f>
        <v>East</v>
      </c>
      <c r="F291">
        <v>2</v>
      </c>
      <c r="G291" s="55" t="s">
        <v>295</v>
      </c>
      <c r="H291">
        <v>51623.56</v>
      </c>
      <c r="I291">
        <v>44173.78</v>
      </c>
      <c r="J291">
        <v>7449.78</v>
      </c>
      <c r="K291">
        <v>16.8647102421391</v>
      </c>
      <c r="L291">
        <v>1822</v>
      </c>
      <c r="M291">
        <v>1638</v>
      </c>
      <c r="N291">
        <v>11.2332112332112</v>
      </c>
    </row>
    <row r="292" spans="1:14" x14ac:dyDescent="0.25">
      <c r="A292">
        <f t="shared" si="33"/>
        <v>13</v>
      </c>
      <c r="B292">
        <f t="shared" si="34"/>
        <v>803</v>
      </c>
      <c r="C292">
        <v>80</v>
      </c>
      <c r="D292">
        <f>VLOOKUP(C292,'Store Database'!A:C,2,FALSE)</f>
        <v>1</v>
      </c>
      <c r="E292" t="str">
        <f>VLOOKUP(D292,'Store Database'!$B$3:$C$100,2,FALSE)</f>
        <v>East</v>
      </c>
      <c r="F292">
        <v>3</v>
      </c>
      <c r="G292" s="55" t="s">
        <v>296</v>
      </c>
      <c r="H292">
        <v>9896.32</v>
      </c>
      <c r="I292">
        <v>13589.04</v>
      </c>
      <c r="J292">
        <v>-3692.72</v>
      </c>
      <c r="K292">
        <v>-27.174252191471901</v>
      </c>
      <c r="L292">
        <v>595</v>
      </c>
      <c r="M292">
        <v>430</v>
      </c>
      <c r="N292">
        <v>38.3720930232558</v>
      </c>
    </row>
    <row r="293" spans="1:14" x14ac:dyDescent="0.25">
      <c r="A293">
        <f t="shared" si="33"/>
        <v>14</v>
      </c>
      <c r="B293">
        <f t="shared" si="34"/>
        <v>804</v>
      </c>
      <c r="C293">
        <v>80</v>
      </c>
      <c r="D293">
        <f>VLOOKUP(C293,'Store Database'!A:C,2,FALSE)</f>
        <v>1</v>
      </c>
      <c r="E293" t="str">
        <f>VLOOKUP(D293,'Store Database'!$B$3:$C$100,2,FALSE)</f>
        <v>East</v>
      </c>
      <c r="F293">
        <v>4</v>
      </c>
      <c r="G293" s="55" t="s">
        <v>297</v>
      </c>
      <c r="H293">
        <v>89843.99</v>
      </c>
      <c r="I293">
        <v>84928.98</v>
      </c>
      <c r="J293">
        <v>4915.01</v>
      </c>
      <c r="K293">
        <v>5.7872000817624301</v>
      </c>
      <c r="L293">
        <v>1705</v>
      </c>
      <c r="M293">
        <v>1414</v>
      </c>
      <c r="N293">
        <v>20.579915134370598</v>
      </c>
    </row>
    <row r="294" spans="1:14" x14ac:dyDescent="0.25">
      <c r="A294">
        <f t="shared" si="33"/>
        <v>15</v>
      </c>
      <c r="B294">
        <f t="shared" si="34"/>
        <v>805</v>
      </c>
      <c r="C294">
        <v>80</v>
      </c>
      <c r="D294">
        <f>VLOOKUP(C294,'Store Database'!A:C,2,FALSE)</f>
        <v>1</v>
      </c>
      <c r="E294" t="str">
        <f>VLOOKUP(D294,'Store Database'!$B$3:$C$100,2,FALSE)</f>
        <v>East</v>
      </c>
      <c r="F294">
        <v>5</v>
      </c>
      <c r="G294" s="55" t="s">
        <v>298</v>
      </c>
      <c r="H294">
        <v>107736.06</v>
      </c>
      <c r="I294">
        <v>100217.36</v>
      </c>
      <c r="J294">
        <v>7518.7</v>
      </c>
      <c r="K294">
        <v>7.5023927990120702</v>
      </c>
      <c r="L294">
        <v>2189</v>
      </c>
      <c r="M294">
        <v>2662</v>
      </c>
      <c r="N294">
        <v>-17.7685950413223</v>
      </c>
    </row>
    <row r="295" spans="1:14" x14ac:dyDescent="0.25">
      <c r="A295">
        <f t="shared" si="33"/>
        <v>16</v>
      </c>
      <c r="B295">
        <f t="shared" si="34"/>
        <v>806</v>
      </c>
      <c r="C295">
        <v>80</v>
      </c>
      <c r="D295">
        <f>VLOOKUP(C295,'Store Database'!A:C,2,FALSE)</f>
        <v>1</v>
      </c>
      <c r="E295" t="str">
        <f>VLOOKUP(D295,'Store Database'!$B$3:$C$100,2,FALSE)</f>
        <v>East</v>
      </c>
      <c r="F295">
        <v>6</v>
      </c>
      <c r="G295" s="55" t="s">
        <v>299</v>
      </c>
      <c r="H295">
        <v>107087.94</v>
      </c>
      <c r="I295">
        <v>86849.26</v>
      </c>
      <c r="J295">
        <v>20238.68</v>
      </c>
      <c r="K295">
        <v>23.303226763244702</v>
      </c>
      <c r="L295">
        <v>1318</v>
      </c>
      <c r="M295">
        <v>1212</v>
      </c>
      <c r="N295">
        <v>8.7458745874587507</v>
      </c>
    </row>
    <row r="296" spans="1:14" x14ac:dyDescent="0.25">
      <c r="A296">
        <f t="shared" si="33"/>
        <v>17</v>
      </c>
      <c r="B296">
        <f t="shared" si="34"/>
        <v>807</v>
      </c>
      <c r="C296">
        <v>80</v>
      </c>
      <c r="D296">
        <f>VLOOKUP(C296,'Store Database'!A:C,2,FALSE)</f>
        <v>1</v>
      </c>
      <c r="E296" t="str">
        <f>VLOOKUP(D296,'Store Database'!$B$3:$C$100,2,FALSE)</f>
        <v>East</v>
      </c>
      <c r="F296">
        <v>7</v>
      </c>
      <c r="G296" s="55" t="s">
        <v>300</v>
      </c>
      <c r="H296">
        <v>47864.06</v>
      </c>
      <c r="I296">
        <v>40296.589999999997</v>
      </c>
      <c r="J296">
        <v>7567.47</v>
      </c>
      <c r="K296">
        <v>18.7794302197779</v>
      </c>
      <c r="L296">
        <v>1587</v>
      </c>
      <c r="M296">
        <v>1134</v>
      </c>
      <c r="N296">
        <v>39.947089947089999</v>
      </c>
    </row>
    <row r="297" spans="1:14" x14ac:dyDescent="0.25">
      <c r="A297">
        <f t="shared" si="33"/>
        <v>18</v>
      </c>
      <c r="B297">
        <f t="shared" si="34"/>
        <v>808</v>
      </c>
      <c r="C297">
        <v>80</v>
      </c>
      <c r="D297">
        <f>VLOOKUP(C297,'Store Database'!A:C,2,FALSE)</f>
        <v>1</v>
      </c>
      <c r="E297" t="str">
        <f>VLOOKUP(D297,'Store Database'!$B$3:$C$100,2,FALSE)</f>
        <v>East</v>
      </c>
      <c r="F297">
        <v>8</v>
      </c>
      <c r="G297" s="55" t="s">
        <v>301</v>
      </c>
      <c r="H297">
        <v>71006.62</v>
      </c>
      <c r="I297">
        <v>59930.04</v>
      </c>
      <c r="J297">
        <v>11076.58</v>
      </c>
      <c r="K297">
        <v>18.482517281817302</v>
      </c>
      <c r="L297">
        <v>1600</v>
      </c>
      <c r="M297">
        <v>1111</v>
      </c>
      <c r="N297">
        <v>44.014401440143999</v>
      </c>
    </row>
    <row r="298" spans="1:14" x14ac:dyDescent="0.25">
      <c r="A298">
        <f t="shared" si="33"/>
        <v>19</v>
      </c>
      <c r="B298">
        <f t="shared" si="34"/>
        <v>809</v>
      </c>
      <c r="C298">
        <v>80</v>
      </c>
      <c r="D298">
        <f>VLOOKUP(C298,'Store Database'!A:C,2,FALSE)</f>
        <v>1</v>
      </c>
      <c r="E298" t="str">
        <f>VLOOKUP(D298,'Store Database'!$B$3:$C$100,2,FALSE)</f>
        <v>East</v>
      </c>
      <c r="F298">
        <v>9</v>
      </c>
      <c r="G298" s="55" t="s">
        <v>302</v>
      </c>
      <c r="H298">
        <v>21333.84</v>
      </c>
      <c r="I298">
        <v>19278.64</v>
      </c>
      <c r="J298">
        <v>2055.1999999999998</v>
      </c>
      <c r="K298">
        <v>10.660503023034799</v>
      </c>
      <c r="L298">
        <v>3321</v>
      </c>
      <c r="M298">
        <v>2263</v>
      </c>
      <c r="N298">
        <v>46.752098983650001</v>
      </c>
    </row>
    <row r="299" spans="1:14" x14ac:dyDescent="0.25">
      <c r="A299">
        <f t="shared" si="33"/>
        <v>21</v>
      </c>
      <c r="B299">
        <f t="shared" si="34"/>
        <v>831</v>
      </c>
      <c r="C299">
        <v>83</v>
      </c>
      <c r="D299">
        <f>VLOOKUP(C299,'Store Database'!A:C,2,FALSE)</f>
        <v>2</v>
      </c>
      <c r="E299" t="str">
        <f>VLOOKUP(D299,'Store Database'!$B$3:$C$100,2,FALSE)</f>
        <v>West</v>
      </c>
      <c r="F299">
        <v>1</v>
      </c>
      <c r="G299" s="55" t="s">
        <v>294</v>
      </c>
      <c r="H299">
        <v>168858.09</v>
      </c>
      <c r="I299">
        <v>132805.4</v>
      </c>
      <c r="J299">
        <v>36052.69</v>
      </c>
      <c r="K299">
        <v>27.1470060705363</v>
      </c>
      <c r="L299">
        <v>2838</v>
      </c>
      <c r="M299">
        <v>2926</v>
      </c>
      <c r="N299">
        <v>-3.0075187969924801</v>
      </c>
    </row>
    <row r="300" spans="1:14" x14ac:dyDescent="0.25">
      <c r="A300">
        <f t="shared" si="33"/>
        <v>22</v>
      </c>
      <c r="B300">
        <f t="shared" si="34"/>
        <v>832</v>
      </c>
      <c r="C300">
        <v>83</v>
      </c>
      <c r="D300">
        <f>VLOOKUP(C300,'Store Database'!A:C,2,FALSE)</f>
        <v>2</v>
      </c>
      <c r="E300" t="str">
        <f>VLOOKUP(D300,'Store Database'!$B$3:$C$100,2,FALSE)</f>
        <v>West</v>
      </c>
      <c r="F300">
        <v>2</v>
      </c>
      <c r="G300" s="55" t="s">
        <v>295</v>
      </c>
      <c r="H300">
        <v>209128.91</v>
      </c>
      <c r="I300">
        <v>221998.59</v>
      </c>
      <c r="J300">
        <v>-12869.68</v>
      </c>
      <c r="K300">
        <v>-5.7971899731435199</v>
      </c>
      <c r="L300">
        <v>5480</v>
      </c>
      <c r="M300">
        <v>4404</v>
      </c>
      <c r="N300">
        <v>24.4323342415985</v>
      </c>
    </row>
    <row r="301" spans="1:14" x14ac:dyDescent="0.25">
      <c r="A301">
        <f t="shared" si="33"/>
        <v>23</v>
      </c>
      <c r="B301">
        <f t="shared" si="34"/>
        <v>833</v>
      </c>
      <c r="C301">
        <v>83</v>
      </c>
      <c r="D301">
        <f>VLOOKUP(C301,'Store Database'!A:C,2,FALSE)</f>
        <v>2</v>
      </c>
      <c r="E301" t="str">
        <f>VLOOKUP(D301,'Store Database'!$B$3:$C$100,2,FALSE)</f>
        <v>West</v>
      </c>
      <c r="F301">
        <v>3</v>
      </c>
      <c r="G301" s="55" t="s">
        <v>296</v>
      </c>
      <c r="H301">
        <v>11304.91</v>
      </c>
      <c r="I301">
        <v>11394.22</v>
      </c>
      <c r="J301">
        <v>-89.31</v>
      </c>
      <c r="K301">
        <v>-0.78381846234318797</v>
      </c>
      <c r="L301">
        <v>470</v>
      </c>
      <c r="M301">
        <v>347</v>
      </c>
      <c r="N301">
        <v>35.446685878962498</v>
      </c>
    </row>
    <row r="302" spans="1:14" x14ac:dyDescent="0.25">
      <c r="A302">
        <f t="shared" si="33"/>
        <v>24</v>
      </c>
      <c r="B302">
        <f t="shared" si="34"/>
        <v>834</v>
      </c>
      <c r="C302">
        <v>83</v>
      </c>
      <c r="D302">
        <f>VLOOKUP(C302,'Store Database'!A:C,2,FALSE)</f>
        <v>2</v>
      </c>
      <c r="E302" t="str">
        <f>VLOOKUP(D302,'Store Database'!$B$3:$C$100,2,FALSE)</f>
        <v>West</v>
      </c>
      <c r="F302">
        <v>4</v>
      </c>
      <c r="G302" s="55" t="s">
        <v>297</v>
      </c>
      <c r="H302">
        <v>170182.67</v>
      </c>
      <c r="I302">
        <v>189306.9</v>
      </c>
      <c r="J302">
        <v>-19124.23</v>
      </c>
      <c r="K302">
        <v>-10.102236104441999</v>
      </c>
      <c r="L302">
        <v>2860</v>
      </c>
      <c r="M302">
        <v>2167</v>
      </c>
      <c r="N302">
        <v>31.979695431472098</v>
      </c>
    </row>
    <row r="303" spans="1:14" x14ac:dyDescent="0.25">
      <c r="A303">
        <f t="shared" si="33"/>
        <v>25</v>
      </c>
      <c r="B303">
        <f t="shared" si="34"/>
        <v>835</v>
      </c>
      <c r="C303">
        <v>83</v>
      </c>
      <c r="D303">
        <f>VLOOKUP(C303,'Store Database'!A:C,2,FALSE)</f>
        <v>2</v>
      </c>
      <c r="E303" t="str">
        <f>VLOOKUP(D303,'Store Database'!$B$3:$C$100,2,FALSE)</f>
        <v>West</v>
      </c>
      <c r="F303">
        <v>5</v>
      </c>
      <c r="G303" s="55" t="s">
        <v>298</v>
      </c>
      <c r="H303">
        <v>249331.65</v>
      </c>
      <c r="I303">
        <v>224661.96</v>
      </c>
      <c r="J303">
        <v>24669.69</v>
      </c>
      <c r="K303">
        <v>10.980804226937201</v>
      </c>
      <c r="L303">
        <v>3487</v>
      </c>
      <c r="M303">
        <v>3142</v>
      </c>
      <c r="N303">
        <v>10.980267345639701</v>
      </c>
    </row>
    <row r="304" spans="1:14" x14ac:dyDescent="0.25">
      <c r="A304">
        <f t="shared" si="33"/>
        <v>26</v>
      </c>
      <c r="B304">
        <f t="shared" si="34"/>
        <v>836</v>
      </c>
      <c r="C304">
        <v>83</v>
      </c>
      <c r="D304">
        <f>VLOOKUP(C304,'Store Database'!A:C,2,FALSE)</f>
        <v>2</v>
      </c>
      <c r="E304" t="str">
        <f>VLOOKUP(D304,'Store Database'!$B$3:$C$100,2,FALSE)</f>
        <v>West</v>
      </c>
      <c r="F304">
        <v>6</v>
      </c>
      <c r="G304" s="55" t="s">
        <v>299</v>
      </c>
      <c r="H304">
        <v>135820.20000000001</v>
      </c>
      <c r="I304">
        <v>151915.65</v>
      </c>
      <c r="J304">
        <v>-16095.45</v>
      </c>
      <c r="K304">
        <v>-10.594991365274099</v>
      </c>
      <c r="L304">
        <v>2239</v>
      </c>
      <c r="M304">
        <v>2346</v>
      </c>
      <c r="N304">
        <v>-4.5609548167092901</v>
      </c>
    </row>
    <row r="305" spans="1:14" x14ac:dyDescent="0.25">
      <c r="A305">
        <f t="shared" si="33"/>
        <v>27</v>
      </c>
      <c r="B305">
        <f t="shared" si="34"/>
        <v>837</v>
      </c>
      <c r="C305">
        <v>83</v>
      </c>
      <c r="D305">
        <f>VLOOKUP(C305,'Store Database'!A:C,2,FALSE)</f>
        <v>2</v>
      </c>
      <c r="E305" t="str">
        <f>VLOOKUP(D305,'Store Database'!$B$3:$C$100,2,FALSE)</f>
        <v>West</v>
      </c>
      <c r="F305">
        <v>7</v>
      </c>
      <c r="G305" s="55" t="s">
        <v>300</v>
      </c>
      <c r="H305">
        <v>78472.800000000003</v>
      </c>
      <c r="I305">
        <v>93357.5</v>
      </c>
      <c r="J305">
        <v>-14884.7</v>
      </c>
      <c r="K305">
        <v>-15.943764560961901</v>
      </c>
      <c r="L305">
        <v>4166</v>
      </c>
      <c r="M305">
        <v>2746</v>
      </c>
      <c r="N305">
        <v>51.711580480699205</v>
      </c>
    </row>
    <row r="306" spans="1:14" x14ac:dyDescent="0.25">
      <c r="A306">
        <f t="shared" si="33"/>
        <v>28</v>
      </c>
      <c r="B306">
        <f t="shared" si="34"/>
        <v>838</v>
      </c>
      <c r="C306">
        <v>83</v>
      </c>
      <c r="D306">
        <f>VLOOKUP(C306,'Store Database'!A:C,2,FALSE)</f>
        <v>2</v>
      </c>
      <c r="E306" t="str">
        <f>VLOOKUP(D306,'Store Database'!$B$3:$C$100,2,FALSE)</f>
        <v>West</v>
      </c>
      <c r="F306">
        <v>8</v>
      </c>
      <c r="G306" s="55" t="s">
        <v>301</v>
      </c>
      <c r="H306">
        <v>67629.490000000005</v>
      </c>
      <c r="I306">
        <v>76315.149999999994</v>
      </c>
      <c r="J306">
        <v>-8685.66</v>
      </c>
      <c r="K306">
        <v>-11.3813050226593</v>
      </c>
      <c r="L306">
        <v>1508</v>
      </c>
      <c r="M306">
        <v>1656</v>
      </c>
      <c r="N306">
        <v>-8.9371980676328491</v>
      </c>
    </row>
    <row r="307" spans="1:14" x14ac:dyDescent="0.25">
      <c r="A307">
        <f t="shared" si="33"/>
        <v>29</v>
      </c>
      <c r="B307">
        <f t="shared" si="34"/>
        <v>839</v>
      </c>
      <c r="C307">
        <v>83</v>
      </c>
      <c r="D307">
        <f>VLOOKUP(C307,'Store Database'!A:C,2,FALSE)</f>
        <v>2</v>
      </c>
      <c r="E307" t="str">
        <f>VLOOKUP(D307,'Store Database'!$B$3:$C$100,2,FALSE)</f>
        <v>West</v>
      </c>
      <c r="F307">
        <v>9</v>
      </c>
      <c r="G307" s="55" t="s">
        <v>302</v>
      </c>
      <c r="H307">
        <v>38305.230000000003</v>
      </c>
      <c r="I307">
        <v>46076.57</v>
      </c>
      <c r="J307">
        <v>-7771.34</v>
      </c>
      <c r="K307">
        <v>-16.866142596985799</v>
      </c>
      <c r="L307">
        <v>5288</v>
      </c>
      <c r="M307">
        <v>2646</v>
      </c>
      <c r="N307">
        <v>99.848828420256993</v>
      </c>
    </row>
    <row r="308" spans="1:14" x14ac:dyDescent="0.25">
      <c r="A308">
        <f t="shared" si="33"/>
        <v>31</v>
      </c>
      <c r="B308">
        <f t="shared" si="34"/>
        <v>861</v>
      </c>
      <c r="C308">
        <v>86</v>
      </c>
      <c r="D308">
        <f>VLOOKUP(C308,'Store Database'!A:C,2,FALSE)</f>
        <v>3</v>
      </c>
      <c r="E308" t="str">
        <f>VLOOKUP(D308,'Store Database'!$B$3:$C$100,2,FALSE)</f>
        <v>North</v>
      </c>
      <c r="F308">
        <v>1</v>
      </c>
      <c r="G308" s="55" t="s">
        <v>294</v>
      </c>
      <c r="H308">
        <v>164458.20000000001</v>
      </c>
      <c r="I308">
        <v>180701.48</v>
      </c>
      <c r="J308">
        <v>-16243.28</v>
      </c>
      <c r="K308">
        <v>-8.9890132609871305</v>
      </c>
      <c r="L308">
        <v>6664</v>
      </c>
      <c r="M308">
        <v>5381</v>
      </c>
      <c r="N308">
        <v>23.843151830514799</v>
      </c>
    </row>
    <row r="309" spans="1:14" x14ac:dyDescent="0.25">
      <c r="A309">
        <f t="shared" si="33"/>
        <v>32</v>
      </c>
      <c r="B309">
        <f t="shared" si="34"/>
        <v>862</v>
      </c>
      <c r="C309">
        <v>86</v>
      </c>
      <c r="D309">
        <f>VLOOKUP(C309,'Store Database'!A:C,2,FALSE)</f>
        <v>3</v>
      </c>
      <c r="E309" t="str">
        <f>VLOOKUP(D309,'Store Database'!$B$3:$C$100,2,FALSE)</f>
        <v>North</v>
      </c>
      <c r="F309">
        <v>2</v>
      </c>
      <c r="G309" s="55" t="s">
        <v>295</v>
      </c>
      <c r="H309">
        <v>111207.26</v>
      </c>
      <c r="I309">
        <v>103362.06</v>
      </c>
      <c r="J309">
        <v>7845.2</v>
      </c>
      <c r="K309">
        <v>7.5900190069741296</v>
      </c>
      <c r="L309">
        <v>4657</v>
      </c>
      <c r="M309">
        <v>2804</v>
      </c>
      <c r="N309">
        <v>66.084165477888703</v>
      </c>
    </row>
    <row r="310" spans="1:14" x14ac:dyDescent="0.25">
      <c r="A310">
        <f t="shared" si="33"/>
        <v>33</v>
      </c>
      <c r="B310">
        <f t="shared" si="34"/>
        <v>863</v>
      </c>
      <c r="C310">
        <v>86</v>
      </c>
      <c r="D310">
        <f>VLOOKUP(C310,'Store Database'!A:C,2,FALSE)</f>
        <v>3</v>
      </c>
      <c r="E310" t="str">
        <f>VLOOKUP(D310,'Store Database'!$B$3:$C$100,2,FALSE)</f>
        <v>North</v>
      </c>
      <c r="F310">
        <v>3</v>
      </c>
      <c r="G310" s="55" t="s">
        <v>296</v>
      </c>
      <c r="H310">
        <v>12797.71</v>
      </c>
      <c r="I310">
        <v>14128.21</v>
      </c>
      <c r="J310">
        <v>-1330.5</v>
      </c>
      <c r="K310">
        <v>-9.4173288760571907</v>
      </c>
      <c r="L310">
        <v>1094</v>
      </c>
      <c r="M310">
        <v>858</v>
      </c>
      <c r="N310">
        <v>27.505827505827501</v>
      </c>
    </row>
    <row r="311" spans="1:14" x14ac:dyDescent="0.25">
      <c r="A311">
        <f t="shared" si="33"/>
        <v>34</v>
      </c>
      <c r="B311">
        <f t="shared" si="34"/>
        <v>864</v>
      </c>
      <c r="C311">
        <v>86</v>
      </c>
      <c r="D311">
        <f>VLOOKUP(C311,'Store Database'!A:C,2,FALSE)</f>
        <v>3</v>
      </c>
      <c r="E311" t="str">
        <f>VLOOKUP(D311,'Store Database'!$B$3:$C$100,2,FALSE)</f>
        <v>North</v>
      </c>
      <c r="F311">
        <v>4</v>
      </c>
      <c r="G311" s="55" t="s">
        <v>297</v>
      </c>
      <c r="H311">
        <v>102544.78</v>
      </c>
      <c r="I311">
        <v>101022.47</v>
      </c>
      <c r="J311">
        <v>1522.31</v>
      </c>
      <c r="K311">
        <v>1.5069023752834401</v>
      </c>
      <c r="L311">
        <v>2821</v>
      </c>
      <c r="M311">
        <v>1788</v>
      </c>
      <c r="N311">
        <v>57.774049217002201</v>
      </c>
    </row>
    <row r="312" spans="1:14" x14ac:dyDescent="0.25">
      <c r="A312">
        <f t="shared" si="33"/>
        <v>35</v>
      </c>
      <c r="B312">
        <f t="shared" si="34"/>
        <v>865</v>
      </c>
      <c r="C312">
        <v>86</v>
      </c>
      <c r="D312">
        <f>VLOOKUP(C312,'Store Database'!A:C,2,FALSE)</f>
        <v>3</v>
      </c>
      <c r="E312" t="str">
        <f>VLOOKUP(D312,'Store Database'!$B$3:$C$100,2,FALSE)</f>
        <v>North</v>
      </c>
      <c r="F312">
        <v>5</v>
      </c>
      <c r="G312" s="55" t="s">
        <v>298</v>
      </c>
      <c r="H312">
        <v>160969.32</v>
      </c>
      <c r="I312">
        <v>155621.76000000001</v>
      </c>
      <c r="J312">
        <v>5347.56</v>
      </c>
      <c r="K312">
        <v>3.4362546728683698</v>
      </c>
      <c r="L312">
        <v>3320</v>
      </c>
      <c r="M312">
        <v>2769</v>
      </c>
      <c r="N312">
        <v>19.898880462260703</v>
      </c>
    </row>
    <row r="313" spans="1:14" x14ac:dyDescent="0.25">
      <c r="A313">
        <f t="shared" si="33"/>
        <v>36</v>
      </c>
      <c r="B313">
        <f t="shared" si="34"/>
        <v>866</v>
      </c>
      <c r="C313">
        <v>86</v>
      </c>
      <c r="D313">
        <f>VLOOKUP(C313,'Store Database'!A:C,2,FALSE)</f>
        <v>3</v>
      </c>
      <c r="E313" t="str">
        <f>VLOOKUP(D313,'Store Database'!$B$3:$C$100,2,FALSE)</f>
        <v>North</v>
      </c>
      <c r="F313">
        <v>6</v>
      </c>
      <c r="G313" s="55" t="s">
        <v>299</v>
      </c>
      <c r="H313">
        <v>111377.44</v>
      </c>
      <c r="I313">
        <v>103855.18</v>
      </c>
      <c r="J313">
        <v>7522.26</v>
      </c>
      <c r="K313">
        <v>7.2430282244949202</v>
      </c>
      <c r="L313">
        <v>2175</v>
      </c>
      <c r="M313">
        <v>1506</v>
      </c>
      <c r="N313">
        <v>44.422310756972102</v>
      </c>
    </row>
    <row r="314" spans="1:14" x14ac:dyDescent="0.25">
      <c r="A314">
        <f t="shared" si="33"/>
        <v>37</v>
      </c>
      <c r="B314">
        <f t="shared" si="34"/>
        <v>867</v>
      </c>
      <c r="C314">
        <v>86</v>
      </c>
      <c r="D314">
        <f>VLOOKUP(C314,'Store Database'!A:C,2,FALSE)</f>
        <v>3</v>
      </c>
      <c r="E314" t="str">
        <f>VLOOKUP(D314,'Store Database'!$B$3:$C$100,2,FALSE)</f>
        <v>North</v>
      </c>
      <c r="F314">
        <v>7</v>
      </c>
      <c r="G314" s="55" t="s">
        <v>300</v>
      </c>
      <c r="H314">
        <v>68914.8</v>
      </c>
      <c r="I314">
        <v>61432.31</v>
      </c>
      <c r="J314">
        <v>7482.49</v>
      </c>
      <c r="K314">
        <v>12.1800563905215</v>
      </c>
      <c r="L314">
        <v>3898</v>
      </c>
      <c r="M314">
        <v>2306</v>
      </c>
      <c r="N314">
        <v>69.037294015611494</v>
      </c>
    </row>
    <row r="315" spans="1:14" x14ac:dyDescent="0.25">
      <c r="A315">
        <f t="shared" si="33"/>
        <v>38</v>
      </c>
      <c r="B315">
        <f t="shared" si="34"/>
        <v>868</v>
      </c>
      <c r="C315">
        <v>86</v>
      </c>
      <c r="D315">
        <f>VLOOKUP(C315,'Store Database'!A:C,2,FALSE)</f>
        <v>3</v>
      </c>
      <c r="E315" t="str">
        <f>VLOOKUP(D315,'Store Database'!$B$3:$C$100,2,FALSE)</f>
        <v>North</v>
      </c>
      <c r="F315">
        <v>8</v>
      </c>
      <c r="G315" s="55" t="s">
        <v>301</v>
      </c>
      <c r="H315">
        <v>57243.03</v>
      </c>
      <c r="I315">
        <v>53105.61</v>
      </c>
      <c r="J315">
        <v>4137.42</v>
      </c>
      <c r="K315">
        <v>7.7909283030549901</v>
      </c>
      <c r="L315">
        <v>2219</v>
      </c>
      <c r="M315">
        <v>1403</v>
      </c>
      <c r="N315">
        <v>58.161083392729893</v>
      </c>
    </row>
    <row r="316" spans="1:14" x14ac:dyDescent="0.25">
      <c r="A316">
        <f t="shared" si="33"/>
        <v>39</v>
      </c>
      <c r="B316">
        <f t="shared" si="34"/>
        <v>869</v>
      </c>
      <c r="C316">
        <v>86</v>
      </c>
      <c r="D316">
        <f>VLOOKUP(C316,'Store Database'!A:C,2,FALSE)</f>
        <v>3</v>
      </c>
      <c r="E316" t="str">
        <f>VLOOKUP(D316,'Store Database'!$B$3:$C$100,2,FALSE)</f>
        <v>North</v>
      </c>
      <c r="F316">
        <v>9</v>
      </c>
      <c r="G316" s="55" t="s">
        <v>302</v>
      </c>
      <c r="H316">
        <v>22890.68</v>
      </c>
      <c r="I316">
        <v>22011.87</v>
      </c>
      <c r="J316">
        <v>878.81</v>
      </c>
      <c r="K316">
        <v>3.9924368079586201</v>
      </c>
      <c r="L316">
        <v>4379</v>
      </c>
      <c r="M316">
        <v>2403</v>
      </c>
      <c r="N316">
        <v>82.230545151893494</v>
      </c>
    </row>
    <row r="317" spans="1:14" x14ac:dyDescent="0.25">
      <c r="A317">
        <f t="shared" si="33"/>
        <v>41</v>
      </c>
      <c r="B317">
        <f t="shared" si="34"/>
        <v>891</v>
      </c>
      <c r="C317">
        <v>89</v>
      </c>
      <c r="D317">
        <f>VLOOKUP(C317,'Store Database'!A:C,2,FALSE)</f>
        <v>4</v>
      </c>
      <c r="E317" t="str">
        <f>VLOOKUP(D317,'Store Database'!$B$3:$C$100,2,FALSE)</f>
        <v>South</v>
      </c>
      <c r="F317">
        <v>1</v>
      </c>
      <c r="G317" s="55" t="s">
        <v>294</v>
      </c>
      <c r="H317">
        <v>197666.8</v>
      </c>
      <c r="I317">
        <v>213283.96</v>
      </c>
      <c r="J317">
        <v>-15617.16</v>
      </c>
      <c r="K317">
        <v>-7.3222383905475104</v>
      </c>
      <c r="L317">
        <v>3531</v>
      </c>
      <c r="M317">
        <v>3376</v>
      </c>
      <c r="N317">
        <v>4.5912322274881499</v>
      </c>
    </row>
    <row r="318" spans="1:14" x14ac:dyDescent="0.25">
      <c r="A318">
        <f t="shared" si="33"/>
        <v>42</v>
      </c>
      <c r="B318">
        <f t="shared" si="34"/>
        <v>892</v>
      </c>
      <c r="C318">
        <v>89</v>
      </c>
      <c r="D318">
        <f>VLOOKUP(C318,'Store Database'!A:C,2,FALSE)</f>
        <v>4</v>
      </c>
      <c r="E318" t="str">
        <f>VLOOKUP(D318,'Store Database'!$B$3:$C$100,2,FALSE)</f>
        <v>South</v>
      </c>
      <c r="F318">
        <v>2</v>
      </c>
      <c r="G318" s="55" t="s">
        <v>295</v>
      </c>
      <c r="H318">
        <v>93370.79</v>
      </c>
      <c r="I318">
        <v>116154.39</v>
      </c>
      <c r="J318">
        <v>-22783.599999999999</v>
      </c>
      <c r="K318">
        <v>-19.614928028118399</v>
      </c>
      <c r="L318">
        <v>2533</v>
      </c>
      <c r="M318">
        <v>2101</v>
      </c>
      <c r="N318">
        <v>20.561637315563999</v>
      </c>
    </row>
    <row r="319" spans="1:14" x14ac:dyDescent="0.25">
      <c r="A319">
        <f t="shared" si="33"/>
        <v>43</v>
      </c>
      <c r="B319">
        <f t="shared" si="34"/>
        <v>893</v>
      </c>
      <c r="C319">
        <v>89</v>
      </c>
      <c r="D319">
        <f>VLOOKUP(C319,'Store Database'!A:C,2,FALSE)</f>
        <v>4</v>
      </c>
      <c r="E319" t="str">
        <f>VLOOKUP(D319,'Store Database'!$B$3:$C$100,2,FALSE)</f>
        <v>South</v>
      </c>
      <c r="F319">
        <v>3</v>
      </c>
      <c r="G319" s="55" t="s">
        <v>296</v>
      </c>
      <c r="H319">
        <v>23005.11</v>
      </c>
      <c r="I319">
        <v>28780.23</v>
      </c>
      <c r="J319">
        <v>-5775.12</v>
      </c>
      <c r="K319">
        <v>-20.066274661460302</v>
      </c>
      <c r="L319">
        <v>808</v>
      </c>
      <c r="M319">
        <v>394</v>
      </c>
      <c r="N319">
        <v>105.07614213197999</v>
      </c>
    </row>
    <row r="320" spans="1:14" x14ac:dyDescent="0.25">
      <c r="A320">
        <f t="shared" si="33"/>
        <v>44</v>
      </c>
      <c r="B320">
        <f t="shared" si="34"/>
        <v>894</v>
      </c>
      <c r="C320">
        <v>89</v>
      </c>
      <c r="D320">
        <f>VLOOKUP(C320,'Store Database'!A:C,2,FALSE)</f>
        <v>4</v>
      </c>
      <c r="E320" t="str">
        <f>VLOOKUP(D320,'Store Database'!$B$3:$C$100,2,FALSE)</f>
        <v>South</v>
      </c>
      <c r="F320">
        <v>4</v>
      </c>
      <c r="G320" s="55" t="s">
        <v>297</v>
      </c>
      <c r="H320">
        <v>220405.61</v>
      </c>
      <c r="I320">
        <v>289409.65000000002</v>
      </c>
      <c r="J320">
        <v>-69004.039999999994</v>
      </c>
      <c r="K320">
        <v>-23.843033568507501</v>
      </c>
      <c r="L320">
        <v>3411</v>
      </c>
      <c r="M320">
        <v>2375</v>
      </c>
      <c r="N320">
        <v>43.621052631578998</v>
      </c>
    </row>
    <row r="321" spans="1:14" x14ac:dyDescent="0.25">
      <c r="A321">
        <f t="shared" si="33"/>
        <v>45</v>
      </c>
      <c r="B321">
        <f t="shared" si="34"/>
        <v>895</v>
      </c>
      <c r="C321">
        <v>89</v>
      </c>
      <c r="D321">
        <f>VLOOKUP(C321,'Store Database'!A:C,2,FALSE)</f>
        <v>4</v>
      </c>
      <c r="E321" t="str">
        <f>VLOOKUP(D321,'Store Database'!$B$3:$C$100,2,FALSE)</f>
        <v>South</v>
      </c>
      <c r="F321">
        <v>5</v>
      </c>
      <c r="G321" s="55" t="s">
        <v>298</v>
      </c>
      <c r="H321">
        <v>238585.66</v>
      </c>
      <c r="I321">
        <v>254308.5</v>
      </c>
      <c r="J321">
        <v>-15722.84</v>
      </c>
      <c r="K321">
        <v>-6.1825853245172704</v>
      </c>
      <c r="L321">
        <v>3047</v>
      </c>
      <c r="M321">
        <v>2276</v>
      </c>
      <c r="N321">
        <v>33.875219683655502</v>
      </c>
    </row>
    <row r="322" spans="1:14" x14ac:dyDescent="0.25">
      <c r="A322">
        <f t="shared" si="33"/>
        <v>46</v>
      </c>
      <c r="B322">
        <f t="shared" si="34"/>
        <v>896</v>
      </c>
      <c r="C322">
        <v>89</v>
      </c>
      <c r="D322">
        <f>VLOOKUP(C322,'Store Database'!A:C,2,FALSE)</f>
        <v>4</v>
      </c>
      <c r="E322" t="str">
        <f>VLOOKUP(D322,'Store Database'!$B$3:$C$100,2,FALSE)</f>
        <v>South</v>
      </c>
      <c r="F322">
        <v>6</v>
      </c>
      <c r="G322" s="55" t="s">
        <v>299</v>
      </c>
      <c r="H322">
        <v>247152.69</v>
      </c>
      <c r="I322">
        <v>314375.25</v>
      </c>
      <c r="J322">
        <v>-67222.559999999998</v>
      </c>
      <c r="K322">
        <v>-21.382904665682201</v>
      </c>
      <c r="L322">
        <v>3100</v>
      </c>
      <c r="M322">
        <v>3831</v>
      </c>
      <c r="N322">
        <v>-19.081179848603501</v>
      </c>
    </row>
    <row r="323" spans="1:14" x14ac:dyDescent="0.25">
      <c r="A323">
        <f t="shared" ref="A323:A361" si="35">VALUE(CONCATENATE(D323,F323))</f>
        <v>47</v>
      </c>
      <c r="B323">
        <f t="shared" ref="B323:B361" si="36">VALUE(CONCATENATE(C323,F323))</f>
        <v>897</v>
      </c>
      <c r="C323">
        <v>89</v>
      </c>
      <c r="D323">
        <f>VLOOKUP(C323,'Store Database'!A:C,2,FALSE)</f>
        <v>4</v>
      </c>
      <c r="E323" t="str">
        <f>VLOOKUP(D323,'Store Database'!$B$3:$C$100,2,FALSE)</f>
        <v>South</v>
      </c>
      <c r="F323">
        <v>7</v>
      </c>
      <c r="G323" s="55" t="s">
        <v>300</v>
      </c>
      <c r="H323">
        <v>83619.62</v>
      </c>
      <c r="I323">
        <v>97800.89</v>
      </c>
      <c r="J323">
        <v>-14181.27</v>
      </c>
      <c r="K323">
        <v>-14.500144119342901</v>
      </c>
      <c r="L323">
        <v>2122</v>
      </c>
      <c r="M323">
        <v>1633</v>
      </c>
      <c r="N323">
        <v>29.944886711573798</v>
      </c>
    </row>
    <row r="324" spans="1:14" x14ac:dyDescent="0.25">
      <c r="A324">
        <f t="shared" si="35"/>
        <v>48</v>
      </c>
      <c r="B324">
        <f t="shared" si="36"/>
        <v>898</v>
      </c>
      <c r="C324">
        <v>89</v>
      </c>
      <c r="D324">
        <f>VLOOKUP(C324,'Store Database'!A:C,2,FALSE)</f>
        <v>4</v>
      </c>
      <c r="E324" t="str">
        <f>VLOOKUP(D324,'Store Database'!$B$3:$C$100,2,FALSE)</f>
        <v>South</v>
      </c>
      <c r="F324">
        <v>8</v>
      </c>
      <c r="G324" s="55" t="s">
        <v>301</v>
      </c>
      <c r="H324">
        <v>178887.39</v>
      </c>
      <c r="I324">
        <v>211895.23</v>
      </c>
      <c r="J324">
        <v>-33007.839999999997</v>
      </c>
      <c r="K324">
        <v>-15.5774341876407</v>
      </c>
      <c r="L324">
        <v>2892</v>
      </c>
      <c r="M324">
        <v>2429</v>
      </c>
      <c r="N324">
        <v>19.061342116097197</v>
      </c>
    </row>
    <row r="325" spans="1:14" x14ac:dyDescent="0.25">
      <c r="A325">
        <f t="shared" si="35"/>
        <v>49</v>
      </c>
      <c r="B325">
        <f t="shared" si="36"/>
        <v>899</v>
      </c>
      <c r="C325">
        <v>89</v>
      </c>
      <c r="D325">
        <f>VLOOKUP(C325,'Store Database'!A:C,2,FALSE)</f>
        <v>4</v>
      </c>
      <c r="E325" t="str">
        <f>VLOOKUP(D325,'Store Database'!$B$3:$C$100,2,FALSE)</f>
        <v>South</v>
      </c>
      <c r="F325">
        <v>9</v>
      </c>
      <c r="G325" s="55" t="s">
        <v>302</v>
      </c>
      <c r="H325">
        <v>44734.11</v>
      </c>
      <c r="I325">
        <v>46209.43</v>
      </c>
      <c r="J325">
        <v>-1475.32</v>
      </c>
      <c r="K325">
        <v>-3.1926816669238298</v>
      </c>
      <c r="L325">
        <v>3715</v>
      </c>
      <c r="M325">
        <v>2222</v>
      </c>
      <c r="N325">
        <v>67.1917191719172</v>
      </c>
    </row>
    <row r="326" spans="1:14" x14ac:dyDescent="0.25">
      <c r="A326">
        <f t="shared" si="35"/>
        <v>11</v>
      </c>
      <c r="B326">
        <f t="shared" si="36"/>
        <v>901</v>
      </c>
      <c r="C326">
        <v>90</v>
      </c>
      <c r="D326">
        <f>VLOOKUP(C326,'Store Database'!A:C,2,FALSE)</f>
        <v>1</v>
      </c>
      <c r="E326" t="str">
        <f>VLOOKUP(D326,'Store Database'!$B$3:$C$100,2,FALSE)</f>
        <v>East</v>
      </c>
      <c r="F326">
        <v>1</v>
      </c>
      <c r="G326" s="55" t="s">
        <v>294</v>
      </c>
      <c r="H326">
        <v>269639.34000000003</v>
      </c>
      <c r="I326">
        <v>274188.01</v>
      </c>
      <c r="J326">
        <v>-4548.67</v>
      </c>
      <c r="K326">
        <v>-1.65896021492698</v>
      </c>
      <c r="L326">
        <v>5741</v>
      </c>
      <c r="M326">
        <v>5236</v>
      </c>
      <c r="N326">
        <v>9.6447669977081691</v>
      </c>
    </row>
    <row r="327" spans="1:14" x14ac:dyDescent="0.25">
      <c r="A327">
        <f t="shared" si="35"/>
        <v>12</v>
      </c>
      <c r="B327">
        <f t="shared" si="36"/>
        <v>902</v>
      </c>
      <c r="C327">
        <v>90</v>
      </c>
      <c r="D327">
        <f>VLOOKUP(C327,'Store Database'!A:C,2,FALSE)</f>
        <v>1</v>
      </c>
      <c r="E327" t="str">
        <f>VLOOKUP(D327,'Store Database'!$B$3:$C$100,2,FALSE)</f>
        <v>East</v>
      </c>
      <c r="F327">
        <v>2</v>
      </c>
      <c r="G327" s="55" t="s">
        <v>295</v>
      </c>
      <c r="H327">
        <v>206189.25</v>
      </c>
      <c r="I327">
        <v>213318.6</v>
      </c>
      <c r="J327">
        <v>-7129.35</v>
      </c>
      <c r="K327">
        <v>-3.3421136272223801</v>
      </c>
      <c r="L327">
        <v>4351</v>
      </c>
      <c r="M327">
        <v>3639</v>
      </c>
      <c r="N327">
        <v>19.5658147842814</v>
      </c>
    </row>
    <row r="328" spans="1:14" x14ac:dyDescent="0.25">
      <c r="A328">
        <f t="shared" si="35"/>
        <v>13</v>
      </c>
      <c r="B328">
        <f t="shared" si="36"/>
        <v>903</v>
      </c>
      <c r="C328">
        <v>90</v>
      </c>
      <c r="D328">
        <f>VLOOKUP(C328,'Store Database'!A:C,2,FALSE)</f>
        <v>1</v>
      </c>
      <c r="E328" t="str">
        <f>VLOOKUP(D328,'Store Database'!$B$3:$C$100,2,FALSE)</f>
        <v>East</v>
      </c>
      <c r="F328">
        <v>3</v>
      </c>
      <c r="G328" s="55" t="s">
        <v>296</v>
      </c>
      <c r="H328">
        <v>31542.48</v>
      </c>
      <c r="I328">
        <v>45070.33</v>
      </c>
      <c r="J328">
        <v>-13527.85</v>
      </c>
      <c r="K328">
        <v>-30.014978812003399</v>
      </c>
      <c r="L328">
        <v>1907</v>
      </c>
      <c r="M328">
        <v>1077</v>
      </c>
      <c r="N328">
        <v>77.065923862581201</v>
      </c>
    </row>
    <row r="329" spans="1:14" x14ac:dyDescent="0.25">
      <c r="A329">
        <f t="shared" si="35"/>
        <v>14</v>
      </c>
      <c r="B329">
        <f t="shared" si="36"/>
        <v>904</v>
      </c>
      <c r="C329">
        <v>90</v>
      </c>
      <c r="D329">
        <f>VLOOKUP(C329,'Store Database'!A:C,2,FALSE)</f>
        <v>1</v>
      </c>
      <c r="E329" t="str">
        <f>VLOOKUP(D329,'Store Database'!$B$3:$C$100,2,FALSE)</f>
        <v>East</v>
      </c>
      <c r="F329">
        <v>4</v>
      </c>
      <c r="G329" s="55" t="s">
        <v>297</v>
      </c>
      <c r="H329">
        <v>266589.15999999997</v>
      </c>
      <c r="I329">
        <v>272503.71000000002</v>
      </c>
      <c r="J329">
        <v>-5914.55</v>
      </c>
      <c r="K329">
        <v>-2.1704475142742101</v>
      </c>
      <c r="L329">
        <v>4228</v>
      </c>
      <c r="M329">
        <v>3120</v>
      </c>
      <c r="N329">
        <v>35.512820512820497</v>
      </c>
    </row>
    <row r="330" spans="1:14" x14ac:dyDescent="0.25">
      <c r="A330">
        <f t="shared" si="35"/>
        <v>15</v>
      </c>
      <c r="B330">
        <f t="shared" si="36"/>
        <v>905</v>
      </c>
      <c r="C330">
        <v>90</v>
      </c>
      <c r="D330">
        <f>VLOOKUP(C330,'Store Database'!A:C,2,FALSE)</f>
        <v>1</v>
      </c>
      <c r="E330" t="str">
        <f>VLOOKUP(D330,'Store Database'!$B$3:$C$100,2,FALSE)</f>
        <v>East</v>
      </c>
      <c r="F330">
        <v>5</v>
      </c>
      <c r="G330" s="55" t="s">
        <v>298</v>
      </c>
      <c r="H330">
        <v>293351.34000000003</v>
      </c>
      <c r="I330">
        <v>304074.65999999997</v>
      </c>
      <c r="J330">
        <v>-10723.32</v>
      </c>
      <c r="K330">
        <v>-3.52654180391092</v>
      </c>
      <c r="L330">
        <v>3949</v>
      </c>
      <c r="M330">
        <v>3334</v>
      </c>
      <c r="N330">
        <v>18.4463107378524</v>
      </c>
    </row>
    <row r="331" spans="1:14" x14ac:dyDescent="0.25">
      <c r="A331">
        <f t="shared" si="35"/>
        <v>16</v>
      </c>
      <c r="B331">
        <f t="shared" si="36"/>
        <v>906</v>
      </c>
      <c r="C331">
        <v>90</v>
      </c>
      <c r="D331">
        <f>VLOOKUP(C331,'Store Database'!A:C,2,FALSE)</f>
        <v>1</v>
      </c>
      <c r="E331" t="str">
        <f>VLOOKUP(D331,'Store Database'!$B$3:$C$100,2,FALSE)</f>
        <v>East</v>
      </c>
      <c r="F331">
        <v>6</v>
      </c>
      <c r="G331" s="55" t="s">
        <v>299</v>
      </c>
      <c r="H331">
        <v>213714.39</v>
      </c>
      <c r="I331">
        <v>225962.89</v>
      </c>
      <c r="J331">
        <v>-12248.5</v>
      </c>
      <c r="K331">
        <v>-5.4205803439671003</v>
      </c>
      <c r="L331">
        <v>3256</v>
      </c>
      <c r="M331">
        <v>3599</v>
      </c>
      <c r="N331">
        <v>-9.5304251180883615</v>
      </c>
    </row>
    <row r="332" spans="1:14" x14ac:dyDescent="0.25">
      <c r="A332">
        <f t="shared" si="35"/>
        <v>17</v>
      </c>
      <c r="B332">
        <f t="shared" si="36"/>
        <v>907</v>
      </c>
      <c r="C332">
        <v>90</v>
      </c>
      <c r="D332">
        <f>VLOOKUP(C332,'Store Database'!A:C,2,FALSE)</f>
        <v>1</v>
      </c>
      <c r="E332" t="str">
        <f>VLOOKUP(D332,'Store Database'!$B$3:$C$100,2,FALSE)</f>
        <v>East</v>
      </c>
      <c r="F332">
        <v>7</v>
      </c>
      <c r="G332" s="55" t="s">
        <v>300</v>
      </c>
      <c r="H332">
        <v>106966.99</v>
      </c>
      <c r="I332">
        <v>116122.15</v>
      </c>
      <c r="J332">
        <v>-9155.16</v>
      </c>
      <c r="K332">
        <v>-7.8840772410776099</v>
      </c>
      <c r="L332">
        <v>3242</v>
      </c>
      <c r="M332">
        <v>2332</v>
      </c>
      <c r="N332">
        <v>39.0222984562607</v>
      </c>
    </row>
    <row r="333" spans="1:14" x14ac:dyDescent="0.25">
      <c r="A333">
        <f t="shared" si="35"/>
        <v>18</v>
      </c>
      <c r="B333">
        <f t="shared" si="36"/>
        <v>908</v>
      </c>
      <c r="C333">
        <v>90</v>
      </c>
      <c r="D333">
        <f>VLOOKUP(C333,'Store Database'!A:C,2,FALSE)</f>
        <v>1</v>
      </c>
      <c r="E333" t="str">
        <f>VLOOKUP(D333,'Store Database'!$B$3:$C$100,2,FALSE)</f>
        <v>East</v>
      </c>
      <c r="F333">
        <v>8</v>
      </c>
      <c r="G333" s="55" t="s">
        <v>301</v>
      </c>
      <c r="H333">
        <v>105767.81</v>
      </c>
      <c r="I333">
        <v>105437.33</v>
      </c>
      <c r="J333">
        <v>330.48</v>
      </c>
      <c r="K333">
        <v>0.31343737554811002</v>
      </c>
      <c r="L333">
        <v>2176</v>
      </c>
      <c r="M333">
        <v>1943</v>
      </c>
      <c r="N333">
        <v>11.9917653113742</v>
      </c>
    </row>
    <row r="334" spans="1:14" x14ac:dyDescent="0.25">
      <c r="A334">
        <f t="shared" si="35"/>
        <v>19</v>
      </c>
      <c r="B334">
        <f t="shared" si="36"/>
        <v>909</v>
      </c>
      <c r="C334">
        <v>90</v>
      </c>
      <c r="D334">
        <f>VLOOKUP(C334,'Store Database'!A:C,2,FALSE)</f>
        <v>1</v>
      </c>
      <c r="E334" t="str">
        <f>VLOOKUP(D334,'Store Database'!$B$3:$C$100,2,FALSE)</f>
        <v>East</v>
      </c>
      <c r="F334">
        <v>9</v>
      </c>
      <c r="G334" s="55" t="s">
        <v>302</v>
      </c>
      <c r="H334">
        <v>60998.52</v>
      </c>
      <c r="I334">
        <v>60332.11</v>
      </c>
      <c r="J334">
        <v>666.41</v>
      </c>
      <c r="K334">
        <v>1.10456935784278</v>
      </c>
      <c r="L334">
        <v>7320</v>
      </c>
      <c r="M334">
        <v>2459</v>
      </c>
      <c r="N334">
        <v>197.681984546564</v>
      </c>
    </row>
    <row r="335" spans="1:14" x14ac:dyDescent="0.25">
      <c r="A335">
        <f t="shared" si="35"/>
        <v>21</v>
      </c>
      <c r="B335">
        <f t="shared" si="36"/>
        <v>921</v>
      </c>
      <c r="C335">
        <v>92</v>
      </c>
      <c r="D335">
        <f>VLOOKUP(C335,'Store Database'!A:C,2,FALSE)</f>
        <v>2</v>
      </c>
      <c r="E335" t="str">
        <f>VLOOKUP(D335,'Store Database'!$B$3:$C$100,2,FALSE)</f>
        <v>West</v>
      </c>
      <c r="F335">
        <v>1</v>
      </c>
      <c r="G335" s="55" t="s">
        <v>294</v>
      </c>
      <c r="H335">
        <v>62296.18</v>
      </c>
      <c r="I335">
        <v>79304.73</v>
      </c>
      <c r="J335">
        <v>-17008.55</v>
      </c>
      <c r="K335">
        <v>-21.447081403593501</v>
      </c>
      <c r="L335">
        <v>2247</v>
      </c>
      <c r="M335">
        <v>1573</v>
      </c>
      <c r="N335">
        <v>42.848061029879197</v>
      </c>
    </row>
    <row r="336" spans="1:14" x14ac:dyDescent="0.25">
      <c r="A336">
        <f t="shared" si="35"/>
        <v>22</v>
      </c>
      <c r="B336">
        <f t="shared" si="36"/>
        <v>922</v>
      </c>
      <c r="C336">
        <v>92</v>
      </c>
      <c r="D336">
        <f>VLOOKUP(C336,'Store Database'!A:C,2,FALSE)</f>
        <v>2</v>
      </c>
      <c r="E336" t="str">
        <f>VLOOKUP(D336,'Store Database'!$B$3:$C$100,2,FALSE)</f>
        <v>West</v>
      </c>
      <c r="F336">
        <v>2</v>
      </c>
      <c r="G336" s="55" t="s">
        <v>295</v>
      </c>
      <c r="H336">
        <v>33653.07</v>
      </c>
      <c r="I336">
        <v>37081.54</v>
      </c>
      <c r="J336">
        <v>-3428.47</v>
      </c>
      <c r="K336">
        <v>-9.2457594803236294</v>
      </c>
      <c r="L336">
        <v>2019</v>
      </c>
      <c r="M336">
        <v>1487</v>
      </c>
      <c r="N336">
        <v>35.776731674512405</v>
      </c>
    </row>
    <row r="337" spans="1:14" x14ac:dyDescent="0.25">
      <c r="A337">
        <f t="shared" si="35"/>
        <v>23</v>
      </c>
      <c r="B337">
        <f t="shared" si="36"/>
        <v>923</v>
      </c>
      <c r="C337">
        <v>92</v>
      </c>
      <c r="D337">
        <f>VLOOKUP(C337,'Store Database'!A:C,2,FALSE)</f>
        <v>2</v>
      </c>
      <c r="E337" t="str">
        <f>VLOOKUP(D337,'Store Database'!$B$3:$C$100,2,FALSE)</f>
        <v>West</v>
      </c>
      <c r="F337">
        <v>3</v>
      </c>
      <c r="G337" s="55" t="s">
        <v>296</v>
      </c>
      <c r="H337">
        <v>6482.84</v>
      </c>
      <c r="I337">
        <v>6757.79</v>
      </c>
      <c r="J337">
        <v>-274.95</v>
      </c>
      <c r="K337">
        <v>-4.0686378239039698</v>
      </c>
      <c r="L337">
        <v>377</v>
      </c>
      <c r="M337">
        <v>238</v>
      </c>
      <c r="N337">
        <v>58.403361344537799</v>
      </c>
    </row>
    <row r="338" spans="1:14" x14ac:dyDescent="0.25">
      <c r="A338">
        <f t="shared" si="35"/>
        <v>24</v>
      </c>
      <c r="B338">
        <f t="shared" si="36"/>
        <v>924</v>
      </c>
      <c r="C338">
        <v>92</v>
      </c>
      <c r="D338">
        <f>VLOOKUP(C338,'Store Database'!A:C,2,FALSE)</f>
        <v>2</v>
      </c>
      <c r="E338" t="str">
        <f>VLOOKUP(D338,'Store Database'!$B$3:$C$100,2,FALSE)</f>
        <v>West</v>
      </c>
      <c r="F338">
        <v>4</v>
      </c>
      <c r="G338" s="55" t="s">
        <v>297</v>
      </c>
      <c r="H338">
        <v>88460.76</v>
      </c>
      <c r="I338">
        <v>105782.07</v>
      </c>
      <c r="J338">
        <v>-17321.310000000001</v>
      </c>
      <c r="K338">
        <v>-16.374523584195298</v>
      </c>
      <c r="L338">
        <v>2559</v>
      </c>
      <c r="M338">
        <v>1565</v>
      </c>
      <c r="N338">
        <v>63.514376996805098</v>
      </c>
    </row>
    <row r="339" spans="1:14" x14ac:dyDescent="0.25">
      <c r="A339">
        <f t="shared" si="35"/>
        <v>25</v>
      </c>
      <c r="B339">
        <f t="shared" si="36"/>
        <v>925</v>
      </c>
      <c r="C339">
        <v>92</v>
      </c>
      <c r="D339">
        <f>VLOOKUP(C339,'Store Database'!A:C,2,FALSE)</f>
        <v>2</v>
      </c>
      <c r="E339" t="str">
        <f>VLOOKUP(D339,'Store Database'!$B$3:$C$100,2,FALSE)</f>
        <v>West</v>
      </c>
      <c r="F339">
        <v>5</v>
      </c>
      <c r="G339" s="55" t="s">
        <v>298</v>
      </c>
      <c r="H339">
        <v>82034.64</v>
      </c>
      <c r="I339">
        <v>88884.01</v>
      </c>
      <c r="J339">
        <v>-6849.37</v>
      </c>
      <c r="K339">
        <v>-7.7059642111106399</v>
      </c>
      <c r="L339">
        <v>2334</v>
      </c>
      <c r="M339">
        <v>2042</v>
      </c>
      <c r="N339">
        <v>14.299706170421199</v>
      </c>
    </row>
    <row r="340" spans="1:14" x14ac:dyDescent="0.25">
      <c r="A340">
        <f t="shared" si="35"/>
        <v>26</v>
      </c>
      <c r="B340">
        <f t="shared" si="36"/>
        <v>926</v>
      </c>
      <c r="C340">
        <v>92</v>
      </c>
      <c r="D340">
        <f>VLOOKUP(C340,'Store Database'!A:C,2,FALSE)</f>
        <v>2</v>
      </c>
      <c r="E340" t="str">
        <f>VLOOKUP(D340,'Store Database'!$B$3:$C$100,2,FALSE)</f>
        <v>West</v>
      </c>
      <c r="F340">
        <v>6</v>
      </c>
      <c r="G340" s="55" t="s">
        <v>299</v>
      </c>
      <c r="H340">
        <v>121864.77</v>
      </c>
      <c r="I340">
        <v>134409.57</v>
      </c>
      <c r="J340">
        <v>-12544.8</v>
      </c>
      <c r="K340">
        <v>-9.3332639930326398</v>
      </c>
      <c r="L340">
        <v>1779</v>
      </c>
      <c r="M340">
        <v>1431</v>
      </c>
      <c r="N340">
        <v>24.318658280922399</v>
      </c>
    </row>
    <row r="341" spans="1:14" x14ac:dyDescent="0.25">
      <c r="A341">
        <f t="shared" si="35"/>
        <v>27</v>
      </c>
      <c r="B341">
        <f t="shared" si="36"/>
        <v>927</v>
      </c>
      <c r="C341">
        <v>92</v>
      </c>
      <c r="D341">
        <f>VLOOKUP(C341,'Store Database'!A:C,2,FALSE)</f>
        <v>2</v>
      </c>
      <c r="E341" t="str">
        <f>VLOOKUP(D341,'Store Database'!$B$3:$C$100,2,FALSE)</f>
        <v>West</v>
      </c>
      <c r="F341">
        <v>7</v>
      </c>
      <c r="G341" s="55" t="s">
        <v>300</v>
      </c>
      <c r="H341">
        <v>34489.19</v>
      </c>
      <c r="I341">
        <v>41768.65</v>
      </c>
      <c r="J341">
        <v>-7279.46</v>
      </c>
      <c r="K341">
        <v>-17.428047111888901</v>
      </c>
      <c r="L341">
        <v>1683</v>
      </c>
      <c r="M341">
        <v>993</v>
      </c>
      <c r="N341">
        <v>69.4864048338369</v>
      </c>
    </row>
    <row r="342" spans="1:14" x14ac:dyDescent="0.25">
      <c r="A342">
        <f t="shared" si="35"/>
        <v>28</v>
      </c>
      <c r="B342">
        <f t="shared" si="36"/>
        <v>928</v>
      </c>
      <c r="C342">
        <v>92</v>
      </c>
      <c r="D342">
        <f>VLOOKUP(C342,'Store Database'!A:C,2,FALSE)</f>
        <v>2</v>
      </c>
      <c r="E342" t="str">
        <f>VLOOKUP(D342,'Store Database'!$B$3:$C$100,2,FALSE)</f>
        <v>West</v>
      </c>
      <c r="F342">
        <v>8</v>
      </c>
      <c r="G342" s="55" t="s">
        <v>301</v>
      </c>
      <c r="H342">
        <v>88044.46</v>
      </c>
      <c r="I342">
        <v>101674.18</v>
      </c>
      <c r="J342">
        <v>-13629.72</v>
      </c>
      <c r="K342">
        <v>-13.405291294210601</v>
      </c>
      <c r="L342">
        <v>1741</v>
      </c>
      <c r="M342">
        <v>1407</v>
      </c>
      <c r="N342">
        <v>23.7384506041222</v>
      </c>
    </row>
    <row r="343" spans="1:14" x14ac:dyDescent="0.25">
      <c r="A343">
        <f t="shared" si="35"/>
        <v>29</v>
      </c>
      <c r="B343">
        <f t="shared" si="36"/>
        <v>929</v>
      </c>
      <c r="C343">
        <v>92</v>
      </c>
      <c r="D343">
        <f>VLOOKUP(C343,'Store Database'!A:C,2,FALSE)</f>
        <v>2</v>
      </c>
      <c r="E343" t="str">
        <f>VLOOKUP(D343,'Store Database'!$B$3:$C$100,2,FALSE)</f>
        <v>West</v>
      </c>
      <c r="F343">
        <v>9</v>
      </c>
      <c r="G343" s="55" t="s">
        <v>302</v>
      </c>
      <c r="H343">
        <v>20575.28</v>
      </c>
      <c r="I343">
        <v>20222.900000000001</v>
      </c>
      <c r="J343">
        <v>352.38</v>
      </c>
      <c r="K343">
        <v>1.74248005973426</v>
      </c>
      <c r="L343">
        <v>4124</v>
      </c>
      <c r="M343">
        <v>2376</v>
      </c>
      <c r="N343">
        <v>73.569023569023599</v>
      </c>
    </row>
    <row r="344" spans="1:14" x14ac:dyDescent="0.25">
      <c r="A344">
        <f t="shared" si="35"/>
        <v>31</v>
      </c>
      <c r="B344">
        <f t="shared" si="36"/>
        <v>941</v>
      </c>
      <c r="C344">
        <v>94</v>
      </c>
      <c r="D344">
        <f>VLOOKUP(C344,'Store Database'!A:C,2,FALSE)</f>
        <v>3</v>
      </c>
      <c r="E344" t="str">
        <f>VLOOKUP(D344,'Store Database'!$B$3:$C$100,2,FALSE)</f>
        <v>North</v>
      </c>
      <c r="F344">
        <v>1</v>
      </c>
      <c r="G344" s="55" t="s">
        <v>294</v>
      </c>
      <c r="H344">
        <v>145132.39000000001</v>
      </c>
      <c r="I344">
        <v>117710.59</v>
      </c>
      <c r="J344">
        <v>27421.8</v>
      </c>
      <c r="K344">
        <v>23.295949837648401</v>
      </c>
      <c r="L344">
        <v>2859</v>
      </c>
      <c r="M344">
        <v>3150</v>
      </c>
      <c r="N344">
        <v>-9.238095238095239</v>
      </c>
    </row>
    <row r="345" spans="1:14" x14ac:dyDescent="0.25">
      <c r="A345">
        <f t="shared" si="35"/>
        <v>32</v>
      </c>
      <c r="B345">
        <f t="shared" si="36"/>
        <v>942</v>
      </c>
      <c r="C345">
        <v>94</v>
      </c>
      <c r="D345">
        <f>VLOOKUP(C345,'Store Database'!A:C,2,FALSE)</f>
        <v>3</v>
      </c>
      <c r="E345" t="str">
        <f>VLOOKUP(D345,'Store Database'!$B$3:$C$100,2,FALSE)</f>
        <v>North</v>
      </c>
      <c r="F345">
        <v>2</v>
      </c>
      <c r="G345" s="55" t="s">
        <v>295</v>
      </c>
      <c r="H345">
        <v>99138.48</v>
      </c>
      <c r="I345">
        <v>100097.43</v>
      </c>
      <c r="J345">
        <v>-958.95</v>
      </c>
      <c r="K345">
        <v>-0.95801660442231096</v>
      </c>
      <c r="L345">
        <v>2327</v>
      </c>
      <c r="M345">
        <v>2021</v>
      </c>
      <c r="N345">
        <v>15.1410192973775</v>
      </c>
    </row>
    <row r="346" spans="1:14" x14ac:dyDescent="0.25">
      <c r="A346">
        <f t="shared" si="35"/>
        <v>33</v>
      </c>
      <c r="B346">
        <f t="shared" si="36"/>
        <v>943</v>
      </c>
      <c r="C346">
        <v>94</v>
      </c>
      <c r="D346">
        <f>VLOOKUP(C346,'Store Database'!A:C,2,FALSE)</f>
        <v>3</v>
      </c>
      <c r="E346" t="str">
        <f>VLOOKUP(D346,'Store Database'!$B$3:$C$100,2,FALSE)</f>
        <v>North</v>
      </c>
      <c r="F346">
        <v>3</v>
      </c>
      <c r="G346" s="55" t="s">
        <v>296</v>
      </c>
      <c r="H346">
        <v>25679.360000000001</v>
      </c>
      <c r="I346">
        <v>31190.720000000001</v>
      </c>
      <c r="J346">
        <v>-5511.36</v>
      </c>
      <c r="K346">
        <v>-17.669871038565301</v>
      </c>
      <c r="L346">
        <v>1258</v>
      </c>
      <c r="M346">
        <v>708</v>
      </c>
      <c r="N346">
        <v>77.683615819208995</v>
      </c>
    </row>
    <row r="347" spans="1:14" x14ac:dyDescent="0.25">
      <c r="A347">
        <f t="shared" si="35"/>
        <v>34</v>
      </c>
      <c r="B347">
        <f t="shared" si="36"/>
        <v>944</v>
      </c>
      <c r="C347">
        <v>94</v>
      </c>
      <c r="D347">
        <f>VLOOKUP(C347,'Store Database'!A:C,2,FALSE)</f>
        <v>3</v>
      </c>
      <c r="E347" t="str">
        <f>VLOOKUP(D347,'Store Database'!$B$3:$C$100,2,FALSE)</f>
        <v>North</v>
      </c>
      <c r="F347">
        <v>4</v>
      </c>
      <c r="G347" s="55" t="s">
        <v>297</v>
      </c>
      <c r="H347">
        <v>158442.29</v>
      </c>
      <c r="I347">
        <v>160748.13</v>
      </c>
      <c r="J347">
        <v>-2305.84</v>
      </c>
      <c r="K347">
        <v>-1.4344428143580901</v>
      </c>
      <c r="L347">
        <v>2946</v>
      </c>
      <c r="M347">
        <v>2425</v>
      </c>
      <c r="N347">
        <v>21.4845360824742</v>
      </c>
    </row>
    <row r="348" spans="1:14" x14ac:dyDescent="0.25">
      <c r="A348">
        <f t="shared" si="35"/>
        <v>35</v>
      </c>
      <c r="B348">
        <f t="shared" si="36"/>
        <v>945</v>
      </c>
      <c r="C348">
        <v>94</v>
      </c>
      <c r="D348">
        <f>VLOOKUP(C348,'Store Database'!A:C,2,FALSE)</f>
        <v>3</v>
      </c>
      <c r="E348" t="str">
        <f>VLOOKUP(D348,'Store Database'!$B$3:$C$100,2,FALSE)</f>
        <v>North</v>
      </c>
      <c r="F348">
        <v>5</v>
      </c>
      <c r="G348" s="55" t="s">
        <v>298</v>
      </c>
      <c r="H348">
        <v>167232.95999999999</v>
      </c>
      <c r="I348">
        <v>148074.01</v>
      </c>
      <c r="J348">
        <v>19158.95</v>
      </c>
      <c r="K348">
        <v>12.938766229131</v>
      </c>
      <c r="L348">
        <v>2513</v>
      </c>
      <c r="M348">
        <v>2489</v>
      </c>
      <c r="N348">
        <v>0.96424266773804701</v>
      </c>
    </row>
    <row r="349" spans="1:14" x14ac:dyDescent="0.25">
      <c r="A349">
        <f t="shared" si="35"/>
        <v>36</v>
      </c>
      <c r="B349">
        <f t="shared" si="36"/>
        <v>946</v>
      </c>
      <c r="C349">
        <v>94</v>
      </c>
      <c r="D349">
        <f>VLOOKUP(C349,'Store Database'!A:C,2,FALSE)</f>
        <v>3</v>
      </c>
      <c r="E349" t="str">
        <f>VLOOKUP(D349,'Store Database'!$B$3:$C$100,2,FALSE)</f>
        <v>North</v>
      </c>
      <c r="F349">
        <v>6</v>
      </c>
      <c r="G349" s="55" t="s">
        <v>299</v>
      </c>
      <c r="H349">
        <v>145526.07</v>
      </c>
      <c r="I349">
        <v>138191.88</v>
      </c>
      <c r="J349">
        <v>7334.19</v>
      </c>
      <c r="K349">
        <v>5.3072510483249804</v>
      </c>
      <c r="L349">
        <v>1869</v>
      </c>
      <c r="M349">
        <v>2229</v>
      </c>
      <c r="N349">
        <v>-16.150740242261101</v>
      </c>
    </row>
    <row r="350" spans="1:14" x14ac:dyDescent="0.25">
      <c r="A350">
        <f t="shared" si="35"/>
        <v>37</v>
      </c>
      <c r="B350">
        <f t="shared" si="36"/>
        <v>947</v>
      </c>
      <c r="C350">
        <v>94</v>
      </c>
      <c r="D350">
        <f>VLOOKUP(C350,'Store Database'!A:C,2,FALSE)</f>
        <v>3</v>
      </c>
      <c r="E350" t="str">
        <f>VLOOKUP(D350,'Store Database'!$B$3:$C$100,2,FALSE)</f>
        <v>North</v>
      </c>
      <c r="F350">
        <v>7</v>
      </c>
      <c r="G350" s="55" t="s">
        <v>300</v>
      </c>
      <c r="H350">
        <v>55137.54</v>
      </c>
      <c r="I350">
        <v>50613.85</v>
      </c>
      <c r="J350">
        <v>4523.6899999999996</v>
      </c>
      <c r="K350">
        <v>8.9376524409820597</v>
      </c>
      <c r="L350">
        <v>1975</v>
      </c>
      <c r="M350">
        <v>1373</v>
      </c>
      <c r="N350">
        <v>43.845593590677403</v>
      </c>
    </row>
    <row r="351" spans="1:14" x14ac:dyDescent="0.25">
      <c r="A351">
        <f t="shared" si="35"/>
        <v>38</v>
      </c>
      <c r="B351">
        <f t="shared" si="36"/>
        <v>948</v>
      </c>
      <c r="C351">
        <v>94</v>
      </c>
      <c r="D351">
        <f>VLOOKUP(C351,'Store Database'!A:C,2,FALSE)</f>
        <v>3</v>
      </c>
      <c r="E351" t="str">
        <f>VLOOKUP(D351,'Store Database'!$B$3:$C$100,2,FALSE)</f>
        <v>North</v>
      </c>
      <c r="F351">
        <v>8</v>
      </c>
      <c r="G351" s="55" t="s">
        <v>301</v>
      </c>
      <c r="H351">
        <v>70058.570000000007</v>
      </c>
      <c r="I351">
        <v>65796.89</v>
      </c>
      <c r="J351">
        <v>4261.68</v>
      </c>
      <c r="K351">
        <v>6.4770234580996204</v>
      </c>
      <c r="L351">
        <v>1641</v>
      </c>
      <c r="M351">
        <v>1322</v>
      </c>
      <c r="N351">
        <v>24.1301059001513</v>
      </c>
    </row>
    <row r="352" spans="1:14" x14ac:dyDescent="0.25">
      <c r="A352">
        <f t="shared" si="35"/>
        <v>39</v>
      </c>
      <c r="B352">
        <f t="shared" si="36"/>
        <v>949</v>
      </c>
      <c r="C352">
        <v>94</v>
      </c>
      <c r="D352">
        <f>VLOOKUP(C352,'Store Database'!A:C,2,FALSE)</f>
        <v>3</v>
      </c>
      <c r="E352" t="str">
        <f>VLOOKUP(D352,'Store Database'!$B$3:$C$100,2,FALSE)</f>
        <v>North</v>
      </c>
      <c r="F352">
        <v>9</v>
      </c>
      <c r="G352" s="55" t="s">
        <v>302</v>
      </c>
      <c r="H352">
        <v>25492.81</v>
      </c>
      <c r="I352">
        <v>25978.78</v>
      </c>
      <c r="J352">
        <v>-485.97</v>
      </c>
      <c r="K352">
        <v>-1.8706421163734399</v>
      </c>
      <c r="L352">
        <v>3898</v>
      </c>
      <c r="M352">
        <v>2221</v>
      </c>
      <c r="N352">
        <v>75.506528590724898</v>
      </c>
    </row>
    <row r="353" spans="1:14" x14ac:dyDescent="0.25">
      <c r="A353">
        <f t="shared" si="35"/>
        <v>41</v>
      </c>
      <c r="B353">
        <f t="shared" si="36"/>
        <v>971</v>
      </c>
      <c r="C353">
        <v>97</v>
      </c>
      <c r="D353">
        <f>VLOOKUP(C353,'Store Database'!A:C,2,FALSE)</f>
        <v>4</v>
      </c>
      <c r="E353" t="str">
        <f>VLOOKUP(D353,'Store Database'!$B$3:$C$100,2,FALSE)</f>
        <v>South</v>
      </c>
      <c r="F353">
        <v>1</v>
      </c>
      <c r="G353" s="55" t="s">
        <v>294</v>
      </c>
      <c r="H353">
        <v>120312.54</v>
      </c>
      <c r="I353">
        <v>117722.52</v>
      </c>
      <c r="J353">
        <v>2590.02</v>
      </c>
      <c r="K353">
        <v>2.20010580813255</v>
      </c>
      <c r="L353">
        <v>2866</v>
      </c>
      <c r="M353">
        <v>2176</v>
      </c>
      <c r="N353">
        <v>31.709558823529399</v>
      </c>
    </row>
    <row r="354" spans="1:14" x14ac:dyDescent="0.25">
      <c r="A354">
        <f t="shared" si="35"/>
        <v>42</v>
      </c>
      <c r="B354">
        <f t="shared" si="36"/>
        <v>972</v>
      </c>
      <c r="C354">
        <v>97</v>
      </c>
      <c r="D354">
        <f>VLOOKUP(C354,'Store Database'!A:C,2,FALSE)</f>
        <v>4</v>
      </c>
      <c r="E354" t="str">
        <f>VLOOKUP(D354,'Store Database'!$B$3:$C$100,2,FALSE)</f>
        <v>South</v>
      </c>
      <c r="F354">
        <v>2</v>
      </c>
      <c r="G354" s="55" t="s">
        <v>295</v>
      </c>
      <c r="H354">
        <v>64686.94</v>
      </c>
      <c r="I354">
        <v>74064.740000000005</v>
      </c>
      <c r="J354">
        <v>-9377.7999999999993</v>
      </c>
      <c r="K354">
        <v>-12.6616254914282</v>
      </c>
      <c r="L354">
        <v>2538</v>
      </c>
      <c r="M354">
        <v>1970</v>
      </c>
      <c r="N354">
        <v>28.832487309644701</v>
      </c>
    </row>
    <row r="355" spans="1:14" x14ac:dyDescent="0.25">
      <c r="A355">
        <f t="shared" si="35"/>
        <v>43</v>
      </c>
      <c r="B355">
        <f t="shared" si="36"/>
        <v>973</v>
      </c>
      <c r="C355">
        <v>97</v>
      </c>
      <c r="D355">
        <f>VLOOKUP(C355,'Store Database'!A:C,2,FALSE)</f>
        <v>4</v>
      </c>
      <c r="E355" t="str">
        <f>VLOOKUP(D355,'Store Database'!$B$3:$C$100,2,FALSE)</f>
        <v>South</v>
      </c>
      <c r="F355">
        <v>3</v>
      </c>
      <c r="G355" s="55" t="s">
        <v>296</v>
      </c>
      <c r="H355">
        <v>14210.3</v>
      </c>
      <c r="I355">
        <v>14095.81</v>
      </c>
      <c r="J355">
        <v>114.49</v>
      </c>
      <c r="K355">
        <v>0.812227179566127</v>
      </c>
      <c r="L355">
        <v>717</v>
      </c>
      <c r="M355">
        <v>408</v>
      </c>
      <c r="N355">
        <v>75.735294117647101</v>
      </c>
    </row>
    <row r="356" spans="1:14" x14ac:dyDescent="0.25">
      <c r="A356">
        <f t="shared" si="35"/>
        <v>44</v>
      </c>
      <c r="B356">
        <f t="shared" si="36"/>
        <v>974</v>
      </c>
      <c r="C356">
        <v>97</v>
      </c>
      <c r="D356">
        <f>VLOOKUP(C356,'Store Database'!A:C,2,FALSE)</f>
        <v>4</v>
      </c>
      <c r="E356" t="str">
        <f>VLOOKUP(D356,'Store Database'!$B$3:$C$100,2,FALSE)</f>
        <v>South</v>
      </c>
      <c r="F356">
        <v>4</v>
      </c>
      <c r="G356" s="55" t="s">
        <v>297</v>
      </c>
      <c r="H356">
        <v>114402.54</v>
      </c>
      <c r="I356">
        <v>133386</v>
      </c>
      <c r="J356">
        <v>-18983.46</v>
      </c>
      <c r="K356">
        <v>-14.231973370518601</v>
      </c>
      <c r="L356">
        <v>2186</v>
      </c>
      <c r="M356">
        <v>1732</v>
      </c>
      <c r="N356">
        <v>26.212471131639699</v>
      </c>
    </row>
    <row r="357" spans="1:14" x14ac:dyDescent="0.25">
      <c r="A357">
        <f t="shared" si="35"/>
        <v>45</v>
      </c>
      <c r="B357">
        <f t="shared" si="36"/>
        <v>975</v>
      </c>
      <c r="C357">
        <v>97</v>
      </c>
      <c r="D357">
        <f>VLOOKUP(C357,'Store Database'!A:C,2,FALSE)</f>
        <v>4</v>
      </c>
      <c r="E357" t="str">
        <f>VLOOKUP(D357,'Store Database'!$B$3:$C$100,2,FALSE)</f>
        <v>South</v>
      </c>
      <c r="F357">
        <v>5</v>
      </c>
      <c r="G357" s="55" t="s">
        <v>298</v>
      </c>
      <c r="H357">
        <v>133733.79999999999</v>
      </c>
      <c r="I357">
        <v>147103.28</v>
      </c>
      <c r="J357">
        <v>-13369.48</v>
      </c>
      <c r="K357">
        <v>-9.0884989104253808</v>
      </c>
      <c r="L357">
        <v>2946</v>
      </c>
      <c r="M357">
        <v>2368</v>
      </c>
      <c r="N357">
        <v>24.4087837837838</v>
      </c>
    </row>
    <row r="358" spans="1:14" x14ac:dyDescent="0.25">
      <c r="A358">
        <f t="shared" si="35"/>
        <v>46</v>
      </c>
      <c r="B358">
        <f t="shared" si="36"/>
        <v>976</v>
      </c>
      <c r="C358">
        <v>97</v>
      </c>
      <c r="D358">
        <f>VLOOKUP(C358,'Store Database'!A:C,2,FALSE)</f>
        <v>4</v>
      </c>
      <c r="E358" t="str">
        <f>VLOOKUP(D358,'Store Database'!$B$3:$C$100,2,FALSE)</f>
        <v>South</v>
      </c>
      <c r="F358">
        <v>6</v>
      </c>
      <c r="G358" s="55" t="s">
        <v>299</v>
      </c>
      <c r="H358">
        <v>122506.28</v>
      </c>
      <c r="I358">
        <v>132352.54999999999</v>
      </c>
      <c r="J358">
        <v>-9846.27</v>
      </c>
      <c r="K358">
        <v>-7.4394259876368096</v>
      </c>
      <c r="L358">
        <v>1771</v>
      </c>
      <c r="M358">
        <v>2052</v>
      </c>
      <c r="N358">
        <v>-13.693957115009701</v>
      </c>
    </row>
    <row r="359" spans="1:14" x14ac:dyDescent="0.25">
      <c r="A359">
        <f t="shared" si="35"/>
        <v>47</v>
      </c>
      <c r="B359">
        <f t="shared" si="36"/>
        <v>977</v>
      </c>
      <c r="C359">
        <v>97</v>
      </c>
      <c r="D359">
        <f>VLOOKUP(C359,'Store Database'!A:C,2,FALSE)</f>
        <v>4</v>
      </c>
      <c r="E359" t="str">
        <f>VLOOKUP(D359,'Store Database'!$B$3:$C$100,2,FALSE)</f>
        <v>South</v>
      </c>
      <c r="F359">
        <v>7</v>
      </c>
      <c r="G359" s="55" t="s">
        <v>300</v>
      </c>
      <c r="H359">
        <v>59167.92</v>
      </c>
      <c r="I359">
        <v>60873.31</v>
      </c>
      <c r="J359">
        <v>-1705.39</v>
      </c>
      <c r="K359">
        <v>-2.80153978812718</v>
      </c>
      <c r="L359">
        <v>2394</v>
      </c>
      <c r="M359">
        <v>1979</v>
      </c>
      <c r="N359">
        <v>20.970186963112699</v>
      </c>
    </row>
    <row r="360" spans="1:14" x14ac:dyDescent="0.25">
      <c r="A360">
        <f t="shared" si="35"/>
        <v>48</v>
      </c>
      <c r="B360">
        <f t="shared" si="36"/>
        <v>978</v>
      </c>
      <c r="C360">
        <v>97</v>
      </c>
      <c r="D360">
        <f>VLOOKUP(C360,'Store Database'!A:C,2,FALSE)</f>
        <v>4</v>
      </c>
      <c r="E360" t="str">
        <f>VLOOKUP(D360,'Store Database'!$B$3:$C$100,2,FALSE)</f>
        <v>South</v>
      </c>
      <c r="F360">
        <v>8</v>
      </c>
      <c r="G360" s="55" t="s">
        <v>301</v>
      </c>
      <c r="H360">
        <v>78531</v>
      </c>
      <c r="I360">
        <v>97882.51</v>
      </c>
      <c r="J360">
        <v>-19351.509999999998</v>
      </c>
      <c r="K360">
        <v>-19.77014075344</v>
      </c>
      <c r="L360">
        <v>2156</v>
      </c>
      <c r="M360">
        <v>1761</v>
      </c>
      <c r="N360">
        <v>22.4304372515616</v>
      </c>
    </row>
    <row r="361" spans="1:14" x14ac:dyDescent="0.25">
      <c r="A361">
        <f t="shared" si="35"/>
        <v>49</v>
      </c>
      <c r="B361">
        <f t="shared" si="36"/>
        <v>979</v>
      </c>
      <c r="C361">
        <v>97</v>
      </c>
      <c r="D361">
        <f>VLOOKUP(C361,'Store Database'!A:C,2,FALSE)</f>
        <v>4</v>
      </c>
      <c r="E361" t="str">
        <f>VLOOKUP(D361,'Store Database'!$B$3:$C$100,2,FALSE)</f>
        <v>South</v>
      </c>
      <c r="F361">
        <v>9</v>
      </c>
      <c r="G361" s="55" t="s">
        <v>302</v>
      </c>
      <c r="H361">
        <v>20231.75</v>
      </c>
      <c r="I361">
        <v>23338.46</v>
      </c>
      <c r="J361">
        <v>-3106.71</v>
      </c>
      <c r="K361">
        <v>-13.3115466915983</v>
      </c>
      <c r="L361">
        <v>4646</v>
      </c>
      <c r="M361">
        <v>2353</v>
      </c>
      <c r="N361">
        <v>97.450063748406308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6263-8183-41CE-A014-61A1E6FC1CD3}">
  <dimension ref="A3:B8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8.5703125" bestFit="1" customWidth="1"/>
    <col min="3" max="4" width="10.5703125" bestFit="1" customWidth="1"/>
    <col min="5" max="6" width="11.28515625" bestFit="1" customWidth="1"/>
    <col min="7" max="41" width="3" bestFit="1" customWidth="1"/>
    <col min="42" max="42" width="7.28515625" bestFit="1" customWidth="1"/>
    <col min="43" max="43" width="11.28515625" bestFit="1" customWidth="1"/>
  </cols>
  <sheetData>
    <row r="3" spans="1:2" x14ac:dyDescent="0.25">
      <c r="A3" s="89" t="s">
        <v>347</v>
      </c>
      <c r="B3" t="s">
        <v>348</v>
      </c>
    </row>
    <row r="4" spans="1:2" x14ac:dyDescent="0.25">
      <c r="A4" s="55" t="s">
        <v>326</v>
      </c>
      <c r="B4" s="84"/>
    </row>
    <row r="5" spans="1:2" x14ac:dyDescent="0.25">
      <c r="A5" s="92">
        <v>0.41666666666666669</v>
      </c>
      <c r="B5" s="84">
        <v>2</v>
      </c>
    </row>
    <row r="6" spans="1:2" x14ac:dyDescent="0.25">
      <c r="A6" s="92">
        <v>0.45833333333333331</v>
      </c>
      <c r="B6" s="84">
        <v>6</v>
      </c>
    </row>
    <row r="7" spans="1:2" x14ac:dyDescent="0.25">
      <c r="A7" s="92">
        <v>0.5</v>
      </c>
      <c r="B7" s="84">
        <v>32</v>
      </c>
    </row>
    <row r="8" spans="1:2" x14ac:dyDescent="0.25">
      <c r="A8" s="55" t="s">
        <v>343</v>
      </c>
      <c r="B8" s="84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B3A1-AFF6-4AE3-B09A-E47CF24AE268}">
  <dimension ref="A1:CH91"/>
  <sheetViews>
    <sheetView topLeftCell="A49" workbookViewId="0">
      <selection activeCell="B49" sqref="B49:J90"/>
    </sheetView>
  </sheetViews>
  <sheetFormatPr defaultRowHeight="15" x14ac:dyDescent="0.25"/>
  <cols>
    <col min="3" max="3" width="11.5703125" bestFit="1" customWidth="1"/>
    <col min="4" max="4" width="10.42578125" bestFit="1" customWidth="1"/>
    <col min="5" max="5" width="11.5703125" bestFit="1" customWidth="1"/>
    <col min="6" max="6" width="10.42578125" bestFit="1" customWidth="1"/>
    <col min="7" max="7" width="11.5703125" bestFit="1" customWidth="1"/>
    <col min="8" max="8" width="10.42578125" bestFit="1" customWidth="1"/>
    <col min="9" max="9" width="11.5703125" bestFit="1" customWidth="1"/>
    <col min="10" max="10" width="10.42578125" bestFit="1" customWidth="1"/>
  </cols>
  <sheetData>
    <row r="1" spans="1:86" ht="21" x14ac:dyDescent="0.25">
      <c r="B1" s="80" t="s">
        <v>317</v>
      </c>
    </row>
    <row r="3" spans="1:86" x14ac:dyDescent="0.25">
      <c r="A3" s="83" t="s">
        <v>318</v>
      </c>
      <c r="B3" s="88" t="s">
        <v>0</v>
      </c>
    </row>
    <row r="4" spans="1:86" x14ac:dyDescent="0.25">
      <c r="A4" s="83"/>
      <c r="B4" s="88"/>
      <c r="C4" s="106" t="s">
        <v>319</v>
      </c>
      <c r="D4" s="106"/>
      <c r="E4" s="106" t="s">
        <v>320</v>
      </c>
      <c r="F4" s="106"/>
      <c r="G4" s="106" t="s">
        <v>321</v>
      </c>
      <c r="H4" s="106"/>
      <c r="I4" s="106" t="s">
        <v>322</v>
      </c>
      <c r="J4" s="106"/>
      <c r="K4" s="106" t="s">
        <v>323</v>
      </c>
      <c r="L4" s="106"/>
      <c r="M4" s="106" t="s">
        <v>324</v>
      </c>
      <c r="N4" s="106"/>
      <c r="O4" s="106" t="s">
        <v>325</v>
      </c>
      <c r="P4" s="106"/>
      <c r="Q4" s="106" t="s">
        <v>319</v>
      </c>
      <c r="R4" s="106"/>
      <c r="S4" s="106" t="s">
        <v>320</v>
      </c>
      <c r="T4" s="106"/>
      <c r="U4" s="106" t="s">
        <v>321</v>
      </c>
      <c r="V4" s="106"/>
      <c r="W4" s="106" t="s">
        <v>322</v>
      </c>
      <c r="X4" s="106"/>
      <c r="Y4" s="106" t="s">
        <v>323</v>
      </c>
      <c r="Z4" s="106"/>
      <c r="AA4" s="106" t="s">
        <v>324</v>
      </c>
      <c r="AB4" s="106"/>
      <c r="AC4" s="106" t="s">
        <v>325</v>
      </c>
      <c r="AD4" s="106"/>
      <c r="AE4" s="106" t="s">
        <v>319</v>
      </c>
      <c r="AF4" s="106"/>
      <c r="AG4" s="106" t="s">
        <v>320</v>
      </c>
      <c r="AH4" s="106"/>
      <c r="AI4" s="106" t="s">
        <v>321</v>
      </c>
      <c r="AJ4" s="106"/>
      <c r="AK4" s="106" t="s">
        <v>322</v>
      </c>
      <c r="AL4" s="106"/>
      <c r="AM4" s="106" t="s">
        <v>323</v>
      </c>
      <c r="AN4" s="106"/>
      <c r="AO4" s="106" t="s">
        <v>324</v>
      </c>
      <c r="AP4" s="106"/>
      <c r="AQ4" s="106" t="s">
        <v>325</v>
      </c>
      <c r="AR4" s="106"/>
      <c r="AS4" s="106" t="s">
        <v>319</v>
      </c>
      <c r="AT4" s="106"/>
      <c r="AU4" s="106" t="s">
        <v>320</v>
      </c>
      <c r="AV4" s="106"/>
      <c r="AW4" s="106" t="s">
        <v>321</v>
      </c>
      <c r="AX4" s="106"/>
      <c r="AY4" s="106" t="s">
        <v>322</v>
      </c>
      <c r="AZ4" s="106"/>
      <c r="BA4" s="106" t="s">
        <v>323</v>
      </c>
      <c r="BB4" s="106"/>
      <c r="BC4" s="106" t="s">
        <v>324</v>
      </c>
      <c r="BD4" s="106"/>
      <c r="BE4" s="106" t="s">
        <v>325</v>
      </c>
      <c r="BF4" s="106"/>
      <c r="BG4" s="106" t="s">
        <v>319</v>
      </c>
      <c r="BH4" s="106"/>
      <c r="BI4" s="106" t="s">
        <v>320</v>
      </c>
      <c r="BJ4" s="106"/>
      <c r="BK4" s="106" t="s">
        <v>321</v>
      </c>
      <c r="BL4" s="106"/>
      <c r="BM4" s="106" t="s">
        <v>322</v>
      </c>
      <c r="BN4" s="106"/>
      <c r="BO4" s="106" t="s">
        <v>323</v>
      </c>
      <c r="BP4" s="106"/>
      <c r="BQ4" s="106" t="s">
        <v>324</v>
      </c>
      <c r="BR4" s="106"/>
      <c r="BS4" s="106" t="s">
        <v>325</v>
      </c>
      <c r="BT4" s="106"/>
      <c r="BU4" s="106" t="s">
        <v>319</v>
      </c>
      <c r="BV4" s="106"/>
      <c r="BW4" s="106" t="s">
        <v>320</v>
      </c>
      <c r="BX4" s="106"/>
      <c r="BY4" s="106" t="s">
        <v>321</v>
      </c>
      <c r="BZ4" s="106"/>
      <c r="CA4" s="106" t="s">
        <v>322</v>
      </c>
      <c r="CB4" s="106"/>
      <c r="CC4" s="106" t="s">
        <v>323</v>
      </c>
      <c r="CD4" s="106"/>
      <c r="CE4" s="106" t="s">
        <v>324</v>
      </c>
      <c r="CF4" s="106"/>
      <c r="CG4" s="106" t="s">
        <v>325</v>
      </c>
      <c r="CH4" s="106"/>
    </row>
    <row r="5" spans="1:86" ht="25.5" x14ac:dyDescent="0.25">
      <c r="A5" s="83" t="s">
        <v>304</v>
      </c>
      <c r="B5" s="83" t="s">
        <v>304</v>
      </c>
      <c r="C5" s="81" t="s">
        <v>326</v>
      </c>
      <c r="D5" s="81" t="s">
        <v>327</v>
      </c>
      <c r="E5" s="81" t="s">
        <v>326</v>
      </c>
      <c r="F5" s="81" t="s">
        <v>327</v>
      </c>
      <c r="G5" s="81" t="s">
        <v>326</v>
      </c>
      <c r="H5" s="81" t="s">
        <v>327</v>
      </c>
      <c r="I5" s="81" t="s">
        <v>326</v>
      </c>
      <c r="J5" s="81" t="s">
        <v>327</v>
      </c>
      <c r="K5" s="81" t="s">
        <v>326</v>
      </c>
      <c r="L5" s="81" t="s">
        <v>327</v>
      </c>
      <c r="M5" s="81" t="s">
        <v>326</v>
      </c>
      <c r="N5" s="81" t="s">
        <v>327</v>
      </c>
      <c r="O5" s="81" t="s">
        <v>326</v>
      </c>
      <c r="P5" s="81" t="s">
        <v>327</v>
      </c>
      <c r="Q5" s="81" t="s">
        <v>326</v>
      </c>
      <c r="R5" s="81" t="s">
        <v>327</v>
      </c>
      <c r="S5" s="81" t="s">
        <v>326</v>
      </c>
      <c r="T5" s="81" t="s">
        <v>327</v>
      </c>
      <c r="U5" s="81" t="s">
        <v>326</v>
      </c>
      <c r="V5" s="81" t="s">
        <v>327</v>
      </c>
      <c r="W5" s="81" t="s">
        <v>326</v>
      </c>
      <c r="X5" s="81" t="s">
        <v>327</v>
      </c>
      <c r="Y5" s="81" t="s">
        <v>326</v>
      </c>
      <c r="Z5" s="81" t="s">
        <v>327</v>
      </c>
      <c r="AA5" s="81" t="s">
        <v>326</v>
      </c>
      <c r="AB5" s="81" t="s">
        <v>327</v>
      </c>
      <c r="AC5" s="81" t="s">
        <v>326</v>
      </c>
      <c r="AD5" s="81" t="s">
        <v>327</v>
      </c>
      <c r="AE5" s="81" t="s">
        <v>326</v>
      </c>
      <c r="AF5" s="81" t="s">
        <v>327</v>
      </c>
      <c r="AG5" s="81" t="s">
        <v>326</v>
      </c>
      <c r="AH5" s="81" t="s">
        <v>327</v>
      </c>
      <c r="AI5" s="81" t="s">
        <v>326</v>
      </c>
      <c r="AJ5" s="81" t="s">
        <v>327</v>
      </c>
      <c r="AK5" s="81" t="s">
        <v>326</v>
      </c>
      <c r="AL5" s="81" t="s">
        <v>327</v>
      </c>
      <c r="AM5" s="81" t="s">
        <v>326</v>
      </c>
      <c r="AN5" s="81" t="s">
        <v>327</v>
      </c>
      <c r="AO5" s="81" t="s">
        <v>326</v>
      </c>
      <c r="AP5" s="81" t="s">
        <v>327</v>
      </c>
      <c r="AQ5" s="81" t="s">
        <v>326</v>
      </c>
      <c r="AR5" s="81" t="s">
        <v>327</v>
      </c>
      <c r="AS5" s="81" t="s">
        <v>326</v>
      </c>
      <c r="AT5" s="81" t="s">
        <v>327</v>
      </c>
      <c r="AU5" s="81" t="s">
        <v>326</v>
      </c>
      <c r="AV5" s="81" t="s">
        <v>327</v>
      </c>
      <c r="AW5" s="81" t="s">
        <v>326</v>
      </c>
      <c r="AX5" s="81" t="s">
        <v>327</v>
      </c>
      <c r="AY5" s="81" t="s">
        <v>326</v>
      </c>
      <c r="AZ5" s="81" t="s">
        <v>327</v>
      </c>
      <c r="BA5" s="81" t="s">
        <v>326</v>
      </c>
      <c r="BB5" s="81" t="s">
        <v>327</v>
      </c>
      <c r="BC5" s="81" t="s">
        <v>326</v>
      </c>
      <c r="BD5" s="81" t="s">
        <v>327</v>
      </c>
      <c r="BE5" s="81" t="s">
        <v>326</v>
      </c>
      <c r="BF5" s="81" t="s">
        <v>327</v>
      </c>
      <c r="BG5" s="81" t="s">
        <v>326</v>
      </c>
      <c r="BH5" s="81" t="s">
        <v>327</v>
      </c>
      <c r="BI5" s="81" t="s">
        <v>326</v>
      </c>
      <c r="BJ5" s="81" t="s">
        <v>327</v>
      </c>
      <c r="BK5" s="81" t="s">
        <v>326</v>
      </c>
      <c r="BL5" s="81" t="s">
        <v>327</v>
      </c>
      <c r="BM5" s="81" t="s">
        <v>326</v>
      </c>
      <c r="BN5" s="81" t="s">
        <v>327</v>
      </c>
      <c r="BO5" s="81" t="s">
        <v>326</v>
      </c>
      <c r="BP5" s="81" t="s">
        <v>327</v>
      </c>
      <c r="BQ5" s="81" t="s">
        <v>326</v>
      </c>
      <c r="BR5" s="81" t="s">
        <v>327</v>
      </c>
      <c r="BS5" s="81" t="s">
        <v>326</v>
      </c>
      <c r="BT5" s="81" t="s">
        <v>327</v>
      </c>
      <c r="BU5" s="81" t="s">
        <v>326</v>
      </c>
      <c r="BV5" s="81" t="s">
        <v>327</v>
      </c>
      <c r="BW5" s="81" t="s">
        <v>326</v>
      </c>
      <c r="BX5" s="81" t="s">
        <v>327</v>
      </c>
      <c r="BY5" s="81" t="s">
        <v>326</v>
      </c>
      <c r="BZ5" s="81" t="s">
        <v>327</v>
      </c>
      <c r="CA5" s="81" t="s">
        <v>326</v>
      </c>
      <c r="CB5" s="81" t="s">
        <v>327</v>
      </c>
      <c r="CC5" s="81" t="s">
        <v>326</v>
      </c>
      <c r="CD5" s="81" t="s">
        <v>327</v>
      </c>
      <c r="CE5" s="81" t="s">
        <v>326</v>
      </c>
      <c r="CF5" s="81" t="s">
        <v>327</v>
      </c>
      <c r="CG5" s="81" t="s">
        <v>326</v>
      </c>
      <c r="CH5" s="81" t="s">
        <v>327</v>
      </c>
    </row>
    <row r="6" spans="1:86" x14ac:dyDescent="0.25">
      <c r="A6" t="s">
        <v>231</v>
      </c>
      <c r="B6" t="s">
        <v>316</v>
      </c>
      <c r="C6" s="82">
        <v>45620</v>
      </c>
      <c r="D6" s="82">
        <v>45620</v>
      </c>
      <c r="E6" s="82">
        <v>45621</v>
      </c>
      <c r="F6" s="82">
        <v>45621</v>
      </c>
      <c r="G6" s="82">
        <v>45622</v>
      </c>
      <c r="H6" s="82">
        <v>45622</v>
      </c>
      <c r="I6" s="82">
        <v>45623</v>
      </c>
      <c r="J6" s="82">
        <v>45623</v>
      </c>
      <c r="K6" s="82">
        <v>45624</v>
      </c>
      <c r="L6" s="82">
        <v>45624</v>
      </c>
      <c r="M6" s="82">
        <v>45625</v>
      </c>
      <c r="N6" s="82">
        <v>45625</v>
      </c>
      <c r="O6" s="82">
        <v>45626</v>
      </c>
      <c r="P6" s="82">
        <v>45626</v>
      </c>
      <c r="Q6" s="82">
        <v>45627</v>
      </c>
      <c r="R6" s="82">
        <v>45627</v>
      </c>
      <c r="S6" s="82">
        <v>45628</v>
      </c>
      <c r="T6" s="82">
        <v>45628</v>
      </c>
      <c r="U6" s="82">
        <v>45629</v>
      </c>
      <c r="V6" s="82">
        <v>45629</v>
      </c>
      <c r="W6" s="82">
        <v>45630</v>
      </c>
      <c r="X6" s="82">
        <v>45630</v>
      </c>
      <c r="Y6" s="82">
        <v>45631</v>
      </c>
      <c r="Z6" s="82">
        <v>45631</v>
      </c>
      <c r="AA6" s="82">
        <v>45632</v>
      </c>
      <c r="AB6" s="82">
        <v>45632</v>
      </c>
      <c r="AC6" s="82">
        <v>45633</v>
      </c>
      <c r="AD6" s="82">
        <v>45633</v>
      </c>
      <c r="AE6" s="82">
        <v>45634</v>
      </c>
      <c r="AF6" s="82">
        <v>45634</v>
      </c>
      <c r="AG6" s="82">
        <v>45635</v>
      </c>
      <c r="AH6" s="82">
        <v>45635</v>
      </c>
      <c r="AI6" s="82">
        <v>45636</v>
      </c>
      <c r="AJ6" s="82">
        <v>45636</v>
      </c>
      <c r="AK6" s="82">
        <v>45637</v>
      </c>
      <c r="AL6" s="82">
        <v>45637</v>
      </c>
      <c r="AM6" s="82">
        <v>45638</v>
      </c>
      <c r="AN6" s="82">
        <v>45638</v>
      </c>
      <c r="AO6" s="82">
        <v>45639</v>
      </c>
      <c r="AP6" s="82">
        <v>45639</v>
      </c>
      <c r="AQ6" s="82">
        <v>45640</v>
      </c>
      <c r="AR6" s="82">
        <v>45640</v>
      </c>
      <c r="AS6" s="82">
        <v>45641</v>
      </c>
      <c r="AT6" s="82">
        <v>45641</v>
      </c>
      <c r="AU6" s="82">
        <v>45642</v>
      </c>
      <c r="AV6" s="82">
        <v>45642</v>
      </c>
      <c r="AW6" s="82">
        <v>45643</v>
      </c>
      <c r="AX6" s="82">
        <v>45643</v>
      </c>
      <c r="AY6" s="82">
        <v>45644</v>
      </c>
      <c r="AZ6" s="82">
        <v>45644</v>
      </c>
      <c r="BA6" s="82">
        <v>45645</v>
      </c>
      <c r="BB6" s="82">
        <v>45645</v>
      </c>
      <c r="BC6" s="82">
        <v>45646</v>
      </c>
      <c r="BD6" s="82">
        <v>45646</v>
      </c>
      <c r="BE6" s="82">
        <v>45647</v>
      </c>
      <c r="BF6" s="82">
        <v>45647</v>
      </c>
      <c r="BG6" s="82">
        <v>45648</v>
      </c>
      <c r="BH6" s="82">
        <v>45648</v>
      </c>
      <c r="BI6" s="82">
        <v>45649</v>
      </c>
      <c r="BJ6" s="82">
        <v>45649</v>
      </c>
      <c r="BK6" s="82">
        <v>45650</v>
      </c>
      <c r="BL6" s="82">
        <v>45650</v>
      </c>
      <c r="BM6" s="82">
        <v>45651</v>
      </c>
      <c r="BN6" s="82">
        <v>45651</v>
      </c>
      <c r="BO6" s="82">
        <v>45652</v>
      </c>
      <c r="BP6" s="82">
        <v>45652</v>
      </c>
      <c r="BQ6" s="82">
        <v>45653</v>
      </c>
      <c r="BR6" s="82">
        <v>45653</v>
      </c>
      <c r="BS6" s="82">
        <v>45654</v>
      </c>
      <c r="BT6" s="82">
        <v>45654</v>
      </c>
      <c r="BU6" s="82">
        <v>45655</v>
      </c>
      <c r="BV6" s="82">
        <v>45655</v>
      </c>
      <c r="BW6" s="82">
        <v>45656</v>
      </c>
      <c r="BX6" s="82">
        <v>45656</v>
      </c>
      <c r="BY6" s="82">
        <v>45657</v>
      </c>
      <c r="BZ6" s="82">
        <v>45657</v>
      </c>
      <c r="CA6" s="82">
        <v>45658</v>
      </c>
      <c r="CB6" s="82">
        <v>45658</v>
      </c>
      <c r="CC6" s="82">
        <v>45659</v>
      </c>
      <c r="CD6" s="82">
        <v>45659</v>
      </c>
      <c r="CE6" s="82">
        <v>45660</v>
      </c>
      <c r="CF6" s="82">
        <v>45660</v>
      </c>
      <c r="CG6" s="82">
        <v>45661</v>
      </c>
      <c r="CH6" s="82">
        <v>45661</v>
      </c>
    </row>
    <row r="7" spans="1:86" x14ac:dyDescent="0.25">
      <c r="A7">
        <v>18</v>
      </c>
      <c r="B7">
        <v>23</v>
      </c>
      <c r="C7" s="91" t="s">
        <v>328</v>
      </c>
      <c r="D7" s="87" t="s">
        <v>329</v>
      </c>
      <c r="E7" s="87" t="s">
        <v>330</v>
      </c>
      <c r="F7" s="87" t="s">
        <v>331</v>
      </c>
      <c r="G7" s="87" t="s">
        <v>330</v>
      </c>
      <c r="H7" s="87" t="s">
        <v>331</v>
      </c>
      <c r="I7" s="87" t="s">
        <v>330</v>
      </c>
      <c r="J7" s="87" t="s">
        <v>331</v>
      </c>
      <c r="K7" s="87" t="s">
        <v>332</v>
      </c>
      <c r="L7" s="87" t="s">
        <v>332</v>
      </c>
      <c r="M7" s="87" t="s">
        <v>333</v>
      </c>
      <c r="N7" s="87" t="s">
        <v>331</v>
      </c>
      <c r="O7" s="87" t="s">
        <v>330</v>
      </c>
      <c r="P7" s="87" t="s">
        <v>331</v>
      </c>
      <c r="Q7" s="87" t="s">
        <v>328</v>
      </c>
      <c r="R7" s="87" t="s">
        <v>329</v>
      </c>
      <c r="S7" s="87" t="s">
        <v>330</v>
      </c>
      <c r="T7" s="87" t="s">
        <v>331</v>
      </c>
      <c r="U7" s="87" t="s">
        <v>330</v>
      </c>
      <c r="V7" s="87" t="s">
        <v>331</v>
      </c>
      <c r="W7" s="87" t="s">
        <v>330</v>
      </c>
      <c r="X7" s="87" t="s">
        <v>331</v>
      </c>
      <c r="Y7" s="87" t="s">
        <v>330</v>
      </c>
      <c r="Z7" s="87" t="s">
        <v>331</v>
      </c>
      <c r="AA7" s="87" t="s">
        <v>330</v>
      </c>
      <c r="AB7" s="87" t="s">
        <v>331</v>
      </c>
      <c r="AC7" s="87" t="s">
        <v>330</v>
      </c>
      <c r="AD7" s="87" t="s">
        <v>331</v>
      </c>
      <c r="AE7" s="87" t="s">
        <v>328</v>
      </c>
      <c r="AF7" s="87" t="s">
        <v>329</v>
      </c>
      <c r="AG7" s="87" t="s">
        <v>330</v>
      </c>
      <c r="AH7" s="87" t="s">
        <v>331</v>
      </c>
      <c r="AI7" s="87" t="s">
        <v>330</v>
      </c>
      <c r="AJ7" s="87" t="s">
        <v>331</v>
      </c>
      <c r="AK7" s="87" t="s">
        <v>330</v>
      </c>
      <c r="AL7" s="87" t="s">
        <v>331</v>
      </c>
      <c r="AM7" s="87" t="s">
        <v>330</v>
      </c>
      <c r="AN7" s="87" t="s">
        <v>331</v>
      </c>
      <c r="AO7" s="87" t="s">
        <v>330</v>
      </c>
      <c r="AP7" s="87" t="s">
        <v>331</v>
      </c>
      <c r="AQ7" s="87" t="s">
        <v>334</v>
      </c>
      <c r="AR7" s="87" t="s">
        <v>331</v>
      </c>
      <c r="AS7" s="87" t="s">
        <v>328</v>
      </c>
      <c r="AT7" s="87" t="s">
        <v>329</v>
      </c>
      <c r="AU7" s="87" t="s">
        <v>330</v>
      </c>
      <c r="AV7" s="87" t="s">
        <v>331</v>
      </c>
      <c r="AW7" s="87" t="s">
        <v>330</v>
      </c>
      <c r="AX7" s="87" t="s">
        <v>331</v>
      </c>
      <c r="AY7" s="87" t="s">
        <v>330</v>
      </c>
      <c r="AZ7" s="87" t="s">
        <v>331</v>
      </c>
      <c r="BA7" s="87" t="s">
        <v>330</v>
      </c>
      <c r="BB7" s="87" t="s">
        <v>331</v>
      </c>
      <c r="BC7" s="87" t="s">
        <v>330</v>
      </c>
      <c r="BD7" s="87" t="s">
        <v>331</v>
      </c>
      <c r="BE7" s="87" t="s">
        <v>334</v>
      </c>
      <c r="BF7" s="87" t="s">
        <v>331</v>
      </c>
      <c r="BG7" s="87" t="s">
        <v>330</v>
      </c>
      <c r="BH7" s="87" t="s">
        <v>329</v>
      </c>
      <c r="BI7" s="87" t="s">
        <v>334</v>
      </c>
      <c r="BJ7" s="87" t="s">
        <v>331</v>
      </c>
      <c r="BK7" s="87" t="s">
        <v>334</v>
      </c>
      <c r="BL7" s="87" t="s">
        <v>329</v>
      </c>
      <c r="BM7" s="87" t="s">
        <v>332</v>
      </c>
      <c r="BN7" s="87" t="s">
        <v>332</v>
      </c>
      <c r="BO7" s="87" t="s">
        <v>334</v>
      </c>
      <c r="BP7" s="87" t="s">
        <v>331</v>
      </c>
      <c r="BQ7" s="87" t="s">
        <v>330</v>
      </c>
      <c r="BR7" s="87" t="s">
        <v>331</v>
      </c>
      <c r="BS7" s="87" t="s">
        <v>330</v>
      </c>
      <c r="BT7" s="87" t="s">
        <v>331</v>
      </c>
      <c r="BU7" s="87" t="s">
        <v>328</v>
      </c>
      <c r="BV7" s="87" t="s">
        <v>329</v>
      </c>
      <c r="BW7" s="87" t="s">
        <v>330</v>
      </c>
      <c r="BX7" s="87" t="s">
        <v>331</v>
      </c>
      <c r="BY7" s="87" t="s">
        <v>330</v>
      </c>
      <c r="BZ7" s="87" t="s">
        <v>329</v>
      </c>
      <c r="CA7" s="87" t="s">
        <v>330</v>
      </c>
      <c r="CB7" s="87" t="s">
        <v>329</v>
      </c>
      <c r="CC7" s="87" t="s">
        <v>330</v>
      </c>
      <c r="CD7" s="87" t="s">
        <v>331</v>
      </c>
      <c r="CE7" s="87" t="s">
        <v>330</v>
      </c>
      <c r="CF7" s="87" t="s">
        <v>331</v>
      </c>
      <c r="CG7" s="87" t="s">
        <v>330</v>
      </c>
      <c r="CH7" s="87" t="s">
        <v>331</v>
      </c>
    </row>
    <row r="8" spans="1:86" x14ac:dyDescent="0.25">
      <c r="A8">
        <v>15</v>
      </c>
      <c r="B8">
        <v>20</v>
      </c>
      <c r="C8" s="87" t="s">
        <v>328</v>
      </c>
      <c r="D8" s="87" t="s">
        <v>329</v>
      </c>
      <c r="E8" s="87" t="s">
        <v>335</v>
      </c>
      <c r="F8" s="87" t="s">
        <v>336</v>
      </c>
      <c r="G8" s="87" t="s">
        <v>335</v>
      </c>
      <c r="H8" s="87" t="s">
        <v>336</v>
      </c>
      <c r="I8" s="87" t="s">
        <v>335</v>
      </c>
      <c r="J8" s="87" t="s">
        <v>336</v>
      </c>
      <c r="K8" s="87" t="s">
        <v>332</v>
      </c>
      <c r="L8" s="87" t="s">
        <v>332</v>
      </c>
      <c r="M8" s="87" t="s">
        <v>337</v>
      </c>
      <c r="N8" s="87" t="s">
        <v>331</v>
      </c>
      <c r="O8" s="87" t="s">
        <v>330</v>
      </c>
      <c r="P8" s="87" t="s">
        <v>336</v>
      </c>
      <c r="Q8" s="87" t="s">
        <v>328</v>
      </c>
      <c r="R8" s="87" t="s">
        <v>329</v>
      </c>
      <c r="S8" s="87" t="s">
        <v>330</v>
      </c>
      <c r="T8" s="87" t="s">
        <v>336</v>
      </c>
      <c r="U8" s="87" t="s">
        <v>330</v>
      </c>
      <c r="V8" s="87" t="s">
        <v>336</v>
      </c>
      <c r="W8" s="87" t="s">
        <v>330</v>
      </c>
      <c r="X8" s="87" t="s">
        <v>336</v>
      </c>
      <c r="Y8" s="87" t="s">
        <v>330</v>
      </c>
      <c r="Z8" s="87" t="s">
        <v>336</v>
      </c>
      <c r="AA8" s="87" t="s">
        <v>330</v>
      </c>
      <c r="AB8" s="87" t="s">
        <v>336</v>
      </c>
      <c r="AC8" s="87" t="s">
        <v>330</v>
      </c>
      <c r="AD8" s="87" t="s">
        <v>336</v>
      </c>
      <c r="AE8" s="87" t="s">
        <v>335</v>
      </c>
      <c r="AF8" s="87" t="s">
        <v>338</v>
      </c>
      <c r="AG8" s="87" t="s">
        <v>330</v>
      </c>
      <c r="AH8" s="87" t="s">
        <v>336</v>
      </c>
      <c r="AI8" s="87" t="s">
        <v>330</v>
      </c>
      <c r="AJ8" s="87" t="s">
        <v>336</v>
      </c>
      <c r="AK8" s="87" t="s">
        <v>330</v>
      </c>
      <c r="AL8" s="87" t="s">
        <v>336</v>
      </c>
      <c r="AM8" s="87" t="s">
        <v>330</v>
      </c>
      <c r="AN8" s="87" t="s">
        <v>336</v>
      </c>
      <c r="AO8" s="87" t="s">
        <v>330</v>
      </c>
      <c r="AP8" s="87" t="s">
        <v>336</v>
      </c>
      <c r="AQ8" s="87" t="s">
        <v>334</v>
      </c>
      <c r="AR8" s="87" t="s">
        <v>336</v>
      </c>
      <c r="AS8" s="87" t="s">
        <v>335</v>
      </c>
      <c r="AT8" s="87" t="s">
        <v>338</v>
      </c>
      <c r="AU8" s="87" t="s">
        <v>334</v>
      </c>
      <c r="AV8" s="87" t="s">
        <v>331</v>
      </c>
      <c r="AW8" s="87" t="s">
        <v>334</v>
      </c>
      <c r="AX8" s="87" t="s">
        <v>331</v>
      </c>
      <c r="AY8" s="87" t="s">
        <v>334</v>
      </c>
      <c r="AZ8" s="87" t="s">
        <v>331</v>
      </c>
      <c r="BA8" s="87" t="s">
        <v>334</v>
      </c>
      <c r="BB8" s="87" t="s">
        <v>331</v>
      </c>
      <c r="BC8" s="87" t="s">
        <v>334</v>
      </c>
      <c r="BD8" s="87" t="s">
        <v>331</v>
      </c>
      <c r="BE8" s="87" t="s">
        <v>334</v>
      </c>
      <c r="BF8" s="87" t="s">
        <v>331</v>
      </c>
      <c r="BG8" s="87" t="s">
        <v>335</v>
      </c>
      <c r="BH8" s="87" t="s">
        <v>338</v>
      </c>
      <c r="BI8" s="87" t="s">
        <v>334</v>
      </c>
      <c r="BJ8" s="87" t="s">
        <v>331</v>
      </c>
      <c r="BK8" s="87" t="s">
        <v>334</v>
      </c>
      <c r="BL8" s="87" t="s">
        <v>339</v>
      </c>
      <c r="BM8" s="87" t="s">
        <v>332</v>
      </c>
      <c r="BN8" s="87" t="s">
        <v>332</v>
      </c>
      <c r="BO8" s="87" t="s">
        <v>335</v>
      </c>
      <c r="BP8" s="87" t="s">
        <v>336</v>
      </c>
      <c r="BQ8" s="87" t="s">
        <v>335</v>
      </c>
      <c r="BR8" s="87" t="s">
        <v>336</v>
      </c>
      <c r="BS8" s="87" t="s">
        <v>335</v>
      </c>
      <c r="BT8" s="87" t="s">
        <v>336</v>
      </c>
      <c r="BU8" s="87" t="s">
        <v>328</v>
      </c>
      <c r="BV8" s="87" t="s">
        <v>329</v>
      </c>
      <c r="BW8" s="87" t="s">
        <v>335</v>
      </c>
      <c r="BX8" s="87" t="s">
        <v>336</v>
      </c>
      <c r="BY8" s="87" t="s">
        <v>330</v>
      </c>
      <c r="BZ8" s="87" t="s">
        <v>329</v>
      </c>
      <c r="CA8" s="87" t="s">
        <v>330</v>
      </c>
      <c r="CB8" s="87" t="s">
        <v>329</v>
      </c>
      <c r="CC8" s="87" t="s">
        <v>335</v>
      </c>
      <c r="CD8" s="87" t="s">
        <v>336</v>
      </c>
      <c r="CE8" s="87" t="s">
        <v>335</v>
      </c>
      <c r="CF8" s="87" t="s">
        <v>336</v>
      </c>
      <c r="CG8" s="87" t="s">
        <v>335</v>
      </c>
      <c r="CH8" s="87" t="s">
        <v>336</v>
      </c>
    </row>
    <row r="9" spans="1:86" x14ac:dyDescent="0.25">
      <c r="A9">
        <v>17</v>
      </c>
      <c r="B9">
        <v>22</v>
      </c>
      <c r="C9" s="87" t="s">
        <v>328</v>
      </c>
      <c r="D9" s="87" t="s">
        <v>329</v>
      </c>
      <c r="E9" s="87" t="s">
        <v>335</v>
      </c>
      <c r="F9" s="87" t="s">
        <v>336</v>
      </c>
      <c r="G9" s="87" t="s">
        <v>335</v>
      </c>
      <c r="H9" s="87" t="s">
        <v>336</v>
      </c>
      <c r="I9" s="87" t="s">
        <v>335</v>
      </c>
      <c r="J9" s="87" t="s">
        <v>336</v>
      </c>
      <c r="K9" s="87" t="s">
        <v>332</v>
      </c>
      <c r="L9" s="87" t="s">
        <v>332</v>
      </c>
      <c r="M9" s="87" t="s">
        <v>337</v>
      </c>
      <c r="N9" s="87" t="s">
        <v>331</v>
      </c>
      <c r="O9" s="87" t="s">
        <v>330</v>
      </c>
      <c r="P9" s="87" t="s">
        <v>331</v>
      </c>
      <c r="Q9" s="87" t="s">
        <v>328</v>
      </c>
      <c r="R9" s="87" t="s">
        <v>329</v>
      </c>
      <c r="S9" s="87" t="s">
        <v>330</v>
      </c>
      <c r="T9" s="87" t="s">
        <v>336</v>
      </c>
      <c r="U9" s="87" t="s">
        <v>330</v>
      </c>
      <c r="V9" s="87" t="s">
        <v>336</v>
      </c>
      <c r="W9" s="87" t="s">
        <v>330</v>
      </c>
      <c r="X9" s="87" t="s">
        <v>336</v>
      </c>
      <c r="Y9" s="87" t="s">
        <v>330</v>
      </c>
      <c r="Z9" s="87" t="s">
        <v>336</v>
      </c>
      <c r="AA9" s="87" t="s">
        <v>330</v>
      </c>
      <c r="AB9" s="87" t="s">
        <v>331</v>
      </c>
      <c r="AC9" s="87" t="s">
        <v>330</v>
      </c>
      <c r="AD9" s="87" t="s">
        <v>331</v>
      </c>
      <c r="AE9" s="87" t="s">
        <v>328</v>
      </c>
      <c r="AF9" s="87" t="s">
        <v>329</v>
      </c>
      <c r="AG9" s="87" t="s">
        <v>335</v>
      </c>
      <c r="AH9" s="87" t="s">
        <v>336</v>
      </c>
      <c r="AI9" s="87" t="s">
        <v>335</v>
      </c>
      <c r="AJ9" s="87" t="s">
        <v>336</v>
      </c>
      <c r="AK9" s="87" t="s">
        <v>335</v>
      </c>
      <c r="AL9" s="87" t="s">
        <v>336</v>
      </c>
      <c r="AM9" s="87" t="s">
        <v>335</v>
      </c>
      <c r="AN9" s="87" t="s">
        <v>336</v>
      </c>
      <c r="AO9" s="87" t="s">
        <v>335</v>
      </c>
      <c r="AP9" s="87" t="s">
        <v>336</v>
      </c>
      <c r="AQ9" s="87" t="s">
        <v>334</v>
      </c>
      <c r="AR9" s="87" t="s">
        <v>331</v>
      </c>
      <c r="AS9" s="87" t="s">
        <v>335</v>
      </c>
      <c r="AT9" s="87" t="s">
        <v>338</v>
      </c>
      <c r="AU9" s="87" t="s">
        <v>334</v>
      </c>
      <c r="AV9" s="87" t="s">
        <v>331</v>
      </c>
      <c r="AW9" s="87" t="s">
        <v>334</v>
      </c>
      <c r="AX9" s="87" t="s">
        <v>331</v>
      </c>
      <c r="AY9" s="87" t="s">
        <v>334</v>
      </c>
      <c r="AZ9" s="87" t="s">
        <v>331</v>
      </c>
      <c r="BA9" s="87" t="s">
        <v>334</v>
      </c>
      <c r="BB9" s="87" t="s">
        <v>331</v>
      </c>
      <c r="BC9" s="87" t="s">
        <v>334</v>
      </c>
      <c r="BD9" s="87" t="s">
        <v>331</v>
      </c>
      <c r="BE9" s="87" t="s">
        <v>334</v>
      </c>
      <c r="BF9" s="87" t="s">
        <v>331</v>
      </c>
      <c r="BG9" s="87" t="s">
        <v>335</v>
      </c>
      <c r="BH9" s="87" t="s">
        <v>338</v>
      </c>
      <c r="BI9" s="87" t="s">
        <v>334</v>
      </c>
      <c r="BJ9" s="87" t="s">
        <v>331</v>
      </c>
      <c r="BK9" s="87" t="s">
        <v>334</v>
      </c>
      <c r="BL9" s="87" t="s">
        <v>339</v>
      </c>
      <c r="BM9" s="87" t="s">
        <v>332</v>
      </c>
      <c r="BN9" s="87" t="s">
        <v>332</v>
      </c>
      <c r="BO9" s="87" t="s">
        <v>330</v>
      </c>
      <c r="BP9" s="87" t="s">
        <v>336</v>
      </c>
      <c r="BQ9" s="87" t="s">
        <v>335</v>
      </c>
      <c r="BR9" s="87" t="s">
        <v>336</v>
      </c>
      <c r="BS9" s="87" t="s">
        <v>335</v>
      </c>
      <c r="BT9" s="87" t="s">
        <v>336</v>
      </c>
      <c r="BU9" s="87" t="s">
        <v>328</v>
      </c>
      <c r="BV9" s="87" t="s">
        <v>329</v>
      </c>
      <c r="BW9" s="87" t="s">
        <v>335</v>
      </c>
      <c r="BX9" s="87" t="s">
        <v>336</v>
      </c>
      <c r="BY9" s="87" t="s">
        <v>335</v>
      </c>
      <c r="BZ9" s="87" t="s">
        <v>329</v>
      </c>
      <c r="CA9" s="87" t="s">
        <v>335</v>
      </c>
      <c r="CB9" s="87" t="s">
        <v>336</v>
      </c>
      <c r="CC9" s="87" t="s">
        <v>335</v>
      </c>
      <c r="CD9" s="87" t="s">
        <v>336</v>
      </c>
      <c r="CE9" s="87" t="s">
        <v>335</v>
      </c>
      <c r="CF9" s="87" t="s">
        <v>336</v>
      </c>
      <c r="CG9" s="87" t="s">
        <v>335</v>
      </c>
      <c r="CH9" s="87" t="s">
        <v>336</v>
      </c>
    </row>
    <row r="10" spans="1:86" x14ac:dyDescent="0.25">
      <c r="A10">
        <v>30</v>
      </c>
      <c r="B10">
        <v>27</v>
      </c>
      <c r="C10" s="87" t="s">
        <v>328</v>
      </c>
      <c r="D10" s="87" t="s">
        <v>329</v>
      </c>
      <c r="E10" s="87" t="s">
        <v>330</v>
      </c>
      <c r="F10" s="87" t="s">
        <v>336</v>
      </c>
      <c r="G10" s="87" t="s">
        <v>330</v>
      </c>
      <c r="H10" s="87" t="s">
        <v>336</v>
      </c>
      <c r="I10" s="87" t="s">
        <v>330</v>
      </c>
      <c r="J10" s="87" t="s">
        <v>336</v>
      </c>
      <c r="K10" s="87" t="s">
        <v>332</v>
      </c>
      <c r="L10" s="87" t="s">
        <v>332</v>
      </c>
      <c r="M10" s="87" t="s">
        <v>340</v>
      </c>
      <c r="N10" s="87" t="s">
        <v>331</v>
      </c>
      <c r="O10" s="87" t="s">
        <v>330</v>
      </c>
      <c r="P10" s="87" t="s">
        <v>331</v>
      </c>
      <c r="Q10" s="87" t="s">
        <v>328</v>
      </c>
      <c r="R10" s="87" t="s">
        <v>329</v>
      </c>
      <c r="S10" s="87" t="s">
        <v>330</v>
      </c>
      <c r="T10" s="87" t="s">
        <v>336</v>
      </c>
      <c r="U10" s="87" t="s">
        <v>330</v>
      </c>
      <c r="V10" s="87" t="s">
        <v>336</v>
      </c>
      <c r="W10" s="87" t="s">
        <v>330</v>
      </c>
      <c r="X10" s="87" t="s">
        <v>336</v>
      </c>
      <c r="Y10" s="87" t="s">
        <v>330</v>
      </c>
      <c r="Z10" s="87" t="s">
        <v>336</v>
      </c>
      <c r="AA10" s="87" t="s">
        <v>330</v>
      </c>
      <c r="AB10" s="87" t="s">
        <v>331</v>
      </c>
      <c r="AC10" s="87" t="s">
        <v>330</v>
      </c>
      <c r="AD10" s="87" t="s">
        <v>331</v>
      </c>
      <c r="AE10" s="87" t="s">
        <v>328</v>
      </c>
      <c r="AF10" s="87" t="s">
        <v>329</v>
      </c>
      <c r="AG10" s="87" t="s">
        <v>330</v>
      </c>
      <c r="AH10" s="87" t="s">
        <v>336</v>
      </c>
      <c r="AI10" s="87" t="s">
        <v>330</v>
      </c>
      <c r="AJ10" s="87" t="s">
        <v>336</v>
      </c>
      <c r="AK10" s="87" t="s">
        <v>330</v>
      </c>
      <c r="AL10" s="87" t="s">
        <v>336</v>
      </c>
      <c r="AM10" s="87" t="s">
        <v>330</v>
      </c>
      <c r="AN10" s="87" t="s">
        <v>336</v>
      </c>
      <c r="AO10" s="87" t="s">
        <v>330</v>
      </c>
      <c r="AP10" s="87" t="s">
        <v>331</v>
      </c>
      <c r="AQ10" s="87" t="s">
        <v>330</v>
      </c>
      <c r="AR10" s="87" t="s">
        <v>331</v>
      </c>
      <c r="AS10" s="87" t="s">
        <v>328</v>
      </c>
      <c r="AT10" s="87" t="s">
        <v>329</v>
      </c>
      <c r="AU10" s="87" t="s">
        <v>330</v>
      </c>
      <c r="AV10" s="87" t="s">
        <v>336</v>
      </c>
      <c r="AW10" s="87" t="s">
        <v>330</v>
      </c>
      <c r="AX10" s="87" t="s">
        <v>336</v>
      </c>
      <c r="AY10" s="87" t="s">
        <v>330</v>
      </c>
      <c r="AZ10" s="87" t="s">
        <v>336</v>
      </c>
      <c r="BA10" s="87" t="s">
        <v>330</v>
      </c>
      <c r="BB10" s="87" t="s">
        <v>336</v>
      </c>
      <c r="BC10" s="87" t="s">
        <v>330</v>
      </c>
      <c r="BD10" s="87" t="s">
        <v>331</v>
      </c>
      <c r="BE10" s="87" t="s">
        <v>330</v>
      </c>
      <c r="BF10" s="87" t="s">
        <v>331</v>
      </c>
      <c r="BG10" s="87" t="s">
        <v>328</v>
      </c>
      <c r="BH10" s="87" t="s">
        <v>329</v>
      </c>
      <c r="BI10" s="87" t="s">
        <v>330</v>
      </c>
      <c r="BJ10" s="87" t="s">
        <v>336</v>
      </c>
      <c r="BK10" s="87" t="s">
        <v>333</v>
      </c>
      <c r="BL10" s="87" t="s">
        <v>329</v>
      </c>
      <c r="BM10" s="87" t="s">
        <v>332</v>
      </c>
      <c r="BN10" s="87" t="s">
        <v>332</v>
      </c>
      <c r="BO10" s="87" t="s">
        <v>330</v>
      </c>
      <c r="BP10" s="87" t="s">
        <v>336</v>
      </c>
      <c r="BQ10" s="87" t="s">
        <v>330</v>
      </c>
      <c r="BR10" s="87" t="s">
        <v>331</v>
      </c>
      <c r="BS10" s="87" t="s">
        <v>330</v>
      </c>
      <c r="BT10" s="87" t="s">
        <v>331</v>
      </c>
      <c r="BU10" s="87" t="s">
        <v>328</v>
      </c>
      <c r="BV10" s="87" t="s">
        <v>329</v>
      </c>
      <c r="BW10" s="87" t="s">
        <v>330</v>
      </c>
      <c r="BX10" s="87" t="s">
        <v>336</v>
      </c>
      <c r="BY10" s="87" t="s">
        <v>330</v>
      </c>
      <c r="BZ10" s="87" t="s">
        <v>329</v>
      </c>
      <c r="CA10" s="87" t="s">
        <v>330</v>
      </c>
      <c r="CB10" s="87" t="s">
        <v>329</v>
      </c>
      <c r="CC10" s="87" t="s">
        <v>330</v>
      </c>
      <c r="CD10" s="87" t="s">
        <v>336</v>
      </c>
      <c r="CE10" s="87" t="s">
        <v>330</v>
      </c>
      <c r="CF10" s="87" t="s">
        <v>331</v>
      </c>
      <c r="CG10" s="87" t="s">
        <v>330</v>
      </c>
      <c r="CH10" s="87" t="s">
        <v>331</v>
      </c>
    </row>
    <row r="11" spans="1:86" x14ac:dyDescent="0.25">
      <c r="A11">
        <v>42</v>
      </c>
      <c r="B11">
        <v>36</v>
      </c>
      <c r="C11" s="87" t="s">
        <v>328</v>
      </c>
      <c r="D11" s="87" t="s">
        <v>329</v>
      </c>
      <c r="E11" s="87" t="s">
        <v>335</v>
      </c>
      <c r="F11" s="87" t="s">
        <v>338</v>
      </c>
      <c r="G11" s="87" t="s">
        <v>335</v>
      </c>
      <c r="H11" s="87" t="s">
        <v>338</v>
      </c>
      <c r="I11" s="87" t="s">
        <v>335</v>
      </c>
      <c r="J11" s="87" t="s">
        <v>338</v>
      </c>
      <c r="K11" s="87" t="s">
        <v>332</v>
      </c>
      <c r="L11" s="87" t="s">
        <v>332</v>
      </c>
      <c r="M11" s="87" t="s">
        <v>334</v>
      </c>
      <c r="N11" s="87" t="s">
        <v>331</v>
      </c>
      <c r="O11" s="87" t="s">
        <v>335</v>
      </c>
      <c r="P11" s="87" t="s">
        <v>331</v>
      </c>
      <c r="Q11" s="87" t="s">
        <v>328</v>
      </c>
      <c r="R11" s="87" t="s">
        <v>329</v>
      </c>
      <c r="S11" s="87" t="s">
        <v>335</v>
      </c>
      <c r="T11" s="87" t="s">
        <v>338</v>
      </c>
      <c r="U11" s="87" t="s">
        <v>335</v>
      </c>
      <c r="V11" s="87" t="s">
        <v>338</v>
      </c>
      <c r="W11" s="87" t="s">
        <v>335</v>
      </c>
      <c r="X11" s="87" t="s">
        <v>338</v>
      </c>
      <c r="Y11" s="87" t="s">
        <v>335</v>
      </c>
      <c r="Z11" s="87" t="s">
        <v>338</v>
      </c>
      <c r="AA11" s="87" t="s">
        <v>330</v>
      </c>
      <c r="AB11" s="87" t="s">
        <v>331</v>
      </c>
      <c r="AC11" s="87" t="s">
        <v>330</v>
      </c>
      <c r="AD11" s="87" t="s">
        <v>331</v>
      </c>
      <c r="AE11" s="87" t="s">
        <v>335</v>
      </c>
      <c r="AF11" s="87" t="s">
        <v>338</v>
      </c>
      <c r="AG11" s="87" t="s">
        <v>330</v>
      </c>
      <c r="AH11" s="87" t="s">
        <v>331</v>
      </c>
      <c r="AI11" s="87" t="s">
        <v>330</v>
      </c>
      <c r="AJ11" s="87" t="s">
        <v>331</v>
      </c>
      <c r="AK11" s="87" t="s">
        <v>330</v>
      </c>
      <c r="AL11" s="87" t="s">
        <v>331</v>
      </c>
      <c r="AM11" s="87" t="s">
        <v>330</v>
      </c>
      <c r="AN11" s="87" t="s">
        <v>331</v>
      </c>
      <c r="AO11" s="87" t="s">
        <v>330</v>
      </c>
      <c r="AP11" s="87" t="s">
        <v>331</v>
      </c>
      <c r="AQ11" s="87" t="s">
        <v>330</v>
      </c>
      <c r="AR11" s="87" t="s">
        <v>331</v>
      </c>
      <c r="AS11" s="87" t="s">
        <v>335</v>
      </c>
      <c r="AT11" s="87" t="s">
        <v>338</v>
      </c>
      <c r="AU11" s="87" t="s">
        <v>330</v>
      </c>
      <c r="AV11" s="87" t="s">
        <v>331</v>
      </c>
      <c r="AW11" s="87" t="s">
        <v>330</v>
      </c>
      <c r="AX11" s="87" t="s">
        <v>331</v>
      </c>
      <c r="AY11" s="87" t="s">
        <v>330</v>
      </c>
      <c r="AZ11" s="87" t="s">
        <v>331</v>
      </c>
      <c r="BA11" s="87" t="s">
        <v>330</v>
      </c>
      <c r="BB11" s="87" t="s">
        <v>331</v>
      </c>
      <c r="BC11" s="87" t="s">
        <v>330</v>
      </c>
      <c r="BD11" s="87" t="s">
        <v>331</v>
      </c>
      <c r="BE11" s="87" t="s">
        <v>330</v>
      </c>
      <c r="BF11" s="87" t="s">
        <v>331</v>
      </c>
      <c r="BG11" s="87" t="s">
        <v>335</v>
      </c>
      <c r="BH11" s="87" t="s">
        <v>338</v>
      </c>
      <c r="BI11" s="87" t="s">
        <v>330</v>
      </c>
      <c r="BJ11" s="87" t="s">
        <v>331</v>
      </c>
      <c r="BK11" s="87" t="s">
        <v>334</v>
      </c>
      <c r="BL11" s="87" t="s">
        <v>329</v>
      </c>
      <c r="BM11" s="87" t="s">
        <v>332</v>
      </c>
      <c r="BN11" s="87" t="s">
        <v>332</v>
      </c>
      <c r="BO11" s="87" t="s">
        <v>335</v>
      </c>
      <c r="BP11" s="87" t="s">
        <v>338</v>
      </c>
      <c r="BQ11" s="87" t="s">
        <v>335</v>
      </c>
      <c r="BR11" s="87" t="s">
        <v>331</v>
      </c>
      <c r="BS11" s="87" t="s">
        <v>335</v>
      </c>
      <c r="BT11" s="87" t="s">
        <v>331</v>
      </c>
      <c r="BU11" s="87" t="s">
        <v>328</v>
      </c>
      <c r="BV11" s="87" t="s">
        <v>329</v>
      </c>
      <c r="BW11" s="87" t="s">
        <v>335</v>
      </c>
      <c r="BX11" s="87" t="s">
        <v>338</v>
      </c>
      <c r="BY11" s="87" t="s">
        <v>335</v>
      </c>
      <c r="BZ11" s="87" t="s">
        <v>329</v>
      </c>
      <c r="CA11" s="87" t="s">
        <v>335</v>
      </c>
      <c r="CB11" s="87" t="s">
        <v>329</v>
      </c>
      <c r="CC11" s="87" t="s">
        <v>335</v>
      </c>
      <c r="CD11" s="87" t="s">
        <v>338</v>
      </c>
      <c r="CE11" s="87" t="s">
        <v>335</v>
      </c>
      <c r="CF11" s="87" t="s">
        <v>331</v>
      </c>
      <c r="CG11" s="87" t="s">
        <v>335</v>
      </c>
      <c r="CH11" s="87" t="s">
        <v>331</v>
      </c>
    </row>
    <row r="12" spans="1:86" x14ac:dyDescent="0.25">
      <c r="A12">
        <v>72</v>
      </c>
      <c r="B12">
        <v>56</v>
      </c>
      <c r="C12" s="87" t="s">
        <v>328</v>
      </c>
      <c r="D12" s="87" t="s">
        <v>329</v>
      </c>
      <c r="E12" s="87" t="s">
        <v>335</v>
      </c>
      <c r="F12" s="87" t="s">
        <v>336</v>
      </c>
      <c r="G12" s="87" t="s">
        <v>335</v>
      </c>
      <c r="H12" s="87" t="s">
        <v>336</v>
      </c>
      <c r="I12" s="87" t="s">
        <v>335</v>
      </c>
      <c r="J12" s="87" t="s">
        <v>336</v>
      </c>
      <c r="K12" s="87" t="s">
        <v>332</v>
      </c>
      <c r="L12" s="87" t="s">
        <v>332</v>
      </c>
      <c r="M12" s="87" t="s">
        <v>333</v>
      </c>
      <c r="N12" s="87" t="s">
        <v>341</v>
      </c>
      <c r="O12" s="87" t="s">
        <v>334</v>
      </c>
      <c r="P12" s="87" t="s">
        <v>331</v>
      </c>
      <c r="Q12" s="87" t="s">
        <v>335</v>
      </c>
      <c r="R12" s="87" t="s">
        <v>338</v>
      </c>
      <c r="S12" s="87" t="s">
        <v>335</v>
      </c>
      <c r="T12" s="87" t="s">
        <v>336</v>
      </c>
      <c r="U12" s="87" t="s">
        <v>335</v>
      </c>
      <c r="V12" s="87" t="s">
        <v>336</v>
      </c>
      <c r="W12" s="87" t="s">
        <v>335</v>
      </c>
      <c r="X12" s="87" t="s">
        <v>336</v>
      </c>
      <c r="Y12" s="87" t="s">
        <v>335</v>
      </c>
      <c r="Z12" s="87" t="s">
        <v>336</v>
      </c>
      <c r="AA12" s="87" t="s">
        <v>335</v>
      </c>
      <c r="AB12" s="87" t="s">
        <v>336</v>
      </c>
      <c r="AC12" s="87" t="s">
        <v>335</v>
      </c>
      <c r="AD12" s="87" t="s">
        <v>336</v>
      </c>
      <c r="AE12" s="87" t="s">
        <v>328</v>
      </c>
      <c r="AF12" s="87" t="s">
        <v>329</v>
      </c>
      <c r="AG12" s="87" t="s">
        <v>335</v>
      </c>
      <c r="AH12" s="87" t="s">
        <v>336</v>
      </c>
      <c r="AI12" s="87" t="s">
        <v>335</v>
      </c>
      <c r="AJ12" s="87" t="s">
        <v>336</v>
      </c>
      <c r="AK12" s="87" t="s">
        <v>335</v>
      </c>
      <c r="AL12" s="87" t="s">
        <v>336</v>
      </c>
      <c r="AM12" s="87" t="s">
        <v>335</v>
      </c>
      <c r="AN12" s="87" t="s">
        <v>336</v>
      </c>
      <c r="AO12" s="87" t="s">
        <v>330</v>
      </c>
      <c r="AP12" s="87" t="s">
        <v>331</v>
      </c>
      <c r="AQ12" s="87" t="s">
        <v>330</v>
      </c>
      <c r="AR12" s="87" t="s">
        <v>331</v>
      </c>
      <c r="AS12" s="87" t="s">
        <v>330</v>
      </c>
      <c r="AT12" s="87" t="s">
        <v>336</v>
      </c>
      <c r="AU12" s="87" t="s">
        <v>330</v>
      </c>
      <c r="AV12" s="87" t="s">
        <v>331</v>
      </c>
      <c r="AW12" s="87" t="s">
        <v>330</v>
      </c>
      <c r="AX12" s="87" t="s">
        <v>331</v>
      </c>
      <c r="AY12" s="87" t="s">
        <v>330</v>
      </c>
      <c r="AZ12" s="87" t="s">
        <v>331</v>
      </c>
      <c r="BA12" s="87" t="s">
        <v>330</v>
      </c>
      <c r="BB12" s="87" t="s">
        <v>331</v>
      </c>
      <c r="BC12" s="87" t="s">
        <v>334</v>
      </c>
      <c r="BD12" s="87" t="s">
        <v>341</v>
      </c>
      <c r="BE12" s="87" t="s">
        <v>334</v>
      </c>
      <c r="BF12" s="87" t="s">
        <v>341</v>
      </c>
      <c r="BG12" s="87" t="s">
        <v>334</v>
      </c>
      <c r="BH12" s="87" t="s">
        <v>331</v>
      </c>
      <c r="BI12" s="87" t="s">
        <v>334</v>
      </c>
      <c r="BJ12" s="87" t="s">
        <v>341</v>
      </c>
      <c r="BK12" s="87" t="s">
        <v>333</v>
      </c>
      <c r="BL12" s="87" t="s">
        <v>329</v>
      </c>
      <c r="BM12" s="87" t="s">
        <v>332</v>
      </c>
      <c r="BN12" s="87" t="s">
        <v>332</v>
      </c>
      <c r="BO12" s="87" t="s">
        <v>334</v>
      </c>
      <c r="BP12" s="87" t="s">
        <v>336</v>
      </c>
      <c r="BQ12" s="87" t="s">
        <v>335</v>
      </c>
      <c r="BR12" s="87" t="s">
        <v>336</v>
      </c>
      <c r="BS12" s="87" t="s">
        <v>335</v>
      </c>
      <c r="BT12" s="87" t="s">
        <v>336</v>
      </c>
      <c r="BU12" s="87" t="s">
        <v>328</v>
      </c>
      <c r="BV12" s="87" t="s">
        <v>329</v>
      </c>
      <c r="BW12" s="87" t="s">
        <v>335</v>
      </c>
      <c r="BX12" s="87" t="s">
        <v>336</v>
      </c>
      <c r="BY12" s="87" t="s">
        <v>335</v>
      </c>
      <c r="BZ12" s="87" t="s">
        <v>336</v>
      </c>
      <c r="CA12" s="87" t="s">
        <v>335</v>
      </c>
      <c r="CB12" s="87" t="s">
        <v>336</v>
      </c>
      <c r="CC12" s="87" t="s">
        <v>335</v>
      </c>
      <c r="CD12" s="87" t="s">
        <v>336</v>
      </c>
      <c r="CE12" s="87" t="s">
        <v>335</v>
      </c>
      <c r="CF12" s="87" t="s">
        <v>336</v>
      </c>
      <c r="CG12" s="87" t="s">
        <v>335</v>
      </c>
      <c r="CH12" s="87" t="s">
        <v>336</v>
      </c>
    </row>
    <row r="13" spans="1:86" x14ac:dyDescent="0.25">
      <c r="A13">
        <v>79</v>
      </c>
      <c r="B13">
        <v>67</v>
      </c>
      <c r="C13" s="87" t="s">
        <v>328</v>
      </c>
      <c r="D13" s="87" t="s">
        <v>329</v>
      </c>
      <c r="E13" s="87" t="s">
        <v>330</v>
      </c>
      <c r="F13" s="87" t="s">
        <v>331</v>
      </c>
      <c r="G13" s="87" t="s">
        <v>330</v>
      </c>
      <c r="H13" s="87" t="s">
        <v>331</v>
      </c>
      <c r="I13" s="87" t="s">
        <v>330</v>
      </c>
      <c r="J13" s="87" t="s">
        <v>331</v>
      </c>
      <c r="K13" s="87" t="s">
        <v>332</v>
      </c>
      <c r="L13" s="87" t="s">
        <v>332</v>
      </c>
      <c r="M13" s="87" t="s">
        <v>333</v>
      </c>
      <c r="N13" s="87" t="s">
        <v>331</v>
      </c>
      <c r="O13" s="87" t="s">
        <v>330</v>
      </c>
      <c r="P13" s="87" t="s">
        <v>331</v>
      </c>
      <c r="Q13" s="87" t="s">
        <v>328</v>
      </c>
      <c r="R13" s="87" t="s">
        <v>329</v>
      </c>
      <c r="S13" s="87" t="s">
        <v>330</v>
      </c>
      <c r="T13" s="87" t="s">
        <v>331</v>
      </c>
      <c r="U13" s="87" t="s">
        <v>330</v>
      </c>
      <c r="V13" s="87" t="s">
        <v>331</v>
      </c>
      <c r="W13" s="87" t="s">
        <v>330</v>
      </c>
      <c r="X13" s="87" t="s">
        <v>331</v>
      </c>
      <c r="Y13" s="87" t="s">
        <v>330</v>
      </c>
      <c r="Z13" s="87" t="s">
        <v>331</v>
      </c>
      <c r="AA13" s="87" t="s">
        <v>330</v>
      </c>
      <c r="AB13" s="87" t="s">
        <v>331</v>
      </c>
      <c r="AC13" s="87" t="s">
        <v>330</v>
      </c>
      <c r="AD13" s="87" t="s">
        <v>331</v>
      </c>
      <c r="AE13" s="87" t="s">
        <v>328</v>
      </c>
      <c r="AF13" s="87" t="s">
        <v>329</v>
      </c>
      <c r="AG13" s="87" t="s">
        <v>330</v>
      </c>
      <c r="AH13" s="87" t="s">
        <v>331</v>
      </c>
      <c r="AI13" s="87" t="s">
        <v>330</v>
      </c>
      <c r="AJ13" s="87" t="s">
        <v>331</v>
      </c>
      <c r="AK13" s="87" t="s">
        <v>330</v>
      </c>
      <c r="AL13" s="87" t="s">
        <v>331</v>
      </c>
      <c r="AM13" s="87" t="s">
        <v>330</v>
      </c>
      <c r="AN13" s="87" t="s">
        <v>331</v>
      </c>
      <c r="AO13" s="87" t="s">
        <v>330</v>
      </c>
      <c r="AP13" s="87" t="s">
        <v>331</v>
      </c>
      <c r="AQ13" s="87" t="s">
        <v>330</v>
      </c>
      <c r="AR13" s="87" t="s">
        <v>331</v>
      </c>
      <c r="AS13" s="87" t="s">
        <v>328</v>
      </c>
      <c r="AT13" s="87" t="s">
        <v>329</v>
      </c>
      <c r="AU13" s="87" t="s">
        <v>330</v>
      </c>
      <c r="AV13" s="87" t="s">
        <v>331</v>
      </c>
      <c r="AW13" s="87" t="s">
        <v>330</v>
      </c>
      <c r="AX13" s="87" t="s">
        <v>331</v>
      </c>
      <c r="AY13" s="87" t="s">
        <v>330</v>
      </c>
      <c r="AZ13" s="87" t="s">
        <v>331</v>
      </c>
      <c r="BA13" s="87" t="s">
        <v>330</v>
      </c>
      <c r="BB13" s="87" t="s">
        <v>331</v>
      </c>
      <c r="BC13" s="87" t="s">
        <v>330</v>
      </c>
      <c r="BD13" s="87" t="s">
        <v>331</v>
      </c>
      <c r="BE13" s="87" t="s">
        <v>334</v>
      </c>
      <c r="BF13" s="87" t="s">
        <v>331</v>
      </c>
      <c r="BG13" s="87" t="s">
        <v>335</v>
      </c>
      <c r="BH13" s="87" t="s">
        <v>329</v>
      </c>
      <c r="BI13" s="87" t="s">
        <v>330</v>
      </c>
      <c r="BJ13" s="87" t="s">
        <v>331</v>
      </c>
      <c r="BK13" s="87" t="s">
        <v>333</v>
      </c>
      <c r="BL13" s="87" t="s">
        <v>329</v>
      </c>
      <c r="BM13" s="87" t="s">
        <v>332</v>
      </c>
      <c r="BN13" s="87" t="s">
        <v>332</v>
      </c>
      <c r="BO13" s="87" t="s">
        <v>330</v>
      </c>
      <c r="BP13" s="87" t="s">
        <v>331</v>
      </c>
      <c r="BQ13" s="87" t="s">
        <v>330</v>
      </c>
      <c r="BR13" s="87" t="s">
        <v>331</v>
      </c>
      <c r="BS13" s="87" t="s">
        <v>330</v>
      </c>
      <c r="BT13" s="87" t="s">
        <v>331</v>
      </c>
      <c r="BU13" s="87" t="s">
        <v>328</v>
      </c>
      <c r="BV13" s="87" t="s">
        <v>329</v>
      </c>
      <c r="BW13" s="87" t="s">
        <v>330</v>
      </c>
      <c r="BX13" s="87" t="s">
        <v>331</v>
      </c>
      <c r="BY13" s="87" t="s">
        <v>330</v>
      </c>
      <c r="BZ13" s="87" t="s">
        <v>329</v>
      </c>
      <c r="CA13" s="87" t="s">
        <v>330</v>
      </c>
      <c r="CB13" s="87" t="s">
        <v>331</v>
      </c>
      <c r="CC13" s="87" t="s">
        <v>330</v>
      </c>
      <c r="CD13" s="87" t="s">
        <v>331</v>
      </c>
      <c r="CE13" s="87" t="s">
        <v>330</v>
      </c>
      <c r="CF13" s="87" t="s">
        <v>331</v>
      </c>
      <c r="CG13" s="87" t="s">
        <v>330</v>
      </c>
      <c r="CH13" s="87" t="s">
        <v>331</v>
      </c>
    </row>
    <row r="14" spans="1:86" x14ac:dyDescent="0.25">
      <c r="A14">
        <v>120</v>
      </c>
      <c r="B14">
        <v>97</v>
      </c>
      <c r="C14" s="87" t="s">
        <v>328</v>
      </c>
      <c r="D14" s="87" t="s">
        <v>329</v>
      </c>
      <c r="E14" s="87" t="s">
        <v>335</v>
      </c>
      <c r="F14" s="87" t="s">
        <v>338</v>
      </c>
      <c r="G14" s="87" t="s">
        <v>335</v>
      </c>
      <c r="H14" s="87" t="s">
        <v>338</v>
      </c>
      <c r="I14" s="87" t="s">
        <v>335</v>
      </c>
      <c r="J14" s="87" t="s">
        <v>338</v>
      </c>
      <c r="K14" s="87" t="s">
        <v>332</v>
      </c>
      <c r="L14" s="87" t="s">
        <v>332</v>
      </c>
      <c r="M14" s="87" t="s">
        <v>334</v>
      </c>
      <c r="N14" s="87" t="s">
        <v>331</v>
      </c>
      <c r="O14" s="87" t="s">
        <v>335</v>
      </c>
      <c r="P14" s="87" t="s">
        <v>336</v>
      </c>
      <c r="Q14" s="87" t="s">
        <v>328</v>
      </c>
      <c r="R14" s="87" t="s">
        <v>329</v>
      </c>
      <c r="S14" s="87" t="s">
        <v>335</v>
      </c>
      <c r="T14" s="87" t="s">
        <v>338</v>
      </c>
      <c r="U14" s="87" t="s">
        <v>335</v>
      </c>
      <c r="V14" s="87" t="s">
        <v>338</v>
      </c>
      <c r="W14" s="87" t="s">
        <v>335</v>
      </c>
      <c r="X14" s="87" t="s">
        <v>338</v>
      </c>
      <c r="Y14" s="87" t="s">
        <v>335</v>
      </c>
      <c r="Z14" s="87" t="s">
        <v>338</v>
      </c>
      <c r="AA14" s="87" t="s">
        <v>330</v>
      </c>
      <c r="AB14" s="87" t="s">
        <v>331</v>
      </c>
      <c r="AC14" s="87" t="s">
        <v>330</v>
      </c>
      <c r="AD14" s="87" t="s">
        <v>331</v>
      </c>
      <c r="AE14" s="87" t="s">
        <v>335</v>
      </c>
      <c r="AF14" s="87" t="s">
        <v>338</v>
      </c>
      <c r="AG14" s="87" t="s">
        <v>330</v>
      </c>
      <c r="AH14" s="87" t="s">
        <v>331</v>
      </c>
      <c r="AI14" s="87" t="s">
        <v>330</v>
      </c>
      <c r="AJ14" s="87" t="s">
        <v>331</v>
      </c>
      <c r="AK14" s="87" t="s">
        <v>330</v>
      </c>
      <c r="AL14" s="87" t="s">
        <v>331</v>
      </c>
      <c r="AM14" s="87" t="s">
        <v>330</v>
      </c>
      <c r="AN14" s="87" t="s">
        <v>331</v>
      </c>
      <c r="AO14" s="87" t="s">
        <v>330</v>
      </c>
      <c r="AP14" s="87" t="s">
        <v>331</v>
      </c>
      <c r="AQ14" s="87" t="s">
        <v>330</v>
      </c>
      <c r="AR14" s="87" t="s">
        <v>331</v>
      </c>
      <c r="AS14" s="87" t="s">
        <v>335</v>
      </c>
      <c r="AT14" s="87" t="s">
        <v>338</v>
      </c>
      <c r="AU14" s="87" t="s">
        <v>330</v>
      </c>
      <c r="AV14" s="87" t="s">
        <v>331</v>
      </c>
      <c r="AW14" s="87" t="s">
        <v>330</v>
      </c>
      <c r="AX14" s="87" t="s">
        <v>331</v>
      </c>
      <c r="AY14" s="87" t="s">
        <v>330</v>
      </c>
      <c r="AZ14" s="87" t="s">
        <v>331</v>
      </c>
      <c r="BA14" s="87" t="s">
        <v>330</v>
      </c>
      <c r="BB14" s="87" t="s">
        <v>331</v>
      </c>
      <c r="BC14" s="87" t="s">
        <v>330</v>
      </c>
      <c r="BD14" s="87" t="s">
        <v>331</v>
      </c>
      <c r="BE14" s="87" t="s">
        <v>330</v>
      </c>
      <c r="BF14" s="87" t="s">
        <v>331</v>
      </c>
      <c r="BG14" s="87" t="s">
        <v>335</v>
      </c>
      <c r="BH14" s="87" t="s">
        <v>338</v>
      </c>
      <c r="BI14" s="87" t="s">
        <v>330</v>
      </c>
      <c r="BJ14" s="87" t="s">
        <v>331</v>
      </c>
      <c r="BK14" s="87" t="s">
        <v>334</v>
      </c>
      <c r="BL14" s="87" t="s">
        <v>329</v>
      </c>
      <c r="BM14" s="87" t="s">
        <v>332</v>
      </c>
      <c r="BN14" s="87" t="s">
        <v>332</v>
      </c>
      <c r="BO14" s="87" t="s">
        <v>335</v>
      </c>
      <c r="BP14" s="87" t="s">
        <v>338</v>
      </c>
      <c r="BQ14" s="87" t="s">
        <v>335</v>
      </c>
      <c r="BR14" s="87" t="s">
        <v>336</v>
      </c>
      <c r="BS14" s="87" t="s">
        <v>335</v>
      </c>
      <c r="BT14" s="87" t="s">
        <v>336</v>
      </c>
      <c r="BU14" s="87" t="s">
        <v>328</v>
      </c>
      <c r="BV14" s="87" t="s">
        <v>329</v>
      </c>
      <c r="BW14" s="87" t="s">
        <v>335</v>
      </c>
      <c r="BX14" s="87" t="s">
        <v>338</v>
      </c>
      <c r="BY14" s="87" t="s">
        <v>335</v>
      </c>
      <c r="BZ14" s="87" t="s">
        <v>329</v>
      </c>
      <c r="CA14" s="87" t="s">
        <v>335</v>
      </c>
      <c r="CB14" s="87" t="s">
        <v>329</v>
      </c>
      <c r="CC14" s="87" t="s">
        <v>335</v>
      </c>
      <c r="CD14" s="87" t="s">
        <v>338</v>
      </c>
      <c r="CE14" s="87" t="s">
        <v>335</v>
      </c>
      <c r="CF14" s="87" t="s">
        <v>336</v>
      </c>
      <c r="CG14" s="87" t="s">
        <v>335</v>
      </c>
      <c r="CH14" s="87" t="s">
        <v>336</v>
      </c>
    </row>
    <row r="15" spans="1:86" x14ac:dyDescent="0.25">
      <c r="A15">
        <v>12</v>
      </c>
      <c r="B15">
        <v>14</v>
      </c>
      <c r="C15" s="87" t="s">
        <v>330</v>
      </c>
      <c r="D15" s="87" t="s">
        <v>338</v>
      </c>
      <c r="E15" s="87" t="s">
        <v>330</v>
      </c>
      <c r="F15" s="87" t="s">
        <v>331</v>
      </c>
      <c r="G15" s="87" t="s">
        <v>330</v>
      </c>
      <c r="H15" s="87" t="s">
        <v>331</v>
      </c>
      <c r="I15" s="87" t="s">
        <v>330</v>
      </c>
      <c r="J15" s="87" t="s">
        <v>331</v>
      </c>
      <c r="K15" s="87" t="s">
        <v>332</v>
      </c>
      <c r="L15" s="87" t="s">
        <v>332</v>
      </c>
      <c r="M15" s="87" t="s">
        <v>340</v>
      </c>
      <c r="N15" s="87" t="s">
        <v>331</v>
      </c>
      <c r="O15" s="87" t="s">
        <v>330</v>
      </c>
      <c r="P15" s="87" t="s">
        <v>331</v>
      </c>
      <c r="Q15" s="87" t="s">
        <v>330</v>
      </c>
      <c r="R15" s="87" t="s">
        <v>338</v>
      </c>
      <c r="S15" s="87" t="s">
        <v>330</v>
      </c>
      <c r="T15" s="87" t="s">
        <v>331</v>
      </c>
      <c r="U15" s="87" t="s">
        <v>330</v>
      </c>
      <c r="V15" s="87" t="s">
        <v>331</v>
      </c>
      <c r="W15" s="87" t="s">
        <v>330</v>
      </c>
      <c r="X15" s="87" t="s">
        <v>331</v>
      </c>
      <c r="Y15" s="87" t="s">
        <v>330</v>
      </c>
      <c r="Z15" s="87" t="s">
        <v>331</v>
      </c>
      <c r="AA15" s="87" t="s">
        <v>330</v>
      </c>
      <c r="AB15" s="87" t="s">
        <v>331</v>
      </c>
      <c r="AC15" s="87" t="s">
        <v>330</v>
      </c>
      <c r="AD15" s="87" t="s">
        <v>331</v>
      </c>
      <c r="AE15" s="87" t="s">
        <v>330</v>
      </c>
      <c r="AF15" s="87" t="s">
        <v>338</v>
      </c>
      <c r="AG15" s="87" t="s">
        <v>330</v>
      </c>
      <c r="AH15" s="87" t="s">
        <v>331</v>
      </c>
      <c r="AI15" s="87" t="s">
        <v>330</v>
      </c>
      <c r="AJ15" s="87" t="s">
        <v>331</v>
      </c>
      <c r="AK15" s="87" t="s">
        <v>330</v>
      </c>
      <c r="AL15" s="87" t="s">
        <v>331</v>
      </c>
      <c r="AM15" s="87" t="s">
        <v>330</v>
      </c>
      <c r="AN15" s="87" t="s">
        <v>331</v>
      </c>
      <c r="AO15" s="87" t="s">
        <v>330</v>
      </c>
      <c r="AP15" s="87" t="s">
        <v>331</v>
      </c>
      <c r="AQ15" s="87" t="s">
        <v>334</v>
      </c>
      <c r="AR15" s="87" t="s">
        <v>331</v>
      </c>
      <c r="AS15" s="87" t="s">
        <v>330</v>
      </c>
      <c r="AT15" s="87" t="s">
        <v>338</v>
      </c>
      <c r="AU15" s="87" t="s">
        <v>330</v>
      </c>
      <c r="AV15" s="87" t="s">
        <v>331</v>
      </c>
      <c r="AW15" s="87" t="s">
        <v>330</v>
      </c>
      <c r="AX15" s="87" t="s">
        <v>331</v>
      </c>
      <c r="AY15" s="87" t="s">
        <v>330</v>
      </c>
      <c r="AZ15" s="87" t="s">
        <v>331</v>
      </c>
      <c r="BA15" s="87" t="s">
        <v>330</v>
      </c>
      <c r="BB15" s="87" t="s">
        <v>331</v>
      </c>
      <c r="BC15" s="87" t="s">
        <v>330</v>
      </c>
      <c r="BD15" s="87" t="s">
        <v>331</v>
      </c>
      <c r="BE15" s="87" t="s">
        <v>334</v>
      </c>
      <c r="BF15" s="87" t="s">
        <v>331</v>
      </c>
      <c r="BG15" s="87" t="s">
        <v>330</v>
      </c>
      <c r="BH15" s="87" t="s">
        <v>338</v>
      </c>
      <c r="BI15" s="87" t="s">
        <v>330</v>
      </c>
      <c r="BJ15" s="87" t="s">
        <v>331</v>
      </c>
      <c r="BK15" s="87" t="s">
        <v>333</v>
      </c>
      <c r="BL15" s="87" t="s">
        <v>329</v>
      </c>
      <c r="BM15" s="87" t="s">
        <v>332</v>
      </c>
      <c r="BN15" s="87" t="s">
        <v>332</v>
      </c>
      <c r="BO15" s="87" t="s">
        <v>330</v>
      </c>
      <c r="BP15" s="87" t="s">
        <v>331</v>
      </c>
      <c r="BQ15" s="87" t="s">
        <v>330</v>
      </c>
      <c r="BR15" s="87" t="s">
        <v>331</v>
      </c>
      <c r="BS15" s="87" t="s">
        <v>330</v>
      </c>
      <c r="BT15" s="87" t="s">
        <v>331</v>
      </c>
      <c r="BU15" s="87" t="s">
        <v>330</v>
      </c>
      <c r="BV15" s="87" t="s">
        <v>338</v>
      </c>
      <c r="BW15" s="87" t="s">
        <v>330</v>
      </c>
      <c r="BX15" s="87" t="s">
        <v>331</v>
      </c>
      <c r="BY15" s="87" t="s">
        <v>330</v>
      </c>
      <c r="BZ15" s="87" t="s">
        <v>329</v>
      </c>
      <c r="CA15" s="87" t="s">
        <v>330</v>
      </c>
      <c r="CB15" s="87" t="s">
        <v>331</v>
      </c>
      <c r="CC15" s="87" t="s">
        <v>330</v>
      </c>
      <c r="CD15" s="87" t="s">
        <v>331</v>
      </c>
      <c r="CE15" s="87" t="s">
        <v>330</v>
      </c>
      <c r="CF15" s="87" t="s">
        <v>331</v>
      </c>
      <c r="CG15" s="87" t="s">
        <v>330</v>
      </c>
      <c r="CH15" s="87" t="s">
        <v>331</v>
      </c>
    </row>
    <row r="16" spans="1:86" x14ac:dyDescent="0.25">
      <c r="A16">
        <v>31</v>
      </c>
      <c r="B16">
        <v>29</v>
      </c>
      <c r="C16" s="87" t="s">
        <v>335</v>
      </c>
      <c r="D16" s="87" t="s">
        <v>329</v>
      </c>
      <c r="E16" s="87" t="s">
        <v>330</v>
      </c>
      <c r="F16" s="87" t="s">
        <v>331</v>
      </c>
      <c r="G16" s="87" t="s">
        <v>330</v>
      </c>
      <c r="H16" s="87" t="s">
        <v>331</v>
      </c>
      <c r="I16" s="87" t="s">
        <v>330</v>
      </c>
      <c r="J16" s="87" t="s">
        <v>331</v>
      </c>
      <c r="K16" s="87" t="s">
        <v>332</v>
      </c>
      <c r="L16" s="87" t="s">
        <v>332</v>
      </c>
      <c r="M16" s="87" t="s">
        <v>330</v>
      </c>
      <c r="N16" s="87" t="s">
        <v>331</v>
      </c>
      <c r="O16" s="87" t="s">
        <v>330</v>
      </c>
      <c r="P16" s="87" t="s">
        <v>331</v>
      </c>
      <c r="Q16" s="87" t="s">
        <v>335</v>
      </c>
      <c r="R16" s="87" t="s">
        <v>329</v>
      </c>
      <c r="S16" s="87" t="s">
        <v>330</v>
      </c>
      <c r="T16" s="87" t="s">
        <v>331</v>
      </c>
      <c r="U16" s="87" t="s">
        <v>330</v>
      </c>
      <c r="V16" s="87" t="s">
        <v>331</v>
      </c>
      <c r="W16" s="87" t="s">
        <v>330</v>
      </c>
      <c r="X16" s="87" t="s">
        <v>331</v>
      </c>
      <c r="Y16" s="87" t="s">
        <v>330</v>
      </c>
      <c r="Z16" s="87" t="s">
        <v>331</v>
      </c>
      <c r="AA16" s="87" t="s">
        <v>330</v>
      </c>
      <c r="AB16" s="87" t="s">
        <v>331</v>
      </c>
      <c r="AC16" s="87" t="s">
        <v>330</v>
      </c>
      <c r="AD16" s="87" t="s">
        <v>331</v>
      </c>
      <c r="AE16" s="87" t="s">
        <v>335</v>
      </c>
      <c r="AF16" s="87" t="s">
        <v>329</v>
      </c>
      <c r="AG16" s="87" t="s">
        <v>330</v>
      </c>
      <c r="AH16" s="87" t="s">
        <v>331</v>
      </c>
      <c r="AI16" s="87" t="s">
        <v>330</v>
      </c>
      <c r="AJ16" s="87" t="s">
        <v>331</v>
      </c>
      <c r="AK16" s="87" t="s">
        <v>330</v>
      </c>
      <c r="AL16" s="87" t="s">
        <v>331</v>
      </c>
      <c r="AM16" s="87" t="s">
        <v>330</v>
      </c>
      <c r="AN16" s="87" t="s">
        <v>331</v>
      </c>
      <c r="AO16" s="87" t="s">
        <v>330</v>
      </c>
      <c r="AP16" s="87" t="s">
        <v>331</v>
      </c>
      <c r="AQ16" s="87" t="s">
        <v>330</v>
      </c>
      <c r="AR16" s="87" t="s">
        <v>331</v>
      </c>
      <c r="AS16" s="87" t="s">
        <v>335</v>
      </c>
      <c r="AT16" s="87" t="s">
        <v>329</v>
      </c>
      <c r="AU16" s="87" t="s">
        <v>330</v>
      </c>
      <c r="AV16" s="87" t="s">
        <v>331</v>
      </c>
      <c r="AW16" s="87" t="s">
        <v>330</v>
      </c>
      <c r="AX16" s="87" t="s">
        <v>331</v>
      </c>
      <c r="AY16" s="87" t="s">
        <v>330</v>
      </c>
      <c r="AZ16" s="87" t="s">
        <v>331</v>
      </c>
      <c r="BA16" s="87" t="s">
        <v>330</v>
      </c>
      <c r="BB16" s="87" t="s">
        <v>331</v>
      </c>
      <c r="BC16" s="87" t="s">
        <v>330</v>
      </c>
      <c r="BD16" s="87" t="s">
        <v>331</v>
      </c>
      <c r="BE16" s="87" t="s">
        <v>330</v>
      </c>
      <c r="BF16" s="87" t="s">
        <v>331</v>
      </c>
      <c r="BG16" s="87" t="s">
        <v>335</v>
      </c>
      <c r="BH16" s="87" t="s">
        <v>329</v>
      </c>
      <c r="BI16" s="87" t="s">
        <v>330</v>
      </c>
      <c r="BJ16" s="87" t="s">
        <v>331</v>
      </c>
      <c r="BK16" s="87" t="s">
        <v>330</v>
      </c>
      <c r="BL16" s="87" t="s">
        <v>331</v>
      </c>
      <c r="BM16" s="87" t="s">
        <v>332</v>
      </c>
      <c r="BN16" s="87" t="s">
        <v>332</v>
      </c>
      <c r="BO16" s="87" t="s">
        <v>330</v>
      </c>
      <c r="BP16" s="87" t="s">
        <v>331</v>
      </c>
      <c r="BQ16" s="87" t="s">
        <v>330</v>
      </c>
      <c r="BR16" s="87" t="s">
        <v>331</v>
      </c>
      <c r="BS16" s="87" t="s">
        <v>330</v>
      </c>
      <c r="BT16" s="87" t="s">
        <v>331</v>
      </c>
      <c r="BU16" s="87" t="s">
        <v>335</v>
      </c>
      <c r="BV16" s="87" t="s">
        <v>329</v>
      </c>
      <c r="BW16" s="87" t="s">
        <v>330</v>
      </c>
      <c r="BX16" s="87" t="s">
        <v>331</v>
      </c>
      <c r="BY16" s="87" t="s">
        <v>330</v>
      </c>
      <c r="BZ16" s="87" t="s">
        <v>329</v>
      </c>
      <c r="CA16" s="87" t="s">
        <v>330</v>
      </c>
      <c r="CB16" s="87" t="s">
        <v>331</v>
      </c>
      <c r="CC16" s="87" t="s">
        <v>330</v>
      </c>
      <c r="CD16" s="87" t="s">
        <v>331</v>
      </c>
      <c r="CE16" s="87" t="s">
        <v>330</v>
      </c>
      <c r="CF16" s="87" t="s">
        <v>331</v>
      </c>
      <c r="CG16" s="87" t="s">
        <v>330</v>
      </c>
      <c r="CH16" s="87" t="s">
        <v>331</v>
      </c>
    </row>
    <row r="17" spans="1:86" x14ac:dyDescent="0.25">
      <c r="A17">
        <v>76</v>
      </c>
      <c r="B17">
        <v>64</v>
      </c>
      <c r="C17" s="87" t="s">
        <v>335</v>
      </c>
      <c r="D17" s="87" t="s">
        <v>329</v>
      </c>
      <c r="E17" s="87" t="s">
        <v>330</v>
      </c>
      <c r="F17" s="87" t="s">
        <v>331</v>
      </c>
      <c r="G17" s="87" t="s">
        <v>330</v>
      </c>
      <c r="H17" s="87" t="s">
        <v>331</v>
      </c>
      <c r="I17" s="87" t="s">
        <v>330</v>
      </c>
      <c r="J17" s="87" t="s">
        <v>331</v>
      </c>
      <c r="K17" s="87" t="s">
        <v>332</v>
      </c>
      <c r="L17" s="87" t="s">
        <v>332</v>
      </c>
      <c r="M17" s="87" t="s">
        <v>333</v>
      </c>
      <c r="N17" s="87" t="s">
        <v>331</v>
      </c>
      <c r="O17" s="87" t="s">
        <v>330</v>
      </c>
      <c r="P17" s="87" t="s">
        <v>331</v>
      </c>
      <c r="Q17" s="87" t="s">
        <v>335</v>
      </c>
      <c r="R17" s="87" t="s">
        <v>329</v>
      </c>
      <c r="S17" s="87" t="s">
        <v>330</v>
      </c>
      <c r="T17" s="87" t="s">
        <v>331</v>
      </c>
      <c r="U17" s="87" t="s">
        <v>330</v>
      </c>
      <c r="V17" s="87" t="s">
        <v>331</v>
      </c>
      <c r="W17" s="87" t="s">
        <v>330</v>
      </c>
      <c r="X17" s="87" t="s">
        <v>331</v>
      </c>
      <c r="Y17" s="87" t="s">
        <v>330</v>
      </c>
      <c r="Z17" s="87" t="s">
        <v>331</v>
      </c>
      <c r="AA17" s="87" t="s">
        <v>330</v>
      </c>
      <c r="AB17" s="87" t="s">
        <v>331</v>
      </c>
      <c r="AC17" s="87" t="s">
        <v>330</v>
      </c>
      <c r="AD17" s="87" t="s">
        <v>331</v>
      </c>
      <c r="AE17" s="87" t="s">
        <v>335</v>
      </c>
      <c r="AF17" s="87" t="s">
        <v>329</v>
      </c>
      <c r="AG17" s="87" t="s">
        <v>330</v>
      </c>
      <c r="AH17" s="87" t="s">
        <v>331</v>
      </c>
      <c r="AI17" s="87" t="s">
        <v>330</v>
      </c>
      <c r="AJ17" s="87" t="s">
        <v>331</v>
      </c>
      <c r="AK17" s="87" t="s">
        <v>330</v>
      </c>
      <c r="AL17" s="87" t="s">
        <v>331</v>
      </c>
      <c r="AM17" s="87" t="s">
        <v>330</v>
      </c>
      <c r="AN17" s="87" t="s">
        <v>331</v>
      </c>
      <c r="AO17" s="87" t="s">
        <v>330</v>
      </c>
      <c r="AP17" s="87" t="s">
        <v>331</v>
      </c>
      <c r="AQ17" s="87" t="s">
        <v>330</v>
      </c>
      <c r="AR17" s="87" t="s">
        <v>331</v>
      </c>
      <c r="AS17" s="87" t="s">
        <v>330</v>
      </c>
      <c r="AT17" s="87" t="s">
        <v>329</v>
      </c>
      <c r="AU17" s="87" t="s">
        <v>334</v>
      </c>
      <c r="AV17" s="87" t="s">
        <v>331</v>
      </c>
      <c r="AW17" s="87" t="s">
        <v>334</v>
      </c>
      <c r="AX17" s="87" t="s">
        <v>331</v>
      </c>
      <c r="AY17" s="87" t="s">
        <v>334</v>
      </c>
      <c r="AZ17" s="87" t="s">
        <v>331</v>
      </c>
      <c r="BA17" s="87" t="s">
        <v>334</v>
      </c>
      <c r="BB17" s="87" t="s">
        <v>331</v>
      </c>
      <c r="BC17" s="87" t="s">
        <v>334</v>
      </c>
      <c r="BD17" s="87" t="s">
        <v>331</v>
      </c>
      <c r="BE17" s="87" t="s">
        <v>334</v>
      </c>
      <c r="BF17" s="87" t="s">
        <v>331</v>
      </c>
      <c r="BG17" s="87" t="s">
        <v>330</v>
      </c>
      <c r="BH17" s="87" t="s">
        <v>329</v>
      </c>
      <c r="BI17" s="87" t="s">
        <v>334</v>
      </c>
      <c r="BJ17" s="87" t="s">
        <v>331</v>
      </c>
      <c r="BK17" s="87" t="s">
        <v>330</v>
      </c>
      <c r="BL17" s="87" t="s">
        <v>329</v>
      </c>
      <c r="BM17" s="87" t="s">
        <v>332</v>
      </c>
      <c r="BN17" s="87" t="s">
        <v>332</v>
      </c>
      <c r="BO17" s="87" t="s">
        <v>330</v>
      </c>
      <c r="BP17" s="87" t="s">
        <v>331</v>
      </c>
      <c r="BQ17" s="87" t="s">
        <v>330</v>
      </c>
      <c r="BR17" s="87" t="s">
        <v>331</v>
      </c>
      <c r="BS17" s="87" t="s">
        <v>330</v>
      </c>
      <c r="BT17" s="87" t="s">
        <v>331</v>
      </c>
      <c r="BU17" s="87" t="s">
        <v>335</v>
      </c>
      <c r="BV17" s="87" t="s">
        <v>329</v>
      </c>
      <c r="BW17" s="87" t="s">
        <v>330</v>
      </c>
      <c r="BX17" s="87" t="s">
        <v>331</v>
      </c>
      <c r="BY17" s="87" t="s">
        <v>330</v>
      </c>
      <c r="BZ17" s="87" t="s">
        <v>329</v>
      </c>
      <c r="CA17" s="87" t="s">
        <v>330</v>
      </c>
      <c r="CB17" s="87" t="s">
        <v>329</v>
      </c>
      <c r="CC17" s="87" t="s">
        <v>330</v>
      </c>
      <c r="CD17" s="87" t="s">
        <v>329</v>
      </c>
      <c r="CE17" s="87" t="s">
        <v>330</v>
      </c>
      <c r="CF17" s="87" t="s">
        <v>331</v>
      </c>
      <c r="CG17" s="87" t="s">
        <v>330</v>
      </c>
      <c r="CH17" s="87" t="s">
        <v>331</v>
      </c>
    </row>
    <row r="18" spans="1:86" x14ac:dyDescent="0.25">
      <c r="A18">
        <v>92</v>
      </c>
      <c r="B18">
        <v>75</v>
      </c>
      <c r="C18" s="87" t="s">
        <v>335</v>
      </c>
      <c r="D18" s="87" t="s">
        <v>329</v>
      </c>
      <c r="E18" s="87" t="s">
        <v>330</v>
      </c>
      <c r="F18" s="87" t="s">
        <v>331</v>
      </c>
      <c r="G18" s="87" t="s">
        <v>330</v>
      </c>
      <c r="H18" s="87" t="s">
        <v>331</v>
      </c>
      <c r="I18" s="87" t="s">
        <v>330</v>
      </c>
      <c r="J18" s="87" t="s">
        <v>339</v>
      </c>
      <c r="K18" s="87" t="s">
        <v>332</v>
      </c>
      <c r="L18" s="87" t="s">
        <v>332</v>
      </c>
      <c r="M18" s="87" t="s">
        <v>337</v>
      </c>
      <c r="N18" s="87" t="s">
        <v>331</v>
      </c>
      <c r="O18" s="87" t="s">
        <v>337</v>
      </c>
      <c r="P18" s="87" t="s">
        <v>331</v>
      </c>
      <c r="Q18" s="87" t="s">
        <v>335</v>
      </c>
      <c r="R18" s="87" t="s">
        <v>329</v>
      </c>
      <c r="S18" s="87" t="s">
        <v>330</v>
      </c>
      <c r="T18" s="87" t="s">
        <v>331</v>
      </c>
      <c r="U18" s="87" t="s">
        <v>330</v>
      </c>
      <c r="V18" s="87" t="s">
        <v>331</v>
      </c>
      <c r="W18" s="87" t="s">
        <v>330</v>
      </c>
      <c r="X18" s="87" t="s">
        <v>331</v>
      </c>
      <c r="Y18" s="87" t="s">
        <v>330</v>
      </c>
      <c r="Z18" s="87" t="s">
        <v>331</v>
      </c>
      <c r="AA18" s="87" t="s">
        <v>330</v>
      </c>
      <c r="AB18" s="87" t="s">
        <v>331</v>
      </c>
      <c r="AC18" s="87" t="s">
        <v>330</v>
      </c>
      <c r="AD18" s="87" t="s">
        <v>331</v>
      </c>
      <c r="AE18" s="87" t="s">
        <v>335</v>
      </c>
      <c r="AF18" s="87" t="s">
        <v>329</v>
      </c>
      <c r="AG18" s="87" t="s">
        <v>330</v>
      </c>
      <c r="AH18" s="87" t="s">
        <v>331</v>
      </c>
      <c r="AI18" s="87" t="s">
        <v>330</v>
      </c>
      <c r="AJ18" s="87" t="s">
        <v>331</v>
      </c>
      <c r="AK18" s="87" t="s">
        <v>330</v>
      </c>
      <c r="AL18" s="87" t="s">
        <v>331</v>
      </c>
      <c r="AM18" s="87" t="s">
        <v>330</v>
      </c>
      <c r="AN18" s="87" t="s">
        <v>331</v>
      </c>
      <c r="AO18" s="87" t="s">
        <v>330</v>
      </c>
      <c r="AP18" s="87" t="s">
        <v>331</v>
      </c>
      <c r="AQ18" s="87" t="s">
        <v>330</v>
      </c>
      <c r="AR18" s="87" t="s">
        <v>331</v>
      </c>
      <c r="AS18" s="87" t="s">
        <v>335</v>
      </c>
      <c r="AT18" s="87" t="s">
        <v>329</v>
      </c>
      <c r="AU18" s="87" t="s">
        <v>330</v>
      </c>
      <c r="AV18" s="87" t="s">
        <v>331</v>
      </c>
      <c r="AW18" s="87" t="s">
        <v>330</v>
      </c>
      <c r="AX18" s="87" t="s">
        <v>331</v>
      </c>
      <c r="AY18" s="87" t="s">
        <v>330</v>
      </c>
      <c r="AZ18" s="87" t="s">
        <v>331</v>
      </c>
      <c r="BA18" s="87" t="s">
        <v>330</v>
      </c>
      <c r="BB18" s="87" t="s">
        <v>331</v>
      </c>
      <c r="BC18" s="87" t="s">
        <v>330</v>
      </c>
      <c r="BD18" s="87" t="s">
        <v>331</v>
      </c>
      <c r="BE18" s="87" t="s">
        <v>330</v>
      </c>
      <c r="BF18" s="87" t="s">
        <v>331</v>
      </c>
      <c r="BG18" s="87" t="s">
        <v>335</v>
      </c>
      <c r="BH18" s="87" t="s">
        <v>329</v>
      </c>
      <c r="BI18" s="87" t="s">
        <v>330</v>
      </c>
      <c r="BJ18" s="87" t="s">
        <v>331</v>
      </c>
      <c r="BK18" s="87" t="s">
        <v>333</v>
      </c>
      <c r="BL18" s="87" t="s">
        <v>339</v>
      </c>
      <c r="BM18" s="87" t="s">
        <v>332</v>
      </c>
      <c r="BN18" s="87" t="s">
        <v>332</v>
      </c>
      <c r="BO18" s="87" t="s">
        <v>330</v>
      </c>
      <c r="BP18" s="87" t="s">
        <v>331</v>
      </c>
      <c r="BQ18" s="87" t="s">
        <v>330</v>
      </c>
      <c r="BR18" s="87" t="s">
        <v>331</v>
      </c>
      <c r="BS18" s="87" t="s">
        <v>330</v>
      </c>
      <c r="BT18" s="87" t="s">
        <v>331</v>
      </c>
      <c r="BU18" s="87" t="s">
        <v>335</v>
      </c>
      <c r="BV18" s="87" t="s">
        <v>329</v>
      </c>
      <c r="BW18" s="87" t="s">
        <v>330</v>
      </c>
      <c r="BX18" s="87" t="s">
        <v>331</v>
      </c>
      <c r="BY18" s="87" t="s">
        <v>330</v>
      </c>
      <c r="BZ18" s="87" t="s">
        <v>339</v>
      </c>
      <c r="CA18" s="87" t="s">
        <v>330</v>
      </c>
      <c r="CB18" s="87" t="s">
        <v>331</v>
      </c>
      <c r="CC18" s="87" t="s">
        <v>330</v>
      </c>
      <c r="CD18" s="87" t="s">
        <v>331</v>
      </c>
      <c r="CE18" s="87" t="s">
        <v>330</v>
      </c>
      <c r="CF18" s="87" t="s">
        <v>331</v>
      </c>
      <c r="CG18" s="87" t="s">
        <v>330</v>
      </c>
      <c r="CH18" s="87" t="s">
        <v>331</v>
      </c>
    </row>
    <row r="19" spans="1:86" x14ac:dyDescent="0.25">
      <c r="A19">
        <v>102</v>
      </c>
      <c r="B19">
        <v>79</v>
      </c>
      <c r="C19" s="87" t="s">
        <v>328</v>
      </c>
      <c r="D19" s="87" t="s">
        <v>329</v>
      </c>
      <c r="E19" s="87" t="s">
        <v>330</v>
      </c>
      <c r="F19" s="87" t="s">
        <v>331</v>
      </c>
      <c r="G19" s="87" t="s">
        <v>330</v>
      </c>
      <c r="H19" s="87" t="s">
        <v>331</v>
      </c>
      <c r="I19" s="87" t="s">
        <v>330</v>
      </c>
      <c r="J19" s="87" t="s">
        <v>331</v>
      </c>
      <c r="K19" s="87" t="s">
        <v>332</v>
      </c>
      <c r="L19" s="87" t="s">
        <v>332</v>
      </c>
      <c r="M19" s="87" t="s">
        <v>333</v>
      </c>
      <c r="N19" s="87" t="s">
        <v>331</v>
      </c>
      <c r="O19" s="87" t="s">
        <v>334</v>
      </c>
      <c r="P19" s="87" t="s">
        <v>331</v>
      </c>
      <c r="Q19" s="87" t="s">
        <v>328</v>
      </c>
      <c r="R19" s="87" t="s">
        <v>329</v>
      </c>
      <c r="S19" s="87" t="s">
        <v>330</v>
      </c>
      <c r="T19" s="87" t="s">
        <v>331</v>
      </c>
      <c r="U19" s="87" t="s">
        <v>330</v>
      </c>
      <c r="V19" s="87" t="s">
        <v>331</v>
      </c>
      <c r="W19" s="87" t="s">
        <v>330</v>
      </c>
      <c r="X19" s="87" t="s">
        <v>331</v>
      </c>
      <c r="Y19" s="87" t="s">
        <v>330</v>
      </c>
      <c r="Z19" s="87" t="s">
        <v>331</v>
      </c>
      <c r="AA19" s="87" t="s">
        <v>330</v>
      </c>
      <c r="AB19" s="87" t="s">
        <v>331</v>
      </c>
      <c r="AC19" s="87" t="s">
        <v>330</v>
      </c>
      <c r="AD19" s="87" t="s">
        <v>331</v>
      </c>
      <c r="AE19" s="87" t="s">
        <v>328</v>
      </c>
      <c r="AF19" s="87" t="s">
        <v>329</v>
      </c>
      <c r="AG19" s="87" t="s">
        <v>330</v>
      </c>
      <c r="AH19" s="87" t="s">
        <v>331</v>
      </c>
      <c r="AI19" s="87" t="s">
        <v>330</v>
      </c>
      <c r="AJ19" s="87" t="s">
        <v>331</v>
      </c>
      <c r="AK19" s="87" t="s">
        <v>330</v>
      </c>
      <c r="AL19" s="87" t="s">
        <v>331</v>
      </c>
      <c r="AM19" s="87" t="s">
        <v>330</v>
      </c>
      <c r="AN19" s="87" t="s">
        <v>331</v>
      </c>
      <c r="AO19" s="87" t="s">
        <v>330</v>
      </c>
      <c r="AP19" s="87" t="s">
        <v>331</v>
      </c>
      <c r="AQ19" s="87" t="s">
        <v>334</v>
      </c>
      <c r="AR19" s="87" t="s">
        <v>331</v>
      </c>
      <c r="AS19" s="87" t="s">
        <v>335</v>
      </c>
      <c r="AT19" s="87" t="s">
        <v>338</v>
      </c>
      <c r="AU19" s="87" t="s">
        <v>330</v>
      </c>
      <c r="AV19" s="87" t="s">
        <v>331</v>
      </c>
      <c r="AW19" s="87" t="s">
        <v>330</v>
      </c>
      <c r="AX19" s="87" t="s">
        <v>331</v>
      </c>
      <c r="AY19" s="87" t="s">
        <v>330</v>
      </c>
      <c r="AZ19" s="87" t="s">
        <v>331</v>
      </c>
      <c r="BA19" s="87" t="s">
        <v>330</v>
      </c>
      <c r="BB19" s="87" t="s">
        <v>331</v>
      </c>
      <c r="BC19" s="87" t="s">
        <v>330</v>
      </c>
      <c r="BD19" s="87" t="s">
        <v>331</v>
      </c>
      <c r="BE19" s="87" t="s">
        <v>334</v>
      </c>
      <c r="BF19" s="87" t="s">
        <v>331</v>
      </c>
      <c r="BG19" s="87" t="s">
        <v>330</v>
      </c>
      <c r="BH19" s="87" t="s">
        <v>336</v>
      </c>
      <c r="BI19" s="87" t="s">
        <v>334</v>
      </c>
      <c r="BJ19" s="87" t="s">
        <v>331</v>
      </c>
      <c r="BK19" s="87" t="s">
        <v>334</v>
      </c>
      <c r="BL19" s="87" t="s">
        <v>329</v>
      </c>
      <c r="BM19" s="87" t="s">
        <v>332</v>
      </c>
      <c r="BN19" s="87" t="s">
        <v>332</v>
      </c>
      <c r="BO19" s="87" t="s">
        <v>334</v>
      </c>
      <c r="BP19" s="87" t="s">
        <v>331</v>
      </c>
      <c r="BQ19" s="87" t="s">
        <v>330</v>
      </c>
      <c r="BR19" s="87" t="s">
        <v>331</v>
      </c>
      <c r="BS19" s="87" t="s">
        <v>330</v>
      </c>
      <c r="BT19" s="87" t="s">
        <v>331</v>
      </c>
      <c r="BU19" s="87" t="s">
        <v>328</v>
      </c>
      <c r="BV19" s="87" t="s">
        <v>329</v>
      </c>
      <c r="BW19" s="87" t="s">
        <v>330</v>
      </c>
      <c r="BX19" s="87" t="s">
        <v>331</v>
      </c>
      <c r="BY19" s="87" t="s">
        <v>330</v>
      </c>
      <c r="BZ19" s="87" t="s">
        <v>329</v>
      </c>
      <c r="CA19" s="87" t="s">
        <v>330</v>
      </c>
      <c r="CB19" s="87" t="s">
        <v>329</v>
      </c>
      <c r="CC19" s="87" t="s">
        <v>330</v>
      </c>
      <c r="CD19" s="87" t="s">
        <v>331</v>
      </c>
      <c r="CE19" s="87" t="s">
        <v>330</v>
      </c>
      <c r="CF19" s="87" t="s">
        <v>331</v>
      </c>
      <c r="CG19" s="87" t="s">
        <v>330</v>
      </c>
      <c r="CH19" s="87" t="s">
        <v>331</v>
      </c>
    </row>
    <row r="20" spans="1:86" x14ac:dyDescent="0.25">
      <c r="A20">
        <v>108</v>
      </c>
      <c r="B20">
        <v>83</v>
      </c>
      <c r="C20" s="87" t="s">
        <v>330</v>
      </c>
      <c r="D20" s="87" t="s">
        <v>338</v>
      </c>
      <c r="E20" s="87" t="s">
        <v>330</v>
      </c>
      <c r="F20" s="87" t="s">
        <v>331</v>
      </c>
      <c r="G20" s="87" t="s">
        <v>330</v>
      </c>
      <c r="H20" s="87" t="s">
        <v>331</v>
      </c>
      <c r="I20" s="87" t="s">
        <v>330</v>
      </c>
      <c r="J20" s="87" t="s">
        <v>331</v>
      </c>
      <c r="K20" s="87" t="s">
        <v>332</v>
      </c>
      <c r="L20" s="87" t="s">
        <v>332</v>
      </c>
      <c r="M20" s="87" t="s">
        <v>340</v>
      </c>
      <c r="N20" s="87" t="s">
        <v>331</v>
      </c>
      <c r="O20" s="87" t="s">
        <v>330</v>
      </c>
      <c r="P20" s="87" t="s">
        <v>331</v>
      </c>
      <c r="Q20" s="87" t="s">
        <v>330</v>
      </c>
      <c r="R20" s="87" t="s">
        <v>338</v>
      </c>
      <c r="S20" s="87" t="s">
        <v>330</v>
      </c>
      <c r="T20" s="87" t="s">
        <v>331</v>
      </c>
      <c r="U20" s="87" t="s">
        <v>330</v>
      </c>
      <c r="V20" s="87" t="s">
        <v>331</v>
      </c>
      <c r="W20" s="87" t="s">
        <v>330</v>
      </c>
      <c r="X20" s="87" t="s">
        <v>331</v>
      </c>
      <c r="Y20" s="87" t="s">
        <v>330</v>
      </c>
      <c r="Z20" s="87" t="s">
        <v>331</v>
      </c>
      <c r="AA20" s="87" t="s">
        <v>330</v>
      </c>
      <c r="AB20" s="87" t="s">
        <v>331</v>
      </c>
      <c r="AC20" s="87" t="s">
        <v>330</v>
      </c>
      <c r="AD20" s="87" t="s">
        <v>331</v>
      </c>
      <c r="AE20" s="87" t="s">
        <v>330</v>
      </c>
      <c r="AF20" s="87" t="s">
        <v>338</v>
      </c>
      <c r="AG20" s="87" t="s">
        <v>330</v>
      </c>
      <c r="AH20" s="87" t="s">
        <v>331</v>
      </c>
      <c r="AI20" s="87" t="s">
        <v>330</v>
      </c>
      <c r="AJ20" s="87" t="s">
        <v>331</v>
      </c>
      <c r="AK20" s="87" t="s">
        <v>330</v>
      </c>
      <c r="AL20" s="87" t="s">
        <v>331</v>
      </c>
      <c r="AM20" s="87" t="s">
        <v>330</v>
      </c>
      <c r="AN20" s="87" t="s">
        <v>331</v>
      </c>
      <c r="AO20" s="87" t="s">
        <v>330</v>
      </c>
      <c r="AP20" s="87" t="s">
        <v>331</v>
      </c>
      <c r="AQ20" s="87" t="s">
        <v>334</v>
      </c>
      <c r="AR20" s="87" t="s">
        <v>331</v>
      </c>
      <c r="AS20" s="87" t="s">
        <v>330</v>
      </c>
      <c r="AT20" s="87" t="s">
        <v>338</v>
      </c>
      <c r="AU20" s="87" t="s">
        <v>330</v>
      </c>
      <c r="AV20" s="87" t="s">
        <v>331</v>
      </c>
      <c r="AW20" s="87" t="s">
        <v>330</v>
      </c>
      <c r="AX20" s="87" t="s">
        <v>331</v>
      </c>
      <c r="AY20" s="87" t="s">
        <v>330</v>
      </c>
      <c r="AZ20" s="87" t="s">
        <v>331</v>
      </c>
      <c r="BA20" s="87" t="s">
        <v>330</v>
      </c>
      <c r="BB20" s="87" t="s">
        <v>331</v>
      </c>
      <c r="BC20" s="87" t="s">
        <v>330</v>
      </c>
      <c r="BD20" s="87" t="s">
        <v>331</v>
      </c>
      <c r="BE20" s="87" t="s">
        <v>334</v>
      </c>
      <c r="BF20" s="87" t="s">
        <v>331</v>
      </c>
      <c r="BG20" s="87" t="s">
        <v>330</v>
      </c>
      <c r="BH20" s="87" t="s">
        <v>338</v>
      </c>
      <c r="BI20" s="87" t="s">
        <v>330</v>
      </c>
      <c r="BJ20" s="87" t="s">
        <v>331</v>
      </c>
      <c r="BK20" s="87" t="s">
        <v>333</v>
      </c>
      <c r="BL20" s="87" t="s">
        <v>329</v>
      </c>
      <c r="BM20" s="87" t="s">
        <v>332</v>
      </c>
      <c r="BN20" s="87" t="s">
        <v>332</v>
      </c>
      <c r="BO20" s="87" t="s">
        <v>330</v>
      </c>
      <c r="BP20" s="87" t="s">
        <v>331</v>
      </c>
      <c r="BQ20" s="87" t="s">
        <v>330</v>
      </c>
      <c r="BR20" s="87" t="s">
        <v>331</v>
      </c>
      <c r="BS20" s="87" t="s">
        <v>330</v>
      </c>
      <c r="BT20" s="87" t="s">
        <v>331</v>
      </c>
      <c r="BU20" s="87" t="s">
        <v>330</v>
      </c>
      <c r="BV20" s="87" t="s">
        <v>338</v>
      </c>
      <c r="BW20" s="87" t="s">
        <v>330</v>
      </c>
      <c r="BX20" s="87" t="s">
        <v>331</v>
      </c>
      <c r="BY20" s="87" t="s">
        <v>330</v>
      </c>
      <c r="BZ20" s="87" t="s">
        <v>329</v>
      </c>
      <c r="CA20" s="87" t="s">
        <v>330</v>
      </c>
      <c r="CB20" s="87" t="s">
        <v>331</v>
      </c>
      <c r="CC20" s="87" t="s">
        <v>330</v>
      </c>
      <c r="CD20" s="87" t="s">
        <v>331</v>
      </c>
      <c r="CE20" s="87" t="s">
        <v>330</v>
      </c>
      <c r="CF20" s="87" t="s">
        <v>331</v>
      </c>
      <c r="CG20" s="87" t="s">
        <v>330</v>
      </c>
      <c r="CH20" s="87" t="s">
        <v>331</v>
      </c>
    </row>
    <row r="21" spans="1:86" x14ac:dyDescent="0.25">
      <c r="A21">
        <v>7</v>
      </c>
      <c r="B21">
        <v>11</v>
      </c>
      <c r="C21" s="87" t="s">
        <v>328</v>
      </c>
      <c r="D21" s="87" t="s">
        <v>329</v>
      </c>
      <c r="E21" s="87" t="s">
        <v>330</v>
      </c>
      <c r="F21" s="87" t="s">
        <v>336</v>
      </c>
      <c r="G21" s="87" t="s">
        <v>330</v>
      </c>
      <c r="H21" s="87" t="s">
        <v>336</v>
      </c>
      <c r="I21" s="87" t="s">
        <v>330</v>
      </c>
      <c r="J21" s="87" t="s">
        <v>336</v>
      </c>
      <c r="K21" s="87" t="s">
        <v>332</v>
      </c>
      <c r="L21" s="87" t="s">
        <v>332</v>
      </c>
      <c r="M21" s="87" t="s">
        <v>333</v>
      </c>
      <c r="N21" s="87" t="s">
        <v>331</v>
      </c>
      <c r="O21" s="87" t="s">
        <v>334</v>
      </c>
      <c r="P21" s="87" t="s">
        <v>336</v>
      </c>
      <c r="Q21" s="87" t="s">
        <v>330</v>
      </c>
      <c r="R21" s="87" t="s">
        <v>329</v>
      </c>
      <c r="S21" s="87" t="s">
        <v>330</v>
      </c>
      <c r="T21" s="87" t="s">
        <v>336</v>
      </c>
      <c r="U21" s="87" t="s">
        <v>330</v>
      </c>
      <c r="V21" s="87" t="s">
        <v>336</v>
      </c>
      <c r="W21" s="87" t="s">
        <v>330</v>
      </c>
      <c r="X21" s="87" t="s">
        <v>336</v>
      </c>
      <c r="Y21" s="87" t="s">
        <v>330</v>
      </c>
      <c r="Z21" s="87" t="s">
        <v>336</v>
      </c>
      <c r="AA21" s="87" t="s">
        <v>330</v>
      </c>
      <c r="AB21" s="87" t="s">
        <v>336</v>
      </c>
      <c r="AC21" s="87" t="s">
        <v>330</v>
      </c>
      <c r="AD21" s="87" t="s">
        <v>336</v>
      </c>
      <c r="AE21" s="87" t="s">
        <v>328</v>
      </c>
      <c r="AF21" s="87" t="s">
        <v>329</v>
      </c>
      <c r="AG21" s="87" t="s">
        <v>330</v>
      </c>
      <c r="AH21" s="87" t="s">
        <v>336</v>
      </c>
      <c r="AI21" s="87" t="s">
        <v>330</v>
      </c>
      <c r="AJ21" s="87" t="s">
        <v>336</v>
      </c>
      <c r="AK21" s="87" t="s">
        <v>330</v>
      </c>
      <c r="AL21" s="87" t="s">
        <v>336</v>
      </c>
      <c r="AM21" s="87" t="s">
        <v>330</v>
      </c>
      <c r="AN21" s="87" t="s">
        <v>336</v>
      </c>
      <c r="AO21" s="87" t="s">
        <v>330</v>
      </c>
      <c r="AP21" s="87" t="s">
        <v>336</v>
      </c>
      <c r="AQ21" s="87" t="s">
        <v>334</v>
      </c>
      <c r="AR21" s="87" t="s">
        <v>336</v>
      </c>
      <c r="AS21" s="87" t="s">
        <v>335</v>
      </c>
      <c r="AT21" s="87" t="s">
        <v>338</v>
      </c>
      <c r="AU21" s="87" t="s">
        <v>334</v>
      </c>
      <c r="AV21" s="87" t="s">
        <v>331</v>
      </c>
      <c r="AW21" s="87" t="s">
        <v>334</v>
      </c>
      <c r="AX21" s="87" t="s">
        <v>331</v>
      </c>
      <c r="AY21" s="87" t="s">
        <v>334</v>
      </c>
      <c r="AZ21" s="87" t="s">
        <v>331</v>
      </c>
      <c r="BA21" s="87" t="s">
        <v>334</v>
      </c>
      <c r="BB21" s="87" t="s">
        <v>331</v>
      </c>
      <c r="BC21" s="87" t="s">
        <v>334</v>
      </c>
      <c r="BD21" s="87" t="s">
        <v>331</v>
      </c>
      <c r="BE21" s="87" t="s">
        <v>334</v>
      </c>
      <c r="BF21" s="87" t="s">
        <v>331</v>
      </c>
      <c r="BG21" s="87" t="s">
        <v>335</v>
      </c>
      <c r="BH21" s="87" t="s">
        <v>338</v>
      </c>
      <c r="BI21" s="87" t="s">
        <v>334</v>
      </c>
      <c r="BJ21" s="87" t="s">
        <v>331</v>
      </c>
      <c r="BK21" s="87" t="s">
        <v>334</v>
      </c>
      <c r="BL21" s="87" t="s">
        <v>339</v>
      </c>
      <c r="BM21" s="87" t="s">
        <v>332</v>
      </c>
      <c r="BN21" s="87" t="s">
        <v>332</v>
      </c>
      <c r="BO21" s="87" t="s">
        <v>330</v>
      </c>
      <c r="BP21" s="87" t="s">
        <v>336</v>
      </c>
      <c r="BQ21" s="87" t="s">
        <v>330</v>
      </c>
      <c r="BR21" s="87" t="s">
        <v>336</v>
      </c>
      <c r="BS21" s="87" t="s">
        <v>330</v>
      </c>
      <c r="BT21" s="87" t="s">
        <v>336</v>
      </c>
      <c r="BU21" s="87" t="s">
        <v>328</v>
      </c>
      <c r="BV21" s="87" t="s">
        <v>329</v>
      </c>
      <c r="BW21" s="87" t="s">
        <v>330</v>
      </c>
      <c r="BX21" s="87" t="s">
        <v>336</v>
      </c>
      <c r="BY21" s="87" t="s">
        <v>330</v>
      </c>
      <c r="BZ21" s="87" t="s">
        <v>329</v>
      </c>
      <c r="CA21" s="87" t="s">
        <v>330</v>
      </c>
      <c r="CB21" s="87" t="s">
        <v>329</v>
      </c>
      <c r="CC21" s="87" t="s">
        <v>330</v>
      </c>
      <c r="CD21" s="87" t="s">
        <v>336</v>
      </c>
      <c r="CE21" s="87" t="s">
        <v>330</v>
      </c>
      <c r="CF21" s="87" t="s">
        <v>336</v>
      </c>
      <c r="CG21" s="87" t="s">
        <v>330</v>
      </c>
      <c r="CH21" s="87" t="s">
        <v>336</v>
      </c>
    </row>
    <row r="22" spans="1:86" x14ac:dyDescent="0.25">
      <c r="A22">
        <v>10</v>
      </c>
      <c r="B22">
        <v>12</v>
      </c>
      <c r="C22" s="87" t="s">
        <v>328</v>
      </c>
      <c r="D22" s="87" t="s">
        <v>329</v>
      </c>
      <c r="E22" s="87" t="s">
        <v>330</v>
      </c>
      <c r="F22" s="87" t="s">
        <v>331</v>
      </c>
      <c r="G22" s="87" t="s">
        <v>330</v>
      </c>
      <c r="H22" s="87" t="s">
        <v>331</v>
      </c>
      <c r="I22" s="87" t="s">
        <v>330</v>
      </c>
      <c r="J22" s="87" t="s">
        <v>331</v>
      </c>
      <c r="K22" s="87" t="s">
        <v>332</v>
      </c>
      <c r="L22" s="87" t="s">
        <v>332</v>
      </c>
      <c r="M22" s="87" t="s">
        <v>333</v>
      </c>
      <c r="N22" s="87" t="s">
        <v>331</v>
      </c>
      <c r="O22" s="87" t="s">
        <v>330</v>
      </c>
      <c r="P22" s="87" t="s">
        <v>331</v>
      </c>
      <c r="Q22" s="87" t="s">
        <v>328</v>
      </c>
      <c r="R22" s="87" t="s">
        <v>329</v>
      </c>
      <c r="S22" s="87" t="s">
        <v>330</v>
      </c>
      <c r="T22" s="87" t="s">
        <v>331</v>
      </c>
      <c r="U22" s="87" t="s">
        <v>330</v>
      </c>
      <c r="V22" s="87" t="s">
        <v>331</v>
      </c>
      <c r="W22" s="87" t="s">
        <v>330</v>
      </c>
      <c r="X22" s="87" t="s">
        <v>331</v>
      </c>
      <c r="Y22" s="87" t="s">
        <v>330</v>
      </c>
      <c r="Z22" s="87" t="s">
        <v>331</v>
      </c>
      <c r="AA22" s="87" t="s">
        <v>330</v>
      </c>
      <c r="AB22" s="87" t="s">
        <v>331</v>
      </c>
      <c r="AC22" s="87" t="s">
        <v>330</v>
      </c>
      <c r="AD22" s="87" t="s">
        <v>331</v>
      </c>
      <c r="AE22" s="87" t="s">
        <v>328</v>
      </c>
      <c r="AF22" s="87" t="s">
        <v>329</v>
      </c>
      <c r="AG22" s="87" t="s">
        <v>330</v>
      </c>
      <c r="AH22" s="87" t="s">
        <v>331</v>
      </c>
      <c r="AI22" s="87" t="s">
        <v>330</v>
      </c>
      <c r="AJ22" s="87" t="s">
        <v>331</v>
      </c>
      <c r="AK22" s="87" t="s">
        <v>330</v>
      </c>
      <c r="AL22" s="87" t="s">
        <v>331</v>
      </c>
      <c r="AM22" s="87" t="s">
        <v>330</v>
      </c>
      <c r="AN22" s="87" t="s">
        <v>331</v>
      </c>
      <c r="AO22" s="87" t="s">
        <v>330</v>
      </c>
      <c r="AP22" s="87" t="s">
        <v>331</v>
      </c>
      <c r="AQ22" s="87" t="s">
        <v>334</v>
      </c>
      <c r="AR22" s="87" t="s">
        <v>331</v>
      </c>
      <c r="AS22" s="87" t="s">
        <v>328</v>
      </c>
      <c r="AT22" s="87" t="s">
        <v>329</v>
      </c>
      <c r="AU22" s="87" t="s">
        <v>330</v>
      </c>
      <c r="AV22" s="87" t="s">
        <v>331</v>
      </c>
      <c r="AW22" s="87" t="s">
        <v>330</v>
      </c>
      <c r="AX22" s="87" t="s">
        <v>331</v>
      </c>
      <c r="AY22" s="87" t="s">
        <v>330</v>
      </c>
      <c r="AZ22" s="87" t="s">
        <v>331</v>
      </c>
      <c r="BA22" s="87" t="s">
        <v>330</v>
      </c>
      <c r="BB22" s="87" t="s">
        <v>331</v>
      </c>
      <c r="BC22" s="87" t="s">
        <v>330</v>
      </c>
      <c r="BD22" s="87" t="s">
        <v>331</v>
      </c>
      <c r="BE22" s="87" t="s">
        <v>334</v>
      </c>
      <c r="BF22" s="87" t="s">
        <v>331</v>
      </c>
      <c r="BG22" s="87" t="s">
        <v>330</v>
      </c>
      <c r="BH22" s="87" t="s">
        <v>329</v>
      </c>
      <c r="BI22" s="87" t="s">
        <v>334</v>
      </c>
      <c r="BJ22" s="87" t="s">
        <v>331</v>
      </c>
      <c r="BK22" s="87" t="s">
        <v>334</v>
      </c>
      <c r="BL22" s="87" t="s">
        <v>329</v>
      </c>
      <c r="BM22" s="87" t="s">
        <v>332</v>
      </c>
      <c r="BN22" s="87" t="s">
        <v>332</v>
      </c>
      <c r="BO22" s="87" t="s">
        <v>334</v>
      </c>
      <c r="BP22" s="87" t="s">
        <v>331</v>
      </c>
      <c r="BQ22" s="87" t="s">
        <v>330</v>
      </c>
      <c r="BR22" s="87" t="s">
        <v>331</v>
      </c>
      <c r="BS22" s="87" t="s">
        <v>330</v>
      </c>
      <c r="BT22" s="87" t="s">
        <v>331</v>
      </c>
      <c r="BU22" s="87" t="s">
        <v>328</v>
      </c>
      <c r="BV22" s="87" t="s">
        <v>329</v>
      </c>
      <c r="BW22" s="87" t="s">
        <v>330</v>
      </c>
      <c r="BX22" s="87" t="s">
        <v>331</v>
      </c>
      <c r="BY22" s="87" t="s">
        <v>330</v>
      </c>
      <c r="BZ22" s="87" t="s">
        <v>329</v>
      </c>
      <c r="CA22" s="87" t="s">
        <v>330</v>
      </c>
      <c r="CB22" s="87" t="s">
        <v>329</v>
      </c>
      <c r="CC22" s="87" t="s">
        <v>330</v>
      </c>
      <c r="CD22" s="87" t="s">
        <v>331</v>
      </c>
      <c r="CE22" s="87" t="s">
        <v>330</v>
      </c>
      <c r="CF22" s="87" t="s">
        <v>331</v>
      </c>
      <c r="CG22" s="87" t="s">
        <v>330</v>
      </c>
      <c r="CH22" s="87" t="s">
        <v>331</v>
      </c>
    </row>
    <row r="23" spans="1:86" x14ac:dyDescent="0.25">
      <c r="A23">
        <v>13</v>
      </c>
      <c r="B23">
        <v>15</v>
      </c>
      <c r="C23" s="87" t="s">
        <v>328</v>
      </c>
      <c r="D23" s="87" t="s">
        <v>329</v>
      </c>
      <c r="E23" s="87" t="s">
        <v>330</v>
      </c>
      <c r="F23" s="87" t="s">
        <v>331</v>
      </c>
      <c r="G23" s="87" t="s">
        <v>330</v>
      </c>
      <c r="H23" s="87" t="s">
        <v>331</v>
      </c>
      <c r="I23" s="87" t="s">
        <v>330</v>
      </c>
      <c r="J23" s="87" t="s">
        <v>331</v>
      </c>
      <c r="K23" s="87" t="s">
        <v>332</v>
      </c>
      <c r="L23" s="87" t="s">
        <v>332</v>
      </c>
      <c r="M23" s="87" t="s">
        <v>333</v>
      </c>
      <c r="N23" s="87" t="s">
        <v>331</v>
      </c>
      <c r="O23" s="87" t="s">
        <v>330</v>
      </c>
      <c r="P23" s="87" t="s">
        <v>331</v>
      </c>
      <c r="Q23" s="87" t="s">
        <v>328</v>
      </c>
      <c r="R23" s="87" t="s">
        <v>329</v>
      </c>
      <c r="S23" s="87" t="s">
        <v>330</v>
      </c>
      <c r="T23" s="87" t="s">
        <v>331</v>
      </c>
      <c r="U23" s="87" t="s">
        <v>330</v>
      </c>
      <c r="V23" s="87" t="s">
        <v>331</v>
      </c>
      <c r="W23" s="87" t="s">
        <v>330</v>
      </c>
      <c r="X23" s="87" t="s">
        <v>331</v>
      </c>
      <c r="Y23" s="87" t="s">
        <v>330</v>
      </c>
      <c r="Z23" s="87" t="s">
        <v>331</v>
      </c>
      <c r="AA23" s="87" t="s">
        <v>330</v>
      </c>
      <c r="AB23" s="87" t="s">
        <v>331</v>
      </c>
      <c r="AC23" s="87" t="s">
        <v>330</v>
      </c>
      <c r="AD23" s="87" t="s">
        <v>331</v>
      </c>
      <c r="AE23" s="87" t="s">
        <v>328</v>
      </c>
      <c r="AF23" s="87" t="s">
        <v>329</v>
      </c>
      <c r="AG23" s="87" t="s">
        <v>330</v>
      </c>
      <c r="AH23" s="87" t="s">
        <v>331</v>
      </c>
      <c r="AI23" s="87" t="s">
        <v>330</v>
      </c>
      <c r="AJ23" s="87" t="s">
        <v>331</v>
      </c>
      <c r="AK23" s="87" t="s">
        <v>330</v>
      </c>
      <c r="AL23" s="87" t="s">
        <v>331</v>
      </c>
      <c r="AM23" s="87" t="s">
        <v>330</v>
      </c>
      <c r="AN23" s="87" t="s">
        <v>331</v>
      </c>
      <c r="AO23" s="87" t="s">
        <v>330</v>
      </c>
      <c r="AP23" s="87" t="s">
        <v>331</v>
      </c>
      <c r="AQ23" s="87" t="s">
        <v>334</v>
      </c>
      <c r="AR23" s="87" t="s">
        <v>331</v>
      </c>
      <c r="AS23" s="87" t="s">
        <v>328</v>
      </c>
      <c r="AT23" s="87" t="s">
        <v>329</v>
      </c>
      <c r="AU23" s="87" t="s">
        <v>330</v>
      </c>
      <c r="AV23" s="87" t="s">
        <v>331</v>
      </c>
      <c r="AW23" s="87" t="s">
        <v>330</v>
      </c>
      <c r="AX23" s="87" t="s">
        <v>331</v>
      </c>
      <c r="AY23" s="87" t="s">
        <v>330</v>
      </c>
      <c r="AZ23" s="87" t="s">
        <v>331</v>
      </c>
      <c r="BA23" s="87" t="s">
        <v>330</v>
      </c>
      <c r="BB23" s="87" t="s">
        <v>331</v>
      </c>
      <c r="BC23" s="87" t="s">
        <v>330</v>
      </c>
      <c r="BD23" s="87" t="s">
        <v>331</v>
      </c>
      <c r="BE23" s="87" t="s">
        <v>334</v>
      </c>
      <c r="BF23" s="87" t="s">
        <v>331</v>
      </c>
      <c r="BG23" s="87" t="s">
        <v>330</v>
      </c>
      <c r="BH23" s="87" t="s">
        <v>329</v>
      </c>
      <c r="BI23" s="87" t="s">
        <v>334</v>
      </c>
      <c r="BJ23" s="87" t="s">
        <v>331</v>
      </c>
      <c r="BK23" s="87" t="s">
        <v>334</v>
      </c>
      <c r="BL23" s="87" t="s">
        <v>329</v>
      </c>
      <c r="BM23" s="87" t="s">
        <v>332</v>
      </c>
      <c r="BN23" s="87" t="s">
        <v>332</v>
      </c>
      <c r="BO23" s="87" t="s">
        <v>334</v>
      </c>
      <c r="BP23" s="87" t="s">
        <v>331</v>
      </c>
      <c r="BQ23" s="87" t="s">
        <v>330</v>
      </c>
      <c r="BR23" s="87" t="s">
        <v>331</v>
      </c>
      <c r="BS23" s="87" t="s">
        <v>330</v>
      </c>
      <c r="BT23" s="87" t="s">
        <v>331</v>
      </c>
      <c r="BU23" s="87" t="s">
        <v>328</v>
      </c>
      <c r="BV23" s="87" t="s">
        <v>329</v>
      </c>
      <c r="BW23" s="87" t="s">
        <v>330</v>
      </c>
      <c r="BX23" s="87" t="s">
        <v>331</v>
      </c>
      <c r="BY23" s="87" t="s">
        <v>330</v>
      </c>
      <c r="BZ23" s="87" t="s">
        <v>329</v>
      </c>
      <c r="CA23" s="87" t="s">
        <v>330</v>
      </c>
      <c r="CB23" s="87" t="s">
        <v>329</v>
      </c>
      <c r="CC23" s="87" t="s">
        <v>330</v>
      </c>
      <c r="CD23" s="87" t="s">
        <v>331</v>
      </c>
      <c r="CE23" s="87" t="s">
        <v>330</v>
      </c>
      <c r="CF23" s="87" t="s">
        <v>331</v>
      </c>
      <c r="CG23" s="87" t="s">
        <v>330</v>
      </c>
      <c r="CH23" s="87" t="s">
        <v>331</v>
      </c>
    </row>
    <row r="24" spans="1:86" x14ac:dyDescent="0.25">
      <c r="A24">
        <v>14</v>
      </c>
      <c r="B24">
        <v>18</v>
      </c>
      <c r="C24" s="87" t="s">
        <v>328</v>
      </c>
      <c r="D24" s="87" t="s">
        <v>329</v>
      </c>
      <c r="E24" s="87" t="s">
        <v>330</v>
      </c>
      <c r="F24" s="87" t="s">
        <v>331</v>
      </c>
      <c r="G24" s="87" t="s">
        <v>330</v>
      </c>
      <c r="H24" s="87" t="s">
        <v>331</v>
      </c>
      <c r="I24" s="87" t="s">
        <v>330</v>
      </c>
      <c r="J24" s="87" t="s">
        <v>331</v>
      </c>
      <c r="K24" s="87" t="s">
        <v>332</v>
      </c>
      <c r="L24" s="87" t="s">
        <v>332</v>
      </c>
      <c r="M24" s="87" t="s">
        <v>337</v>
      </c>
      <c r="N24" s="87" t="s">
        <v>331</v>
      </c>
      <c r="O24" s="87" t="s">
        <v>330</v>
      </c>
      <c r="P24" s="87" t="s">
        <v>331</v>
      </c>
      <c r="Q24" s="87" t="s">
        <v>328</v>
      </c>
      <c r="R24" s="87" t="s">
        <v>329</v>
      </c>
      <c r="S24" s="87" t="s">
        <v>330</v>
      </c>
      <c r="T24" s="87" t="s">
        <v>331</v>
      </c>
      <c r="U24" s="87" t="s">
        <v>330</v>
      </c>
      <c r="V24" s="87" t="s">
        <v>331</v>
      </c>
      <c r="W24" s="87" t="s">
        <v>330</v>
      </c>
      <c r="X24" s="87" t="s">
        <v>331</v>
      </c>
      <c r="Y24" s="87" t="s">
        <v>330</v>
      </c>
      <c r="Z24" s="87" t="s">
        <v>331</v>
      </c>
      <c r="AA24" s="87" t="s">
        <v>330</v>
      </c>
      <c r="AB24" s="87" t="s">
        <v>331</v>
      </c>
      <c r="AC24" s="87" t="s">
        <v>330</v>
      </c>
      <c r="AD24" s="87" t="s">
        <v>331</v>
      </c>
      <c r="AE24" s="87" t="s">
        <v>328</v>
      </c>
      <c r="AF24" s="87" t="s">
        <v>329</v>
      </c>
      <c r="AG24" s="87" t="s">
        <v>330</v>
      </c>
      <c r="AH24" s="87" t="s">
        <v>331</v>
      </c>
      <c r="AI24" s="87" t="s">
        <v>330</v>
      </c>
      <c r="AJ24" s="87" t="s">
        <v>331</v>
      </c>
      <c r="AK24" s="87" t="s">
        <v>330</v>
      </c>
      <c r="AL24" s="87" t="s">
        <v>331</v>
      </c>
      <c r="AM24" s="87" t="s">
        <v>330</v>
      </c>
      <c r="AN24" s="87" t="s">
        <v>331</v>
      </c>
      <c r="AO24" s="87" t="s">
        <v>330</v>
      </c>
      <c r="AP24" s="87" t="s">
        <v>331</v>
      </c>
      <c r="AQ24" s="87" t="s">
        <v>330</v>
      </c>
      <c r="AR24" s="87" t="s">
        <v>331</v>
      </c>
      <c r="AS24" s="87" t="s">
        <v>328</v>
      </c>
      <c r="AT24" s="87" t="s">
        <v>329</v>
      </c>
      <c r="AU24" s="87" t="s">
        <v>330</v>
      </c>
      <c r="AV24" s="87" t="s">
        <v>331</v>
      </c>
      <c r="AW24" s="87" t="s">
        <v>330</v>
      </c>
      <c r="AX24" s="87" t="s">
        <v>331</v>
      </c>
      <c r="AY24" s="87" t="s">
        <v>330</v>
      </c>
      <c r="AZ24" s="87" t="s">
        <v>331</v>
      </c>
      <c r="BA24" s="87" t="s">
        <v>330</v>
      </c>
      <c r="BB24" s="87" t="s">
        <v>331</v>
      </c>
      <c r="BC24" s="87" t="s">
        <v>330</v>
      </c>
      <c r="BD24" s="87" t="s">
        <v>331</v>
      </c>
      <c r="BE24" s="87" t="s">
        <v>334</v>
      </c>
      <c r="BF24" s="87" t="s">
        <v>331</v>
      </c>
      <c r="BG24" s="87" t="s">
        <v>335</v>
      </c>
      <c r="BH24" s="87" t="s">
        <v>329</v>
      </c>
      <c r="BI24" s="87" t="s">
        <v>330</v>
      </c>
      <c r="BJ24" s="87" t="s">
        <v>331</v>
      </c>
      <c r="BK24" s="87" t="s">
        <v>333</v>
      </c>
      <c r="BL24" s="87" t="s">
        <v>329</v>
      </c>
      <c r="BM24" s="87" t="s">
        <v>332</v>
      </c>
      <c r="BN24" s="87" t="s">
        <v>332</v>
      </c>
      <c r="BO24" s="87" t="s">
        <v>330</v>
      </c>
      <c r="BP24" s="87" t="s">
        <v>331</v>
      </c>
      <c r="BQ24" s="87" t="s">
        <v>330</v>
      </c>
      <c r="BR24" s="87" t="s">
        <v>331</v>
      </c>
      <c r="BS24" s="87" t="s">
        <v>330</v>
      </c>
      <c r="BT24" s="87" t="s">
        <v>331</v>
      </c>
      <c r="BU24" s="87" t="s">
        <v>328</v>
      </c>
      <c r="BV24" s="87" t="s">
        <v>329</v>
      </c>
      <c r="BW24" s="87" t="s">
        <v>330</v>
      </c>
      <c r="BX24" s="87" t="s">
        <v>331</v>
      </c>
      <c r="BY24" s="87" t="s">
        <v>330</v>
      </c>
      <c r="BZ24" s="87" t="s">
        <v>329</v>
      </c>
      <c r="CA24" s="87" t="s">
        <v>330</v>
      </c>
      <c r="CB24" s="87" t="s">
        <v>329</v>
      </c>
      <c r="CC24" s="87" t="s">
        <v>330</v>
      </c>
      <c r="CD24" s="87" t="s">
        <v>331</v>
      </c>
      <c r="CE24" s="87" t="s">
        <v>330</v>
      </c>
      <c r="CF24" s="87" t="s">
        <v>331</v>
      </c>
      <c r="CG24" s="87" t="s">
        <v>330</v>
      </c>
      <c r="CH24" s="87" t="s">
        <v>331</v>
      </c>
    </row>
    <row r="25" spans="1:86" x14ac:dyDescent="0.25">
      <c r="A25">
        <v>20</v>
      </c>
      <c r="B25">
        <v>25</v>
      </c>
      <c r="C25" s="87" t="s">
        <v>328</v>
      </c>
      <c r="D25" s="87" t="s">
        <v>329</v>
      </c>
      <c r="E25" s="87" t="s">
        <v>330</v>
      </c>
      <c r="F25" s="87" t="s">
        <v>331</v>
      </c>
      <c r="G25" s="87" t="s">
        <v>330</v>
      </c>
      <c r="H25" s="87" t="s">
        <v>331</v>
      </c>
      <c r="I25" s="87" t="s">
        <v>330</v>
      </c>
      <c r="J25" s="87" t="s">
        <v>331</v>
      </c>
      <c r="K25" s="87" t="s">
        <v>332</v>
      </c>
      <c r="L25" s="87" t="s">
        <v>332</v>
      </c>
      <c r="M25" s="87" t="s">
        <v>333</v>
      </c>
      <c r="N25" s="87" t="s">
        <v>331</v>
      </c>
      <c r="O25" s="87" t="s">
        <v>330</v>
      </c>
      <c r="P25" s="87" t="s">
        <v>331</v>
      </c>
      <c r="Q25" s="87" t="s">
        <v>328</v>
      </c>
      <c r="R25" s="87" t="s">
        <v>329</v>
      </c>
      <c r="S25" s="87" t="s">
        <v>330</v>
      </c>
      <c r="T25" s="87" t="s">
        <v>331</v>
      </c>
      <c r="U25" s="87" t="s">
        <v>330</v>
      </c>
      <c r="V25" s="87" t="s">
        <v>331</v>
      </c>
      <c r="W25" s="87" t="s">
        <v>330</v>
      </c>
      <c r="X25" s="87" t="s">
        <v>331</v>
      </c>
      <c r="Y25" s="87" t="s">
        <v>330</v>
      </c>
      <c r="Z25" s="87" t="s">
        <v>331</v>
      </c>
      <c r="AA25" s="87" t="s">
        <v>330</v>
      </c>
      <c r="AB25" s="87" t="s">
        <v>331</v>
      </c>
      <c r="AC25" s="87" t="s">
        <v>330</v>
      </c>
      <c r="AD25" s="87" t="s">
        <v>331</v>
      </c>
      <c r="AE25" s="87" t="s">
        <v>328</v>
      </c>
      <c r="AF25" s="87" t="s">
        <v>329</v>
      </c>
      <c r="AG25" s="87" t="s">
        <v>330</v>
      </c>
      <c r="AH25" s="87" t="s">
        <v>331</v>
      </c>
      <c r="AI25" s="87" t="s">
        <v>330</v>
      </c>
      <c r="AJ25" s="87" t="s">
        <v>331</v>
      </c>
      <c r="AK25" s="87" t="s">
        <v>330</v>
      </c>
      <c r="AL25" s="87" t="s">
        <v>331</v>
      </c>
      <c r="AM25" s="87" t="s">
        <v>330</v>
      </c>
      <c r="AN25" s="87" t="s">
        <v>331</v>
      </c>
      <c r="AO25" s="87" t="s">
        <v>330</v>
      </c>
      <c r="AP25" s="87" t="s">
        <v>331</v>
      </c>
      <c r="AQ25" s="87" t="s">
        <v>334</v>
      </c>
      <c r="AR25" s="87" t="s">
        <v>331</v>
      </c>
      <c r="AS25" s="87" t="s">
        <v>328</v>
      </c>
      <c r="AT25" s="87" t="s">
        <v>329</v>
      </c>
      <c r="AU25" s="87" t="s">
        <v>330</v>
      </c>
      <c r="AV25" s="87" t="s">
        <v>331</v>
      </c>
      <c r="AW25" s="87" t="s">
        <v>330</v>
      </c>
      <c r="AX25" s="87" t="s">
        <v>331</v>
      </c>
      <c r="AY25" s="87" t="s">
        <v>330</v>
      </c>
      <c r="AZ25" s="87" t="s">
        <v>331</v>
      </c>
      <c r="BA25" s="87" t="s">
        <v>330</v>
      </c>
      <c r="BB25" s="87" t="s">
        <v>331</v>
      </c>
      <c r="BC25" s="87" t="s">
        <v>330</v>
      </c>
      <c r="BD25" s="87" t="s">
        <v>331</v>
      </c>
      <c r="BE25" s="87" t="s">
        <v>334</v>
      </c>
      <c r="BF25" s="87" t="s">
        <v>331</v>
      </c>
      <c r="BG25" s="87" t="s">
        <v>330</v>
      </c>
      <c r="BH25" s="87" t="s">
        <v>329</v>
      </c>
      <c r="BI25" s="87" t="s">
        <v>334</v>
      </c>
      <c r="BJ25" s="87" t="s">
        <v>331</v>
      </c>
      <c r="BK25" s="87" t="s">
        <v>334</v>
      </c>
      <c r="BL25" s="87" t="s">
        <v>329</v>
      </c>
      <c r="BM25" s="87" t="s">
        <v>332</v>
      </c>
      <c r="BN25" s="87" t="s">
        <v>332</v>
      </c>
      <c r="BO25" s="87" t="s">
        <v>334</v>
      </c>
      <c r="BP25" s="87" t="s">
        <v>331</v>
      </c>
      <c r="BQ25" s="87" t="s">
        <v>330</v>
      </c>
      <c r="BR25" s="87" t="s">
        <v>331</v>
      </c>
      <c r="BS25" s="87" t="s">
        <v>330</v>
      </c>
      <c r="BT25" s="87" t="s">
        <v>331</v>
      </c>
      <c r="BU25" s="87" t="s">
        <v>328</v>
      </c>
      <c r="BV25" s="87" t="s">
        <v>329</v>
      </c>
      <c r="BW25" s="87" t="s">
        <v>330</v>
      </c>
      <c r="BX25" s="87" t="s">
        <v>331</v>
      </c>
      <c r="BY25" s="87" t="s">
        <v>330</v>
      </c>
      <c r="BZ25" s="87" t="s">
        <v>329</v>
      </c>
      <c r="CA25" s="87" t="s">
        <v>330</v>
      </c>
      <c r="CB25" s="87" t="s">
        <v>331</v>
      </c>
      <c r="CC25" s="87" t="s">
        <v>330</v>
      </c>
      <c r="CD25" s="87" t="s">
        <v>331</v>
      </c>
      <c r="CE25" s="87" t="s">
        <v>330</v>
      </c>
      <c r="CF25" s="87" t="s">
        <v>331</v>
      </c>
      <c r="CG25" s="87" t="s">
        <v>330</v>
      </c>
      <c r="CH25" s="87" t="s">
        <v>331</v>
      </c>
    </row>
    <row r="26" spans="1:86" x14ac:dyDescent="0.25">
      <c r="A26">
        <v>29</v>
      </c>
      <c r="B26">
        <v>26</v>
      </c>
      <c r="C26" s="87" t="s">
        <v>328</v>
      </c>
      <c r="D26" s="87" t="s">
        <v>329</v>
      </c>
      <c r="E26" s="87" t="s">
        <v>330</v>
      </c>
      <c r="F26" s="87" t="s">
        <v>331</v>
      </c>
      <c r="G26" s="87" t="s">
        <v>330</v>
      </c>
      <c r="H26" s="87" t="s">
        <v>331</v>
      </c>
      <c r="I26" s="87" t="s">
        <v>330</v>
      </c>
      <c r="J26" s="87" t="s">
        <v>331</v>
      </c>
      <c r="K26" s="87" t="s">
        <v>332</v>
      </c>
      <c r="L26" s="87" t="s">
        <v>332</v>
      </c>
      <c r="M26" s="87" t="s">
        <v>337</v>
      </c>
      <c r="N26" s="87" t="s">
        <v>331</v>
      </c>
      <c r="O26" s="87" t="s">
        <v>330</v>
      </c>
      <c r="P26" s="87" t="s">
        <v>331</v>
      </c>
      <c r="Q26" s="87" t="s">
        <v>328</v>
      </c>
      <c r="R26" s="87" t="s">
        <v>329</v>
      </c>
      <c r="S26" s="87" t="s">
        <v>330</v>
      </c>
      <c r="T26" s="87" t="s">
        <v>331</v>
      </c>
      <c r="U26" s="87" t="s">
        <v>330</v>
      </c>
      <c r="V26" s="87" t="s">
        <v>331</v>
      </c>
      <c r="W26" s="87" t="s">
        <v>330</v>
      </c>
      <c r="X26" s="87" t="s">
        <v>331</v>
      </c>
      <c r="Y26" s="87" t="s">
        <v>330</v>
      </c>
      <c r="Z26" s="87" t="s">
        <v>331</v>
      </c>
      <c r="AA26" s="87" t="s">
        <v>330</v>
      </c>
      <c r="AB26" s="87" t="s">
        <v>331</v>
      </c>
      <c r="AC26" s="87" t="s">
        <v>330</v>
      </c>
      <c r="AD26" s="87" t="s">
        <v>331</v>
      </c>
      <c r="AE26" s="87" t="s">
        <v>328</v>
      </c>
      <c r="AF26" s="87" t="s">
        <v>329</v>
      </c>
      <c r="AG26" s="87" t="s">
        <v>330</v>
      </c>
      <c r="AH26" s="87" t="s">
        <v>331</v>
      </c>
      <c r="AI26" s="87" t="s">
        <v>330</v>
      </c>
      <c r="AJ26" s="87" t="s">
        <v>331</v>
      </c>
      <c r="AK26" s="87" t="s">
        <v>330</v>
      </c>
      <c r="AL26" s="87" t="s">
        <v>331</v>
      </c>
      <c r="AM26" s="87" t="s">
        <v>330</v>
      </c>
      <c r="AN26" s="87" t="s">
        <v>331</v>
      </c>
      <c r="AO26" s="87" t="s">
        <v>334</v>
      </c>
      <c r="AP26" s="87" t="s">
        <v>331</v>
      </c>
      <c r="AQ26" s="87" t="s">
        <v>334</v>
      </c>
      <c r="AR26" s="87" t="s">
        <v>331</v>
      </c>
      <c r="AS26" s="87" t="s">
        <v>335</v>
      </c>
      <c r="AT26" s="87" t="s">
        <v>338</v>
      </c>
      <c r="AU26" s="87" t="s">
        <v>334</v>
      </c>
      <c r="AV26" s="87" t="s">
        <v>331</v>
      </c>
      <c r="AW26" s="87" t="s">
        <v>334</v>
      </c>
      <c r="AX26" s="87" t="s">
        <v>331</v>
      </c>
      <c r="AY26" s="87" t="s">
        <v>334</v>
      </c>
      <c r="AZ26" s="87" t="s">
        <v>331</v>
      </c>
      <c r="BA26" s="87" t="s">
        <v>334</v>
      </c>
      <c r="BB26" s="87" t="s">
        <v>331</v>
      </c>
      <c r="BC26" s="87" t="s">
        <v>334</v>
      </c>
      <c r="BD26" s="87" t="s">
        <v>331</v>
      </c>
      <c r="BE26" s="87" t="s">
        <v>334</v>
      </c>
      <c r="BF26" s="87" t="s">
        <v>331</v>
      </c>
      <c r="BG26" s="87" t="s">
        <v>335</v>
      </c>
      <c r="BH26" s="87" t="s">
        <v>338</v>
      </c>
      <c r="BI26" s="87" t="s">
        <v>334</v>
      </c>
      <c r="BJ26" s="87" t="s">
        <v>331</v>
      </c>
      <c r="BK26" s="87" t="s">
        <v>330</v>
      </c>
      <c r="BL26" s="87" t="s">
        <v>329</v>
      </c>
      <c r="BM26" s="87" t="s">
        <v>332</v>
      </c>
      <c r="BN26" s="87" t="s">
        <v>332</v>
      </c>
      <c r="BO26" s="87" t="s">
        <v>334</v>
      </c>
      <c r="BP26" s="87" t="s">
        <v>331</v>
      </c>
      <c r="BQ26" s="87" t="s">
        <v>330</v>
      </c>
      <c r="BR26" s="87" t="s">
        <v>331</v>
      </c>
      <c r="BS26" s="87" t="s">
        <v>330</v>
      </c>
      <c r="BT26" s="87" t="s">
        <v>331</v>
      </c>
      <c r="BU26" s="87" t="s">
        <v>328</v>
      </c>
      <c r="BV26" s="87" t="s">
        <v>329</v>
      </c>
      <c r="BW26" s="87" t="s">
        <v>330</v>
      </c>
      <c r="BX26" s="87" t="s">
        <v>331</v>
      </c>
      <c r="BY26" s="87" t="s">
        <v>330</v>
      </c>
      <c r="BZ26" s="87" t="s">
        <v>329</v>
      </c>
      <c r="CA26" s="87" t="s">
        <v>330</v>
      </c>
      <c r="CB26" s="87" t="s">
        <v>331</v>
      </c>
      <c r="CC26" s="87" t="s">
        <v>330</v>
      </c>
      <c r="CD26" s="87" t="s">
        <v>331</v>
      </c>
      <c r="CE26" s="87" t="s">
        <v>330</v>
      </c>
      <c r="CF26" s="87" t="s">
        <v>331</v>
      </c>
      <c r="CG26" s="87" t="s">
        <v>330</v>
      </c>
      <c r="CH26" s="87" t="s">
        <v>331</v>
      </c>
    </row>
    <row r="27" spans="1:86" x14ac:dyDescent="0.25">
      <c r="A27">
        <v>39</v>
      </c>
      <c r="B27">
        <v>32</v>
      </c>
      <c r="C27" s="87" t="s">
        <v>328</v>
      </c>
      <c r="D27" s="87" t="s">
        <v>329</v>
      </c>
      <c r="E27" s="87" t="s">
        <v>330</v>
      </c>
      <c r="F27" s="87" t="s">
        <v>331</v>
      </c>
      <c r="G27" s="87" t="s">
        <v>330</v>
      </c>
      <c r="H27" s="87" t="s">
        <v>331</v>
      </c>
      <c r="I27" s="87" t="s">
        <v>330</v>
      </c>
      <c r="J27" s="87" t="s">
        <v>331</v>
      </c>
      <c r="K27" s="87" t="s">
        <v>332</v>
      </c>
      <c r="L27" s="87" t="s">
        <v>332</v>
      </c>
      <c r="M27" s="87" t="s">
        <v>333</v>
      </c>
      <c r="N27" s="87" t="s">
        <v>331</v>
      </c>
      <c r="O27" s="87" t="s">
        <v>330</v>
      </c>
      <c r="P27" s="87" t="s">
        <v>331</v>
      </c>
      <c r="Q27" s="87" t="s">
        <v>328</v>
      </c>
      <c r="R27" s="87" t="s">
        <v>329</v>
      </c>
      <c r="S27" s="87" t="s">
        <v>330</v>
      </c>
      <c r="T27" s="87" t="s">
        <v>331</v>
      </c>
      <c r="U27" s="87" t="s">
        <v>330</v>
      </c>
      <c r="V27" s="87" t="s">
        <v>331</v>
      </c>
      <c r="W27" s="87" t="s">
        <v>330</v>
      </c>
      <c r="X27" s="87" t="s">
        <v>331</v>
      </c>
      <c r="Y27" s="87" t="s">
        <v>330</v>
      </c>
      <c r="Z27" s="87" t="s">
        <v>331</v>
      </c>
      <c r="AA27" s="87" t="s">
        <v>330</v>
      </c>
      <c r="AB27" s="87" t="s">
        <v>331</v>
      </c>
      <c r="AC27" s="87" t="s">
        <v>330</v>
      </c>
      <c r="AD27" s="87" t="s">
        <v>331</v>
      </c>
      <c r="AE27" s="87" t="s">
        <v>328</v>
      </c>
      <c r="AF27" s="87" t="s">
        <v>329</v>
      </c>
      <c r="AG27" s="87" t="s">
        <v>330</v>
      </c>
      <c r="AH27" s="87" t="s">
        <v>331</v>
      </c>
      <c r="AI27" s="87" t="s">
        <v>330</v>
      </c>
      <c r="AJ27" s="87" t="s">
        <v>331</v>
      </c>
      <c r="AK27" s="87" t="s">
        <v>330</v>
      </c>
      <c r="AL27" s="87" t="s">
        <v>331</v>
      </c>
      <c r="AM27" s="87" t="s">
        <v>330</v>
      </c>
      <c r="AN27" s="87" t="s">
        <v>331</v>
      </c>
      <c r="AO27" s="87" t="s">
        <v>330</v>
      </c>
      <c r="AP27" s="87" t="s">
        <v>331</v>
      </c>
      <c r="AQ27" s="87" t="s">
        <v>334</v>
      </c>
      <c r="AR27" s="87" t="s">
        <v>331</v>
      </c>
      <c r="AS27" s="87" t="s">
        <v>328</v>
      </c>
      <c r="AT27" s="87" t="s">
        <v>329</v>
      </c>
      <c r="AU27" s="87" t="s">
        <v>330</v>
      </c>
      <c r="AV27" s="87" t="s">
        <v>331</v>
      </c>
      <c r="AW27" s="87" t="s">
        <v>330</v>
      </c>
      <c r="AX27" s="87" t="s">
        <v>331</v>
      </c>
      <c r="AY27" s="87" t="s">
        <v>330</v>
      </c>
      <c r="AZ27" s="87" t="s">
        <v>331</v>
      </c>
      <c r="BA27" s="87" t="s">
        <v>330</v>
      </c>
      <c r="BB27" s="87" t="s">
        <v>331</v>
      </c>
      <c r="BC27" s="87" t="s">
        <v>330</v>
      </c>
      <c r="BD27" s="87" t="s">
        <v>331</v>
      </c>
      <c r="BE27" s="87" t="s">
        <v>334</v>
      </c>
      <c r="BF27" s="87" t="s">
        <v>331</v>
      </c>
      <c r="BG27" s="87" t="s">
        <v>330</v>
      </c>
      <c r="BH27" s="87" t="s">
        <v>329</v>
      </c>
      <c r="BI27" s="87" t="s">
        <v>334</v>
      </c>
      <c r="BJ27" s="87" t="s">
        <v>331</v>
      </c>
      <c r="BK27" s="87" t="s">
        <v>334</v>
      </c>
      <c r="BL27" s="87" t="s">
        <v>329</v>
      </c>
      <c r="BM27" s="87" t="s">
        <v>332</v>
      </c>
      <c r="BN27" s="87" t="s">
        <v>332</v>
      </c>
      <c r="BO27" s="87" t="s">
        <v>334</v>
      </c>
      <c r="BP27" s="87" t="s">
        <v>331</v>
      </c>
      <c r="BQ27" s="87" t="s">
        <v>330</v>
      </c>
      <c r="BR27" s="87" t="s">
        <v>331</v>
      </c>
      <c r="BS27" s="87" t="s">
        <v>330</v>
      </c>
      <c r="BT27" s="87" t="s">
        <v>331</v>
      </c>
      <c r="BU27" s="87" t="s">
        <v>328</v>
      </c>
      <c r="BV27" s="87" t="s">
        <v>329</v>
      </c>
      <c r="BW27" s="87" t="s">
        <v>330</v>
      </c>
      <c r="BX27" s="87" t="s">
        <v>331</v>
      </c>
      <c r="BY27" s="87" t="s">
        <v>330</v>
      </c>
      <c r="BZ27" s="87" t="s">
        <v>329</v>
      </c>
      <c r="CA27" s="87" t="s">
        <v>330</v>
      </c>
      <c r="CB27" s="87" t="s">
        <v>331</v>
      </c>
      <c r="CC27" s="87" t="s">
        <v>330</v>
      </c>
      <c r="CD27" s="87" t="s">
        <v>331</v>
      </c>
      <c r="CE27" s="87" t="s">
        <v>330</v>
      </c>
      <c r="CF27" s="87" t="s">
        <v>331</v>
      </c>
      <c r="CG27" s="87" t="s">
        <v>330</v>
      </c>
      <c r="CH27" s="87" t="s">
        <v>331</v>
      </c>
    </row>
    <row r="28" spans="1:86" x14ac:dyDescent="0.25">
      <c r="A28">
        <v>40</v>
      </c>
      <c r="B28">
        <v>34</v>
      </c>
      <c r="C28" s="87" t="s">
        <v>328</v>
      </c>
      <c r="D28" s="87" t="s">
        <v>329</v>
      </c>
      <c r="E28" s="87" t="s">
        <v>330</v>
      </c>
      <c r="F28" s="87" t="s">
        <v>331</v>
      </c>
      <c r="G28" s="87" t="s">
        <v>330</v>
      </c>
      <c r="H28" s="87" t="s">
        <v>331</v>
      </c>
      <c r="I28" s="87" t="s">
        <v>330</v>
      </c>
      <c r="J28" s="87" t="s">
        <v>331</v>
      </c>
      <c r="K28" s="87" t="s">
        <v>332</v>
      </c>
      <c r="L28" s="87" t="s">
        <v>332</v>
      </c>
      <c r="M28" s="87" t="s">
        <v>333</v>
      </c>
      <c r="N28" s="87" t="s">
        <v>331</v>
      </c>
      <c r="O28" s="87" t="s">
        <v>334</v>
      </c>
      <c r="P28" s="87" t="s">
        <v>331</v>
      </c>
      <c r="Q28" s="87" t="s">
        <v>328</v>
      </c>
      <c r="R28" s="87" t="s">
        <v>329</v>
      </c>
      <c r="S28" s="87" t="s">
        <v>330</v>
      </c>
      <c r="T28" s="87" t="s">
        <v>331</v>
      </c>
      <c r="U28" s="87" t="s">
        <v>330</v>
      </c>
      <c r="V28" s="87" t="s">
        <v>331</v>
      </c>
      <c r="W28" s="87" t="s">
        <v>330</v>
      </c>
      <c r="X28" s="87" t="s">
        <v>331</v>
      </c>
      <c r="Y28" s="87" t="s">
        <v>330</v>
      </c>
      <c r="Z28" s="87" t="s">
        <v>331</v>
      </c>
      <c r="AA28" s="87" t="s">
        <v>330</v>
      </c>
      <c r="AB28" s="87" t="s">
        <v>331</v>
      </c>
      <c r="AC28" s="87" t="s">
        <v>330</v>
      </c>
      <c r="AD28" s="87" t="s">
        <v>331</v>
      </c>
      <c r="AE28" s="87" t="s">
        <v>328</v>
      </c>
      <c r="AF28" s="87" t="s">
        <v>329</v>
      </c>
      <c r="AG28" s="87" t="s">
        <v>330</v>
      </c>
      <c r="AH28" s="87" t="s">
        <v>331</v>
      </c>
      <c r="AI28" s="87" t="s">
        <v>330</v>
      </c>
      <c r="AJ28" s="87" t="s">
        <v>331</v>
      </c>
      <c r="AK28" s="87" t="s">
        <v>330</v>
      </c>
      <c r="AL28" s="87" t="s">
        <v>331</v>
      </c>
      <c r="AM28" s="87" t="s">
        <v>330</v>
      </c>
      <c r="AN28" s="87" t="s">
        <v>331</v>
      </c>
      <c r="AO28" s="87" t="s">
        <v>330</v>
      </c>
      <c r="AP28" s="87" t="s">
        <v>331</v>
      </c>
      <c r="AQ28" s="87" t="s">
        <v>334</v>
      </c>
      <c r="AR28" s="87" t="s">
        <v>331</v>
      </c>
      <c r="AS28" s="87" t="s">
        <v>330</v>
      </c>
      <c r="AT28" s="87" t="s">
        <v>338</v>
      </c>
      <c r="AU28" s="87" t="s">
        <v>330</v>
      </c>
      <c r="AV28" s="87" t="s">
        <v>331</v>
      </c>
      <c r="AW28" s="87" t="s">
        <v>330</v>
      </c>
      <c r="AX28" s="87" t="s">
        <v>331</v>
      </c>
      <c r="AY28" s="87" t="s">
        <v>330</v>
      </c>
      <c r="AZ28" s="87" t="s">
        <v>331</v>
      </c>
      <c r="BA28" s="87" t="s">
        <v>330</v>
      </c>
      <c r="BB28" s="87" t="s">
        <v>331</v>
      </c>
      <c r="BC28" s="87" t="s">
        <v>330</v>
      </c>
      <c r="BD28" s="87" t="s">
        <v>331</v>
      </c>
      <c r="BE28" s="87" t="s">
        <v>334</v>
      </c>
      <c r="BF28" s="87" t="s">
        <v>341</v>
      </c>
      <c r="BG28" s="87" t="s">
        <v>334</v>
      </c>
      <c r="BH28" s="87" t="s">
        <v>336</v>
      </c>
      <c r="BI28" s="87" t="s">
        <v>334</v>
      </c>
      <c r="BJ28" s="87" t="s">
        <v>341</v>
      </c>
      <c r="BK28" s="87" t="s">
        <v>334</v>
      </c>
      <c r="BL28" s="87" t="s">
        <v>329</v>
      </c>
      <c r="BM28" s="87" t="s">
        <v>332</v>
      </c>
      <c r="BN28" s="87" t="s">
        <v>332</v>
      </c>
      <c r="BO28" s="87" t="s">
        <v>334</v>
      </c>
      <c r="BP28" s="87" t="s">
        <v>331</v>
      </c>
      <c r="BQ28" s="87" t="s">
        <v>330</v>
      </c>
      <c r="BR28" s="87" t="s">
        <v>331</v>
      </c>
      <c r="BS28" s="87" t="s">
        <v>330</v>
      </c>
      <c r="BT28" s="87" t="s">
        <v>331</v>
      </c>
      <c r="BU28" s="87" t="s">
        <v>328</v>
      </c>
      <c r="BV28" s="87" t="s">
        <v>329</v>
      </c>
      <c r="BW28" s="87" t="s">
        <v>330</v>
      </c>
      <c r="BX28" s="87" t="s">
        <v>331</v>
      </c>
      <c r="BY28" s="87" t="s">
        <v>330</v>
      </c>
      <c r="BZ28" s="87" t="s">
        <v>329</v>
      </c>
      <c r="CA28" s="87" t="s">
        <v>330</v>
      </c>
      <c r="CB28" s="87" t="s">
        <v>331</v>
      </c>
      <c r="CC28" s="87" t="s">
        <v>330</v>
      </c>
      <c r="CD28" s="87" t="s">
        <v>331</v>
      </c>
      <c r="CE28" s="87" t="s">
        <v>330</v>
      </c>
      <c r="CF28" s="87" t="s">
        <v>331</v>
      </c>
      <c r="CG28" s="87" t="s">
        <v>330</v>
      </c>
      <c r="CH28" s="87" t="s">
        <v>331</v>
      </c>
    </row>
    <row r="29" spans="1:86" x14ac:dyDescent="0.25">
      <c r="A29">
        <v>45</v>
      </c>
      <c r="B29">
        <v>38</v>
      </c>
      <c r="C29" s="87" t="s">
        <v>328</v>
      </c>
      <c r="D29" s="87" t="s">
        <v>329</v>
      </c>
      <c r="E29" s="87" t="s">
        <v>330</v>
      </c>
      <c r="F29" s="87" t="s">
        <v>331</v>
      </c>
      <c r="G29" s="87" t="s">
        <v>330</v>
      </c>
      <c r="H29" s="87" t="s">
        <v>331</v>
      </c>
      <c r="I29" s="87" t="s">
        <v>330</v>
      </c>
      <c r="J29" s="87" t="s">
        <v>331</v>
      </c>
      <c r="K29" s="87" t="s">
        <v>332</v>
      </c>
      <c r="L29" s="87" t="s">
        <v>332</v>
      </c>
      <c r="M29" s="87" t="s">
        <v>333</v>
      </c>
      <c r="N29" s="87" t="s">
        <v>331</v>
      </c>
      <c r="O29" s="87" t="s">
        <v>330</v>
      </c>
      <c r="P29" s="87" t="s">
        <v>331</v>
      </c>
      <c r="Q29" s="87" t="s">
        <v>328</v>
      </c>
      <c r="R29" s="87" t="s">
        <v>329</v>
      </c>
      <c r="S29" s="87" t="s">
        <v>330</v>
      </c>
      <c r="T29" s="87" t="s">
        <v>331</v>
      </c>
      <c r="U29" s="87" t="s">
        <v>330</v>
      </c>
      <c r="V29" s="87" t="s">
        <v>331</v>
      </c>
      <c r="W29" s="87" t="s">
        <v>330</v>
      </c>
      <c r="X29" s="87" t="s">
        <v>331</v>
      </c>
      <c r="Y29" s="87" t="s">
        <v>330</v>
      </c>
      <c r="Z29" s="87" t="s">
        <v>331</v>
      </c>
      <c r="AA29" s="87" t="s">
        <v>330</v>
      </c>
      <c r="AB29" s="87" t="s">
        <v>331</v>
      </c>
      <c r="AC29" s="87" t="s">
        <v>330</v>
      </c>
      <c r="AD29" s="87" t="s">
        <v>331</v>
      </c>
      <c r="AE29" s="87" t="s">
        <v>328</v>
      </c>
      <c r="AF29" s="87" t="s">
        <v>329</v>
      </c>
      <c r="AG29" s="87" t="s">
        <v>330</v>
      </c>
      <c r="AH29" s="87" t="s">
        <v>331</v>
      </c>
      <c r="AI29" s="87" t="s">
        <v>330</v>
      </c>
      <c r="AJ29" s="87" t="s">
        <v>331</v>
      </c>
      <c r="AK29" s="87" t="s">
        <v>330</v>
      </c>
      <c r="AL29" s="87" t="s">
        <v>331</v>
      </c>
      <c r="AM29" s="87" t="s">
        <v>330</v>
      </c>
      <c r="AN29" s="87" t="s">
        <v>331</v>
      </c>
      <c r="AO29" s="87" t="s">
        <v>330</v>
      </c>
      <c r="AP29" s="87" t="s">
        <v>331</v>
      </c>
      <c r="AQ29" s="87" t="s">
        <v>334</v>
      </c>
      <c r="AR29" s="87" t="s">
        <v>331</v>
      </c>
      <c r="AS29" s="87" t="s">
        <v>328</v>
      </c>
      <c r="AT29" s="87" t="s">
        <v>329</v>
      </c>
      <c r="AU29" s="87" t="s">
        <v>330</v>
      </c>
      <c r="AV29" s="87" t="s">
        <v>331</v>
      </c>
      <c r="AW29" s="87" t="s">
        <v>330</v>
      </c>
      <c r="AX29" s="87" t="s">
        <v>331</v>
      </c>
      <c r="AY29" s="87" t="s">
        <v>330</v>
      </c>
      <c r="AZ29" s="87" t="s">
        <v>331</v>
      </c>
      <c r="BA29" s="87" t="s">
        <v>330</v>
      </c>
      <c r="BB29" s="87" t="s">
        <v>331</v>
      </c>
      <c r="BC29" s="87" t="s">
        <v>330</v>
      </c>
      <c r="BD29" s="87" t="s">
        <v>331</v>
      </c>
      <c r="BE29" s="87" t="s">
        <v>334</v>
      </c>
      <c r="BF29" s="87" t="s">
        <v>331</v>
      </c>
      <c r="BG29" s="87" t="s">
        <v>330</v>
      </c>
      <c r="BH29" s="87" t="s">
        <v>329</v>
      </c>
      <c r="BI29" s="87" t="s">
        <v>334</v>
      </c>
      <c r="BJ29" s="87" t="s">
        <v>331</v>
      </c>
      <c r="BK29" s="87" t="s">
        <v>334</v>
      </c>
      <c r="BL29" s="87" t="s">
        <v>329</v>
      </c>
      <c r="BM29" s="87" t="s">
        <v>332</v>
      </c>
      <c r="BN29" s="87" t="s">
        <v>332</v>
      </c>
      <c r="BO29" s="87" t="s">
        <v>334</v>
      </c>
      <c r="BP29" s="87" t="s">
        <v>331</v>
      </c>
      <c r="BQ29" s="87" t="s">
        <v>330</v>
      </c>
      <c r="BR29" s="87" t="s">
        <v>331</v>
      </c>
      <c r="BS29" s="87" t="s">
        <v>330</v>
      </c>
      <c r="BT29" s="87" t="s">
        <v>331</v>
      </c>
      <c r="BU29" s="87" t="s">
        <v>328</v>
      </c>
      <c r="BV29" s="87" t="s">
        <v>329</v>
      </c>
      <c r="BW29" s="87" t="s">
        <v>330</v>
      </c>
      <c r="BX29" s="87" t="s">
        <v>331</v>
      </c>
      <c r="BY29" s="87" t="s">
        <v>330</v>
      </c>
      <c r="BZ29" s="87" t="s">
        <v>329</v>
      </c>
      <c r="CA29" s="87" t="s">
        <v>330</v>
      </c>
      <c r="CB29" s="87" t="s">
        <v>329</v>
      </c>
      <c r="CC29" s="87" t="s">
        <v>330</v>
      </c>
      <c r="CD29" s="87" t="s">
        <v>331</v>
      </c>
      <c r="CE29" s="87" t="s">
        <v>330</v>
      </c>
      <c r="CF29" s="87" t="s">
        <v>331</v>
      </c>
      <c r="CG29" s="87" t="s">
        <v>330</v>
      </c>
      <c r="CH29" s="87" t="s">
        <v>331</v>
      </c>
    </row>
    <row r="30" spans="1:86" x14ac:dyDescent="0.25">
      <c r="A30">
        <v>52</v>
      </c>
      <c r="B30">
        <v>43</v>
      </c>
      <c r="C30" s="87" t="s">
        <v>328</v>
      </c>
      <c r="D30" s="87" t="s">
        <v>329</v>
      </c>
      <c r="E30" s="87" t="s">
        <v>330</v>
      </c>
      <c r="F30" s="87" t="s">
        <v>331</v>
      </c>
      <c r="G30" s="87" t="s">
        <v>330</v>
      </c>
      <c r="H30" s="87" t="s">
        <v>331</v>
      </c>
      <c r="I30" s="87" t="s">
        <v>330</v>
      </c>
      <c r="J30" s="87" t="s">
        <v>331</v>
      </c>
      <c r="K30" s="87" t="s">
        <v>332</v>
      </c>
      <c r="L30" s="87" t="s">
        <v>332</v>
      </c>
      <c r="M30" s="87" t="s">
        <v>333</v>
      </c>
      <c r="N30" s="87" t="s">
        <v>331</v>
      </c>
      <c r="O30" s="87" t="s">
        <v>330</v>
      </c>
      <c r="P30" s="87" t="s">
        <v>331</v>
      </c>
      <c r="Q30" s="87" t="s">
        <v>328</v>
      </c>
      <c r="R30" s="87" t="s">
        <v>329</v>
      </c>
      <c r="S30" s="87" t="s">
        <v>330</v>
      </c>
      <c r="T30" s="87" t="s">
        <v>331</v>
      </c>
      <c r="U30" s="87" t="s">
        <v>330</v>
      </c>
      <c r="V30" s="87" t="s">
        <v>331</v>
      </c>
      <c r="W30" s="87" t="s">
        <v>330</v>
      </c>
      <c r="X30" s="87" t="s">
        <v>331</v>
      </c>
      <c r="Y30" s="87" t="s">
        <v>330</v>
      </c>
      <c r="Z30" s="87" t="s">
        <v>331</v>
      </c>
      <c r="AA30" s="87" t="s">
        <v>330</v>
      </c>
      <c r="AB30" s="87" t="s">
        <v>331</v>
      </c>
      <c r="AC30" s="87" t="s">
        <v>330</v>
      </c>
      <c r="AD30" s="87" t="s">
        <v>331</v>
      </c>
      <c r="AE30" s="87" t="s">
        <v>328</v>
      </c>
      <c r="AF30" s="87" t="s">
        <v>329</v>
      </c>
      <c r="AG30" s="87" t="s">
        <v>330</v>
      </c>
      <c r="AH30" s="87" t="s">
        <v>331</v>
      </c>
      <c r="AI30" s="87" t="s">
        <v>330</v>
      </c>
      <c r="AJ30" s="87" t="s">
        <v>331</v>
      </c>
      <c r="AK30" s="87" t="s">
        <v>330</v>
      </c>
      <c r="AL30" s="87" t="s">
        <v>331</v>
      </c>
      <c r="AM30" s="87" t="s">
        <v>330</v>
      </c>
      <c r="AN30" s="87" t="s">
        <v>331</v>
      </c>
      <c r="AO30" s="87" t="s">
        <v>330</v>
      </c>
      <c r="AP30" s="87" t="s">
        <v>331</v>
      </c>
      <c r="AQ30" s="87" t="s">
        <v>334</v>
      </c>
      <c r="AR30" s="87" t="s">
        <v>331</v>
      </c>
      <c r="AS30" s="87" t="s">
        <v>328</v>
      </c>
      <c r="AT30" s="87" t="s">
        <v>329</v>
      </c>
      <c r="AU30" s="87" t="s">
        <v>330</v>
      </c>
      <c r="AV30" s="87" t="s">
        <v>331</v>
      </c>
      <c r="AW30" s="87" t="s">
        <v>330</v>
      </c>
      <c r="AX30" s="87" t="s">
        <v>331</v>
      </c>
      <c r="AY30" s="87" t="s">
        <v>330</v>
      </c>
      <c r="AZ30" s="87" t="s">
        <v>331</v>
      </c>
      <c r="BA30" s="87" t="s">
        <v>330</v>
      </c>
      <c r="BB30" s="87" t="s">
        <v>331</v>
      </c>
      <c r="BC30" s="87" t="s">
        <v>330</v>
      </c>
      <c r="BD30" s="87" t="s">
        <v>331</v>
      </c>
      <c r="BE30" s="87" t="s">
        <v>334</v>
      </c>
      <c r="BF30" s="87" t="s">
        <v>331</v>
      </c>
      <c r="BG30" s="87" t="s">
        <v>330</v>
      </c>
      <c r="BH30" s="87" t="s">
        <v>329</v>
      </c>
      <c r="BI30" s="87" t="s">
        <v>330</v>
      </c>
      <c r="BJ30" s="87" t="s">
        <v>331</v>
      </c>
      <c r="BK30" s="87" t="s">
        <v>334</v>
      </c>
      <c r="BL30" s="87" t="s">
        <v>329</v>
      </c>
      <c r="BM30" s="87" t="s">
        <v>332</v>
      </c>
      <c r="BN30" s="87" t="s">
        <v>332</v>
      </c>
      <c r="BO30" s="87" t="s">
        <v>334</v>
      </c>
      <c r="BP30" s="87" t="s">
        <v>331</v>
      </c>
      <c r="BQ30" s="87" t="s">
        <v>330</v>
      </c>
      <c r="BR30" s="87" t="s">
        <v>331</v>
      </c>
      <c r="BS30" s="87" t="s">
        <v>330</v>
      </c>
      <c r="BT30" s="87" t="s">
        <v>331</v>
      </c>
      <c r="BU30" s="87" t="s">
        <v>328</v>
      </c>
      <c r="BV30" s="87" t="s">
        <v>329</v>
      </c>
      <c r="BW30" s="87" t="s">
        <v>330</v>
      </c>
      <c r="BX30" s="87" t="s">
        <v>331</v>
      </c>
      <c r="BY30" s="87" t="s">
        <v>330</v>
      </c>
      <c r="BZ30" s="87" t="s">
        <v>329</v>
      </c>
      <c r="CA30" s="87" t="s">
        <v>330</v>
      </c>
      <c r="CB30" s="87" t="s">
        <v>329</v>
      </c>
      <c r="CC30" s="87" t="s">
        <v>330</v>
      </c>
      <c r="CD30" s="87" t="s">
        <v>331</v>
      </c>
      <c r="CE30" s="87" t="s">
        <v>330</v>
      </c>
      <c r="CF30" s="87" t="s">
        <v>331</v>
      </c>
      <c r="CG30" s="87" t="s">
        <v>330</v>
      </c>
      <c r="CH30" s="87" t="s">
        <v>331</v>
      </c>
    </row>
    <row r="31" spans="1:86" x14ac:dyDescent="0.25">
      <c r="A31">
        <v>53</v>
      </c>
      <c r="B31">
        <v>45</v>
      </c>
      <c r="C31" s="87" t="s">
        <v>328</v>
      </c>
      <c r="D31" s="87" t="s">
        <v>329</v>
      </c>
      <c r="E31" s="87" t="s">
        <v>330</v>
      </c>
      <c r="F31" s="87" t="s">
        <v>331</v>
      </c>
      <c r="G31" s="87" t="s">
        <v>330</v>
      </c>
      <c r="H31" s="87" t="s">
        <v>331</v>
      </c>
      <c r="I31" s="87" t="s">
        <v>330</v>
      </c>
      <c r="J31" s="87" t="s">
        <v>331</v>
      </c>
      <c r="K31" s="87" t="s">
        <v>332</v>
      </c>
      <c r="L31" s="87" t="s">
        <v>332</v>
      </c>
      <c r="M31" s="87" t="s">
        <v>337</v>
      </c>
      <c r="N31" s="87" t="s">
        <v>331</v>
      </c>
      <c r="O31" s="87" t="s">
        <v>330</v>
      </c>
      <c r="P31" s="87" t="s">
        <v>331</v>
      </c>
      <c r="Q31" s="87" t="s">
        <v>328</v>
      </c>
      <c r="R31" s="87" t="s">
        <v>329</v>
      </c>
      <c r="S31" s="87" t="s">
        <v>330</v>
      </c>
      <c r="T31" s="87" t="s">
        <v>331</v>
      </c>
      <c r="U31" s="87" t="s">
        <v>330</v>
      </c>
      <c r="V31" s="87" t="s">
        <v>331</v>
      </c>
      <c r="W31" s="87" t="s">
        <v>330</v>
      </c>
      <c r="X31" s="87" t="s">
        <v>331</v>
      </c>
      <c r="Y31" s="87" t="s">
        <v>330</v>
      </c>
      <c r="Z31" s="87" t="s">
        <v>331</v>
      </c>
      <c r="AA31" s="87" t="s">
        <v>330</v>
      </c>
      <c r="AB31" s="87" t="s">
        <v>331</v>
      </c>
      <c r="AC31" s="87" t="s">
        <v>330</v>
      </c>
      <c r="AD31" s="87" t="s">
        <v>331</v>
      </c>
      <c r="AE31" s="87" t="s">
        <v>328</v>
      </c>
      <c r="AF31" s="87" t="s">
        <v>329</v>
      </c>
      <c r="AG31" s="87" t="s">
        <v>330</v>
      </c>
      <c r="AH31" s="87" t="s">
        <v>331</v>
      </c>
      <c r="AI31" s="87" t="s">
        <v>330</v>
      </c>
      <c r="AJ31" s="87" t="s">
        <v>331</v>
      </c>
      <c r="AK31" s="87" t="s">
        <v>330</v>
      </c>
      <c r="AL31" s="87" t="s">
        <v>331</v>
      </c>
      <c r="AM31" s="87" t="s">
        <v>330</v>
      </c>
      <c r="AN31" s="87" t="s">
        <v>331</v>
      </c>
      <c r="AO31" s="87" t="s">
        <v>330</v>
      </c>
      <c r="AP31" s="87" t="s">
        <v>331</v>
      </c>
      <c r="AQ31" s="87" t="s">
        <v>330</v>
      </c>
      <c r="AR31" s="87" t="s">
        <v>331</v>
      </c>
      <c r="AS31" s="87" t="s">
        <v>328</v>
      </c>
      <c r="AT31" s="87" t="s">
        <v>329</v>
      </c>
      <c r="AU31" s="87" t="s">
        <v>330</v>
      </c>
      <c r="AV31" s="87" t="s">
        <v>331</v>
      </c>
      <c r="AW31" s="87" t="s">
        <v>330</v>
      </c>
      <c r="AX31" s="87" t="s">
        <v>331</v>
      </c>
      <c r="AY31" s="87" t="s">
        <v>330</v>
      </c>
      <c r="AZ31" s="87" t="s">
        <v>331</v>
      </c>
      <c r="BA31" s="87" t="s">
        <v>330</v>
      </c>
      <c r="BB31" s="87" t="s">
        <v>331</v>
      </c>
      <c r="BC31" s="87" t="s">
        <v>330</v>
      </c>
      <c r="BD31" s="87" t="s">
        <v>331</v>
      </c>
      <c r="BE31" s="87" t="s">
        <v>330</v>
      </c>
      <c r="BF31" s="87" t="s">
        <v>331</v>
      </c>
      <c r="BG31" s="87" t="s">
        <v>328</v>
      </c>
      <c r="BH31" s="87" t="s">
        <v>329</v>
      </c>
      <c r="BI31" s="87" t="s">
        <v>330</v>
      </c>
      <c r="BJ31" s="87" t="s">
        <v>331</v>
      </c>
      <c r="BK31" s="87" t="s">
        <v>334</v>
      </c>
      <c r="BL31" s="87" t="s">
        <v>329</v>
      </c>
      <c r="BM31" s="87" t="s">
        <v>332</v>
      </c>
      <c r="BN31" s="87" t="s">
        <v>332</v>
      </c>
      <c r="BO31" s="87" t="s">
        <v>330</v>
      </c>
      <c r="BP31" s="87" t="s">
        <v>331</v>
      </c>
      <c r="BQ31" s="87" t="s">
        <v>330</v>
      </c>
      <c r="BR31" s="87" t="s">
        <v>331</v>
      </c>
      <c r="BS31" s="87" t="s">
        <v>330</v>
      </c>
      <c r="BT31" s="87" t="s">
        <v>331</v>
      </c>
      <c r="BU31" s="87" t="s">
        <v>328</v>
      </c>
      <c r="BV31" s="87" t="s">
        <v>329</v>
      </c>
      <c r="BW31" s="87" t="s">
        <v>330</v>
      </c>
      <c r="BX31" s="87" t="s">
        <v>331</v>
      </c>
      <c r="BY31" s="87" t="s">
        <v>330</v>
      </c>
      <c r="BZ31" s="87" t="s">
        <v>329</v>
      </c>
      <c r="CA31" s="87" t="s">
        <v>330</v>
      </c>
      <c r="CB31" s="87" t="s">
        <v>331</v>
      </c>
      <c r="CC31" s="87" t="s">
        <v>330</v>
      </c>
      <c r="CD31" s="87" t="s">
        <v>331</v>
      </c>
      <c r="CE31" s="87" t="s">
        <v>330</v>
      </c>
      <c r="CF31" s="87" t="s">
        <v>331</v>
      </c>
      <c r="CG31" s="87" t="s">
        <v>330</v>
      </c>
      <c r="CH31" s="87" t="s">
        <v>331</v>
      </c>
    </row>
    <row r="32" spans="1:86" x14ac:dyDescent="0.25">
      <c r="A32">
        <v>59</v>
      </c>
      <c r="B32">
        <v>47</v>
      </c>
      <c r="C32" s="87" t="s">
        <v>328</v>
      </c>
      <c r="D32" s="87" t="s">
        <v>329</v>
      </c>
      <c r="E32" s="87" t="s">
        <v>330</v>
      </c>
      <c r="F32" s="87" t="s">
        <v>331</v>
      </c>
      <c r="G32" s="87" t="s">
        <v>330</v>
      </c>
      <c r="H32" s="87" t="s">
        <v>331</v>
      </c>
      <c r="I32" s="87" t="s">
        <v>330</v>
      </c>
      <c r="J32" s="87" t="s">
        <v>331</v>
      </c>
      <c r="K32" s="87" t="s">
        <v>332</v>
      </c>
      <c r="L32" s="87" t="s">
        <v>332</v>
      </c>
      <c r="M32" s="87" t="s">
        <v>330</v>
      </c>
      <c r="N32" s="87" t="s">
        <v>331</v>
      </c>
      <c r="O32" s="87" t="s">
        <v>330</v>
      </c>
      <c r="P32" s="87" t="s">
        <v>331</v>
      </c>
      <c r="Q32" s="87" t="s">
        <v>328</v>
      </c>
      <c r="R32" s="87" t="s">
        <v>329</v>
      </c>
      <c r="S32" s="87" t="s">
        <v>330</v>
      </c>
      <c r="T32" s="87" t="s">
        <v>331</v>
      </c>
      <c r="U32" s="87" t="s">
        <v>330</v>
      </c>
      <c r="V32" s="87" t="s">
        <v>331</v>
      </c>
      <c r="W32" s="87" t="s">
        <v>330</v>
      </c>
      <c r="X32" s="87" t="s">
        <v>331</v>
      </c>
      <c r="Y32" s="87" t="s">
        <v>330</v>
      </c>
      <c r="Z32" s="87" t="s">
        <v>331</v>
      </c>
      <c r="AA32" s="87" t="s">
        <v>330</v>
      </c>
      <c r="AB32" s="87" t="s">
        <v>331</v>
      </c>
      <c r="AC32" s="87" t="s">
        <v>330</v>
      </c>
      <c r="AD32" s="87" t="s">
        <v>331</v>
      </c>
      <c r="AE32" s="87" t="s">
        <v>328</v>
      </c>
      <c r="AF32" s="87" t="s">
        <v>329</v>
      </c>
      <c r="AG32" s="87" t="s">
        <v>330</v>
      </c>
      <c r="AH32" s="87" t="s">
        <v>331</v>
      </c>
      <c r="AI32" s="87" t="s">
        <v>330</v>
      </c>
      <c r="AJ32" s="87" t="s">
        <v>331</v>
      </c>
      <c r="AK32" s="87" t="s">
        <v>330</v>
      </c>
      <c r="AL32" s="87" t="s">
        <v>331</v>
      </c>
      <c r="AM32" s="87" t="s">
        <v>330</v>
      </c>
      <c r="AN32" s="87" t="s">
        <v>331</v>
      </c>
      <c r="AO32" s="87" t="s">
        <v>330</v>
      </c>
      <c r="AP32" s="87" t="s">
        <v>331</v>
      </c>
      <c r="AQ32" s="87" t="s">
        <v>330</v>
      </c>
      <c r="AR32" s="87" t="s">
        <v>331</v>
      </c>
      <c r="AS32" s="87" t="s">
        <v>328</v>
      </c>
      <c r="AT32" s="87" t="s">
        <v>329</v>
      </c>
      <c r="AU32" s="87" t="s">
        <v>330</v>
      </c>
      <c r="AV32" s="87" t="s">
        <v>331</v>
      </c>
      <c r="AW32" s="87" t="s">
        <v>330</v>
      </c>
      <c r="AX32" s="87" t="s">
        <v>331</v>
      </c>
      <c r="AY32" s="87" t="s">
        <v>330</v>
      </c>
      <c r="AZ32" s="87" t="s">
        <v>331</v>
      </c>
      <c r="BA32" s="87" t="s">
        <v>330</v>
      </c>
      <c r="BB32" s="87" t="s">
        <v>331</v>
      </c>
      <c r="BC32" s="87" t="s">
        <v>330</v>
      </c>
      <c r="BD32" s="87" t="s">
        <v>331</v>
      </c>
      <c r="BE32" s="87" t="s">
        <v>330</v>
      </c>
      <c r="BF32" s="87" t="s">
        <v>331</v>
      </c>
      <c r="BG32" s="87" t="s">
        <v>328</v>
      </c>
      <c r="BH32" s="87" t="s">
        <v>329</v>
      </c>
      <c r="BI32" s="87" t="s">
        <v>330</v>
      </c>
      <c r="BJ32" s="87" t="s">
        <v>331</v>
      </c>
      <c r="BK32" s="87" t="s">
        <v>330</v>
      </c>
      <c r="BL32" s="87" t="s">
        <v>331</v>
      </c>
      <c r="BM32" s="87" t="s">
        <v>332</v>
      </c>
      <c r="BN32" s="87" t="s">
        <v>332</v>
      </c>
      <c r="BO32" s="87" t="s">
        <v>330</v>
      </c>
      <c r="BP32" s="87" t="s">
        <v>331</v>
      </c>
      <c r="BQ32" s="87" t="s">
        <v>330</v>
      </c>
      <c r="BR32" s="87" t="s">
        <v>331</v>
      </c>
      <c r="BS32" s="87" t="s">
        <v>330</v>
      </c>
      <c r="BT32" s="87" t="s">
        <v>331</v>
      </c>
      <c r="BU32" s="87" t="s">
        <v>328</v>
      </c>
      <c r="BV32" s="87" t="s">
        <v>329</v>
      </c>
      <c r="BW32" s="87" t="s">
        <v>330</v>
      </c>
      <c r="BX32" s="87" t="s">
        <v>331</v>
      </c>
      <c r="BY32" s="87" t="s">
        <v>330</v>
      </c>
      <c r="BZ32" s="87" t="s">
        <v>331</v>
      </c>
      <c r="CA32" s="87" t="s">
        <v>330</v>
      </c>
      <c r="CB32" s="87" t="s">
        <v>331</v>
      </c>
      <c r="CC32" s="87" t="s">
        <v>330</v>
      </c>
      <c r="CD32" s="87" t="s">
        <v>331</v>
      </c>
      <c r="CE32" s="87" t="s">
        <v>330</v>
      </c>
      <c r="CF32" s="87" t="s">
        <v>331</v>
      </c>
      <c r="CG32" s="87" t="s">
        <v>330</v>
      </c>
      <c r="CH32" s="87" t="s">
        <v>331</v>
      </c>
    </row>
    <row r="33" spans="1:86" x14ac:dyDescent="0.25">
      <c r="A33">
        <v>66</v>
      </c>
      <c r="B33">
        <v>49</v>
      </c>
      <c r="C33" s="87" t="s">
        <v>328</v>
      </c>
      <c r="D33" s="87" t="s">
        <v>329</v>
      </c>
      <c r="E33" s="87" t="s">
        <v>330</v>
      </c>
      <c r="F33" s="87" t="s">
        <v>331</v>
      </c>
      <c r="G33" s="87" t="s">
        <v>330</v>
      </c>
      <c r="H33" s="87" t="s">
        <v>331</v>
      </c>
      <c r="I33" s="87" t="s">
        <v>330</v>
      </c>
      <c r="J33" s="87" t="s">
        <v>331</v>
      </c>
      <c r="K33" s="87" t="s">
        <v>332</v>
      </c>
      <c r="L33" s="87" t="s">
        <v>332</v>
      </c>
      <c r="M33" s="87" t="s">
        <v>337</v>
      </c>
      <c r="N33" s="87" t="s">
        <v>331</v>
      </c>
      <c r="O33" s="87" t="s">
        <v>330</v>
      </c>
      <c r="P33" s="87" t="s">
        <v>331</v>
      </c>
      <c r="Q33" s="87" t="s">
        <v>328</v>
      </c>
      <c r="R33" s="87" t="s">
        <v>329</v>
      </c>
      <c r="S33" s="87" t="s">
        <v>330</v>
      </c>
      <c r="T33" s="87" t="s">
        <v>331</v>
      </c>
      <c r="U33" s="87" t="s">
        <v>330</v>
      </c>
      <c r="V33" s="87" t="s">
        <v>331</v>
      </c>
      <c r="W33" s="87" t="s">
        <v>330</v>
      </c>
      <c r="X33" s="87" t="s">
        <v>331</v>
      </c>
      <c r="Y33" s="87" t="s">
        <v>330</v>
      </c>
      <c r="Z33" s="87" t="s">
        <v>331</v>
      </c>
      <c r="AA33" s="87" t="s">
        <v>330</v>
      </c>
      <c r="AB33" s="87" t="s">
        <v>331</v>
      </c>
      <c r="AC33" s="87" t="s">
        <v>330</v>
      </c>
      <c r="AD33" s="87" t="s">
        <v>331</v>
      </c>
      <c r="AE33" s="87" t="s">
        <v>328</v>
      </c>
      <c r="AF33" s="87" t="s">
        <v>329</v>
      </c>
      <c r="AG33" s="87" t="s">
        <v>330</v>
      </c>
      <c r="AH33" s="87" t="s">
        <v>331</v>
      </c>
      <c r="AI33" s="87" t="s">
        <v>330</v>
      </c>
      <c r="AJ33" s="87" t="s">
        <v>331</v>
      </c>
      <c r="AK33" s="87" t="s">
        <v>330</v>
      </c>
      <c r="AL33" s="87" t="s">
        <v>331</v>
      </c>
      <c r="AM33" s="87" t="s">
        <v>330</v>
      </c>
      <c r="AN33" s="87" t="s">
        <v>331</v>
      </c>
      <c r="AO33" s="87" t="s">
        <v>330</v>
      </c>
      <c r="AP33" s="87" t="s">
        <v>331</v>
      </c>
      <c r="AQ33" s="87" t="s">
        <v>330</v>
      </c>
      <c r="AR33" s="87" t="s">
        <v>331</v>
      </c>
      <c r="AS33" s="87" t="s">
        <v>328</v>
      </c>
      <c r="AT33" s="87" t="s">
        <v>329</v>
      </c>
      <c r="AU33" s="87" t="s">
        <v>330</v>
      </c>
      <c r="AV33" s="87" t="s">
        <v>331</v>
      </c>
      <c r="AW33" s="87" t="s">
        <v>330</v>
      </c>
      <c r="AX33" s="87" t="s">
        <v>331</v>
      </c>
      <c r="AY33" s="87" t="s">
        <v>330</v>
      </c>
      <c r="AZ33" s="87" t="s">
        <v>331</v>
      </c>
      <c r="BA33" s="87" t="s">
        <v>330</v>
      </c>
      <c r="BB33" s="87" t="s">
        <v>331</v>
      </c>
      <c r="BC33" s="87" t="s">
        <v>330</v>
      </c>
      <c r="BD33" s="87" t="s">
        <v>331</v>
      </c>
      <c r="BE33" s="87" t="s">
        <v>334</v>
      </c>
      <c r="BF33" s="87" t="s">
        <v>331</v>
      </c>
      <c r="BG33" s="87" t="s">
        <v>335</v>
      </c>
      <c r="BH33" s="87" t="s">
        <v>329</v>
      </c>
      <c r="BI33" s="87" t="s">
        <v>330</v>
      </c>
      <c r="BJ33" s="87" t="s">
        <v>331</v>
      </c>
      <c r="BK33" s="87" t="s">
        <v>333</v>
      </c>
      <c r="BL33" s="87" t="s">
        <v>329</v>
      </c>
      <c r="BM33" s="87" t="s">
        <v>332</v>
      </c>
      <c r="BN33" s="87" t="s">
        <v>332</v>
      </c>
      <c r="BO33" s="87" t="s">
        <v>330</v>
      </c>
      <c r="BP33" s="87" t="s">
        <v>331</v>
      </c>
      <c r="BQ33" s="87" t="s">
        <v>330</v>
      </c>
      <c r="BR33" s="87" t="s">
        <v>331</v>
      </c>
      <c r="BS33" s="87" t="s">
        <v>330</v>
      </c>
      <c r="BT33" s="87" t="s">
        <v>331</v>
      </c>
      <c r="BU33" s="87" t="s">
        <v>328</v>
      </c>
      <c r="BV33" s="87" t="s">
        <v>329</v>
      </c>
      <c r="BW33" s="87" t="s">
        <v>330</v>
      </c>
      <c r="BX33" s="87" t="s">
        <v>331</v>
      </c>
      <c r="BY33" s="87" t="s">
        <v>330</v>
      </c>
      <c r="BZ33" s="87" t="s">
        <v>329</v>
      </c>
      <c r="CA33" s="87" t="s">
        <v>330</v>
      </c>
      <c r="CB33" s="87" t="s">
        <v>329</v>
      </c>
      <c r="CC33" s="87" t="s">
        <v>330</v>
      </c>
      <c r="CD33" s="87" t="s">
        <v>331</v>
      </c>
      <c r="CE33" s="87" t="s">
        <v>330</v>
      </c>
      <c r="CF33" s="87" t="s">
        <v>331</v>
      </c>
      <c r="CG33" s="87" t="s">
        <v>330</v>
      </c>
      <c r="CH33" s="87" t="s">
        <v>331</v>
      </c>
    </row>
    <row r="34" spans="1:86" x14ac:dyDescent="0.25">
      <c r="A34">
        <v>67</v>
      </c>
      <c r="B34">
        <v>51</v>
      </c>
      <c r="C34" s="87" t="s">
        <v>328</v>
      </c>
      <c r="D34" s="87" t="s">
        <v>329</v>
      </c>
      <c r="E34" s="87" t="s">
        <v>330</v>
      </c>
      <c r="F34" s="87" t="s">
        <v>331</v>
      </c>
      <c r="G34" s="87" t="s">
        <v>330</v>
      </c>
      <c r="H34" s="87" t="s">
        <v>331</v>
      </c>
      <c r="I34" s="87" t="s">
        <v>330</v>
      </c>
      <c r="J34" s="87" t="s">
        <v>331</v>
      </c>
      <c r="K34" s="87" t="s">
        <v>332</v>
      </c>
      <c r="L34" s="87" t="s">
        <v>332</v>
      </c>
      <c r="M34" s="87" t="s">
        <v>333</v>
      </c>
      <c r="N34" s="87" t="s">
        <v>331</v>
      </c>
      <c r="O34" s="87" t="s">
        <v>330</v>
      </c>
      <c r="P34" s="87" t="s">
        <v>331</v>
      </c>
      <c r="Q34" s="87" t="s">
        <v>328</v>
      </c>
      <c r="R34" s="87" t="s">
        <v>329</v>
      </c>
      <c r="S34" s="87" t="s">
        <v>330</v>
      </c>
      <c r="T34" s="87" t="s">
        <v>331</v>
      </c>
      <c r="U34" s="87" t="s">
        <v>330</v>
      </c>
      <c r="V34" s="87" t="s">
        <v>331</v>
      </c>
      <c r="W34" s="87" t="s">
        <v>330</v>
      </c>
      <c r="X34" s="87" t="s">
        <v>331</v>
      </c>
      <c r="Y34" s="87" t="s">
        <v>330</v>
      </c>
      <c r="Z34" s="87" t="s">
        <v>331</v>
      </c>
      <c r="AA34" s="87" t="s">
        <v>330</v>
      </c>
      <c r="AB34" s="87" t="s">
        <v>331</v>
      </c>
      <c r="AC34" s="87" t="s">
        <v>330</v>
      </c>
      <c r="AD34" s="87" t="s">
        <v>331</v>
      </c>
      <c r="AE34" s="87" t="s">
        <v>328</v>
      </c>
      <c r="AF34" s="87" t="s">
        <v>329</v>
      </c>
      <c r="AG34" s="87" t="s">
        <v>330</v>
      </c>
      <c r="AH34" s="87" t="s">
        <v>331</v>
      </c>
      <c r="AI34" s="87" t="s">
        <v>330</v>
      </c>
      <c r="AJ34" s="87" t="s">
        <v>331</v>
      </c>
      <c r="AK34" s="87" t="s">
        <v>330</v>
      </c>
      <c r="AL34" s="87" t="s">
        <v>331</v>
      </c>
      <c r="AM34" s="87" t="s">
        <v>330</v>
      </c>
      <c r="AN34" s="87" t="s">
        <v>331</v>
      </c>
      <c r="AO34" s="87" t="s">
        <v>330</v>
      </c>
      <c r="AP34" s="87" t="s">
        <v>331</v>
      </c>
      <c r="AQ34" s="87" t="s">
        <v>334</v>
      </c>
      <c r="AR34" s="87" t="s">
        <v>331</v>
      </c>
      <c r="AS34" s="87" t="s">
        <v>328</v>
      </c>
      <c r="AT34" s="87" t="s">
        <v>329</v>
      </c>
      <c r="AU34" s="87" t="s">
        <v>330</v>
      </c>
      <c r="AV34" s="87" t="s">
        <v>331</v>
      </c>
      <c r="AW34" s="87" t="s">
        <v>330</v>
      </c>
      <c r="AX34" s="87" t="s">
        <v>331</v>
      </c>
      <c r="AY34" s="87" t="s">
        <v>330</v>
      </c>
      <c r="AZ34" s="87" t="s">
        <v>331</v>
      </c>
      <c r="BA34" s="87" t="s">
        <v>330</v>
      </c>
      <c r="BB34" s="87" t="s">
        <v>331</v>
      </c>
      <c r="BC34" s="87" t="s">
        <v>330</v>
      </c>
      <c r="BD34" s="87" t="s">
        <v>331</v>
      </c>
      <c r="BE34" s="87" t="s">
        <v>334</v>
      </c>
      <c r="BF34" s="87" t="s">
        <v>331</v>
      </c>
      <c r="BG34" s="87" t="s">
        <v>330</v>
      </c>
      <c r="BH34" s="87" t="s">
        <v>329</v>
      </c>
      <c r="BI34" s="87" t="s">
        <v>334</v>
      </c>
      <c r="BJ34" s="87" t="s">
        <v>331</v>
      </c>
      <c r="BK34" s="87" t="s">
        <v>334</v>
      </c>
      <c r="BL34" s="87" t="s">
        <v>329</v>
      </c>
      <c r="BM34" s="87" t="s">
        <v>332</v>
      </c>
      <c r="BN34" s="87" t="s">
        <v>332</v>
      </c>
      <c r="BO34" s="87" t="s">
        <v>334</v>
      </c>
      <c r="BP34" s="87" t="s">
        <v>331</v>
      </c>
      <c r="BQ34" s="87" t="s">
        <v>330</v>
      </c>
      <c r="BR34" s="87" t="s">
        <v>331</v>
      </c>
      <c r="BS34" s="87" t="s">
        <v>330</v>
      </c>
      <c r="BT34" s="87" t="s">
        <v>331</v>
      </c>
      <c r="BU34" s="87" t="s">
        <v>328</v>
      </c>
      <c r="BV34" s="87" t="s">
        <v>329</v>
      </c>
      <c r="BW34" s="87" t="s">
        <v>330</v>
      </c>
      <c r="BX34" s="87" t="s">
        <v>331</v>
      </c>
      <c r="BY34" s="87" t="s">
        <v>330</v>
      </c>
      <c r="BZ34" s="87" t="s">
        <v>329</v>
      </c>
      <c r="CA34" s="87" t="s">
        <v>330</v>
      </c>
      <c r="CB34" s="87" t="s">
        <v>329</v>
      </c>
      <c r="CC34" s="87" t="s">
        <v>330</v>
      </c>
      <c r="CD34" s="87" t="s">
        <v>331</v>
      </c>
      <c r="CE34" s="87" t="s">
        <v>330</v>
      </c>
      <c r="CF34" s="87" t="s">
        <v>331</v>
      </c>
      <c r="CG34" s="87" t="s">
        <v>330</v>
      </c>
      <c r="CH34" s="87" t="s">
        <v>331</v>
      </c>
    </row>
    <row r="35" spans="1:86" x14ac:dyDescent="0.25">
      <c r="A35">
        <v>68</v>
      </c>
      <c r="B35">
        <v>53</v>
      </c>
      <c r="C35" s="87" t="s">
        <v>335</v>
      </c>
      <c r="D35" s="87" t="s">
        <v>329</v>
      </c>
      <c r="E35" s="87" t="s">
        <v>330</v>
      </c>
      <c r="F35" s="87" t="s">
        <v>331</v>
      </c>
      <c r="G35" s="87" t="s">
        <v>330</v>
      </c>
      <c r="H35" s="87" t="s">
        <v>331</v>
      </c>
      <c r="I35" s="87" t="s">
        <v>330</v>
      </c>
      <c r="J35" s="87" t="s">
        <v>331</v>
      </c>
      <c r="K35" s="87" t="s">
        <v>332</v>
      </c>
      <c r="L35" s="87" t="s">
        <v>332</v>
      </c>
      <c r="M35" s="87" t="s">
        <v>333</v>
      </c>
      <c r="N35" s="87" t="s">
        <v>331</v>
      </c>
      <c r="O35" s="87" t="s">
        <v>334</v>
      </c>
      <c r="P35" s="87" t="s">
        <v>331</v>
      </c>
      <c r="Q35" s="87" t="s">
        <v>335</v>
      </c>
      <c r="R35" s="87" t="s">
        <v>329</v>
      </c>
      <c r="S35" s="87" t="s">
        <v>330</v>
      </c>
      <c r="T35" s="87" t="s">
        <v>331</v>
      </c>
      <c r="U35" s="87" t="s">
        <v>330</v>
      </c>
      <c r="V35" s="87" t="s">
        <v>331</v>
      </c>
      <c r="W35" s="87" t="s">
        <v>330</v>
      </c>
      <c r="X35" s="87" t="s">
        <v>331</v>
      </c>
      <c r="Y35" s="87" t="s">
        <v>330</v>
      </c>
      <c r="Z35" s="87" t="s">
        <v>331</v>
      </c>
      <c r="AA35" s="87" t="s">
        <v>330</v>
      </c>
      <c r="AB35" s="87" t="s">
        <v>331</v>
      </c>
      <c r="AC35" s="87" t="s">
        <v>330</v>
      </c>
      <c r="AD35" s="87" t="s">
        <v>331</v>
      </c>
      <c r="AE35" s="87" t="s">
        <v>335</v>
      </c>
      <c r="AF35" s="87" t="s">
        <v>329</v>
      </c>
      <c r="AG35" s="87" t="s">
        <v>330</v>
      </c>
      <c r="AH35" s="87" t="s">
        <v>331</v>
      </c>
      <c r="AI35" s="87" t="s">
        <v>330</v>
      </c>
      <c r="AJ35" s="87" t="s">
        <v>331</v>
      </c>
      <c r="AK35" s="87" t="s">
        <v>330</v>
      </c>
      <c r="AL35" s="87" t="s">
        <v>331</v>
      </c>
      <c r="AM35" s="87" t="s">
        <v>330</v>
      </c>
      <c r="AN35" s="87" t="s">
        <v>331</v>
      </c>
      <c r="AO35" s="87" t="s">
        <v>330</v>
      </c>
      <c r="AP35" s="87" t="s">
        <v>331</v>
      </c>
      <c r="AQ35" s="87" t="s">
        <v>330</v>
      </c>
      <c r="AR35" s="87" t="s">
        <v>331</v>
      </c>
      <c r="AS35" s="87" t="s">
        <v>335</v>
      </c>
      <c r="AT35" s="87" t="s">
        <v>329</v>
      </c>
      <c r="AU35" s="87" t="s">
        <v>330</v>
      </c>
      <c r="AV35" s="87" t="s">
        <v>331</v>
      </c>
      <c r="AW35" s="87" t="s">
        <v>330</v>
      </c>
      <c r="AX35" s="87" t="s">
        <v>331</v>
      </c>
      <c r="AY35" s="87" t="s">
        <v>330</v>
      </c>
      <c r="AZ35" s="87" t="s">
        <v>331</v>
      </c>
      <c r="BA35" s="87" t="s">
        <v>330</v>
      </c>
      <c r="BB35" s="87" t="s">
        <v>331</v>
      </c>
      <c r="BC35" s="87" t="s">
        <v>330</v>
      </c>
      <c r="BD35" s="87" t="s">
        <v>331</v>
      </c>
      <c r="BE35" s="87" t="s">
        <v>330</v>
      </c>
      <c r="BF35" s="87" t="s">
        <v>331</v>
      </c>
      <c r="BG35" s="87" t="s">
        <v>330</v>
      </c>
      <c r="BH35" s="87" t="s">
        <v>338</v>
      </c>
      <c r="BI35" s="87" t="s">
        <v>334</v>
      </c>
      <c r="BJ35" s="87" t="s">
        <v>331</v>
      </c>
      <c r="BK35" s="87" t="s">
        <v>333</v>
      </c>
      <c r="BL35" s="87" t="s">
        <v>329</v>
      </c>
      <c r="BM35" s="87" t="s">
        <v>332</v>
      </c>
      <c r="BN35" s="87" t="s">
        <v>332</v>
      </c>
      <c r="BO35" s="87" t="s">
        <v>330</v>
      </c>
      <c r="BP35" s="87" t="s">
        <v>331</v>
      </c>
      <c r="BQ35" s="87" t="s">
        <v>330</v>
      </c>
      <c r="BR35" s="87" t="s">
        <v>331</v>
      </c>
      <c r="BS35" s="87" t="s">
        <v>330</v>
      </c>
      <c r="BT35" s="87" t="s">
        <v>331</v>
      </c>
      <c r="BU35" s="87" t="s">
        <v>335</v>
      </c>
      <c r="BV35" s="87" t="s">
        <v>329</v>
      </c>
      <c r="BW35" s="87" t="s">
        <v>330</v>
      </c>
      <c r="BX35" s="87" t="s">
        <v>331</v>
      </c>
      <c r="BY35" s="87" t="s">
        <v>330</v>
      </c>
      <c r="BZ35" s="87" t="s">
        <v>329</v>
      </c>
      <c r="CA35" s="87" t="s">
        <v>330</v>
      </c>
      <c r="CB35" s="87" t="s">
        <v>329</v>
      </c>
      <c r="CC35" s="87" t="s">
        <v>330</v>
      </c>
      <c r="CD35" s="87" t="s">
        <v>331</v>
      </c>
      <c r="CE35" s="87" t="s">
        <v>330</v>
      </c>
      <c r="CF35" s="87" t="s">
        <v>331</v>
      </c>
      <c r="CG35" s="87" t="s">
        <v>330</v>
      </c>
      <c r="CH35" s="87" t="s">
        <v>331</v>
      </c>
    </row>
    <row r="36" spans="1:86" x14ac:dyDescent="0.25">
      <c r="A36">
        <v>73</v>
      </c>
      <c r="B36">
        <v>58</v>
      </c>
      <c r="C36" s="87" t="s">
        <v>328</v>
      </c>
      <c r="D36" s="87" t="s">
        <v>329</v>
      </c>
      <c r="E36" s="87" t="s">
        <v>330</v>
      </c>
      <c r="F36" s="87" t="s">
        <v>331</v>
      </c>
      <c r="G36" s="87" t="s">
        <v>330</v>
      </c>
      <c r="H36" s="87" t="s">
        <v>331</v>
      </c>
      <c r="I36" s="87" t="s">
        <v>330</v>
      </c>
      <c r="J36" s="87" t="s">
        <v>331</v>
      </c>
      <c r="K36" s="87" t="s">
        <v>332</v>
      </c>
      <c r="L36" s="87" t="s">
        <v>332</v>
      </c>
      <c r="M36" s="87" t="s">
        <v>333</v>
      </c>
      <c r="N36" s="87" t="s">
        <v>331</v>
      </c>
      <c r="O36" s="87" t="s">
        <v>330</v>
      </c>
      <c r="P36" s="87" t="s">
        <v>331</v>
      </c>
      <c r="Q36" s="87" t="s">
        <v>328</v>
      </c>
      <c r="R36" s="87" t="s">
        <v>329</v>
      </c>
      <c r="S36" s="87" t="s">
        <v>330</v>
      </c>
      <c r="T36" s="87" t="s">
        <v>331</v>
      </c>
      <c r="U36" s="87" t="s">
        <v>330</v>
      </c>
      <c r="V36" s="87" t="s">
        <v>331</v>
      </c>
      <c r="W36" s="87" t="s">
        <v>330</v>
      </c>
      <c r="X36" s="87" t="s">
        <v>331</v>
      </c>
      <c r="Y36" s="87" t="s">
        <v>330</v>
      </c>
      <c r="Z36" s="87" t="s">
        <v>331</v>
      </c>
      <c r="AA36" s="87" t="s">
        <v>330</v>
      </c>
      <c r="AB36" s="87" t="s">
        <v>331</v>
      </c>
      <c r="AC36" s="87" t="s">
        <v>330</v>
      </c>
      <c r="AD36" s="87" t="s">
        <v>331</v>
      </c>
      <c r="AE36" s="87" t="s">
        <v>328</v>
      </c>
      <c r="AF36" s="87" t="s">
        <v>329</v>
      </c>
      <c r="AG36" s="87" t="s">
        <v>330</v>
      </c>
      <c r="AH36" s="87" t="s">
        <v>331</v>
      </c>
      <c r="AI36" s="87" t="s">
        <v>330</v>
      </c>
      <c r="AJ36" s="87" t="s">
        <v>331</v>
      </c>
      <c r="AK36" s="87" t="s">
        <v>330</v>
      </c>
      <c r="AL36" s="87" t="s">
        <v>331</v>
      </c>
      <c r="AM36" s="87" t="s">
        <v>330</v>
      </c>
      <c r="AN36" s="87" t="s">
        <v>331</v>
      </c>
      <c r="AO36" s="87" t="s">
        <v>334</v>
      </c>
      <c r="AP36" s="87" t="s">
        <v>331</v>
      </c>
      <c r="AQ36" s="87" t="s">
        <v>334</v>
      </c>
      <c r="AR36" s="87" t="s">
        <v>331</v>
      </c>
      <c r="AS36" s="87" t="s">
        <v>335</v>
      </c>
      <c r="AT36" s="87" t="s">
        <v>329</v>
      </c>
      <c r="AU36" s="87" t="s">
        <v>334</v>
      </c>
      <c r="AV36" s="87" t="s">
        <v>331</v>
      </c>
      <c r="AW36" s="87" t="s">
        <v>334</v>
      </c>
      <c r="AX36" s="87" t="s">
        <v>331</v>
      </c>
      <c r="AY36" s="87" t="s">
        <v>334</v>
      </c>
      <c r="AZ36" s="87" t="s">
        <v>331</v>
      </c>
      <c r="BA36" s="87" t="s">
        <v>334</v>
      </c>
      <c r="BB36" s="87" t="s">
        <v>331</v>
      </c>
      <c r="BC36" s="87" t="s">
        <v>334</v>
      </c>
      <c r="BD36" s="87" t="s">
        <v>331</v>
      </c>
      <c r="BE36" s="87" t="s">
        <v>334</v>
      </c>
      <c r="BF36" s="87" t="s">
        <v>331</v>
      </c>
      <c r="BG36" s="87" t="s">
        <v>335</v>
      </c>
      <c r="BH36" s="87" t="s">
        <v>329</v>
      </c>
      <c r="BI36" s="87" t="s">
        <v>334</v>
      </c>
      <c r="BJ36" s="87" t="s">
        <v>331</v>
      </c>
      <c r="BK36" s="87" t="s">
        <v>334</v>
      </c>
      <c r="BL36" s="87" t="s">
        <v>329</v>
      </c>
      <c r="BM36" s="87" t="s">
        <v>332</v>
      </c>
      <c r="BN36" s="87" t="s">
        <v>332</v>
      </c>
      <c r="BO36" s="87" t="s">
        <v>334</v>
      </c>
      <c r="BP36" s="87" t="s">
        <v>331</v>
      </c>
      <c r="BQ36" s="87" t="s">
        <v>330</v>
      </c>
      <c r="BR36" s="87" t="s">
        <v>331</v>
      </c>
      <c r="BS36" s="87" t="s">
        <v>330</v>
      </c>
      <c r="BT36" s="87" t="s">
        <v>331</v>
      </c>
      <c r="BU36" s="87" t="s">
        <v>328</v>
      </c>
      <c r="BV36" s="87" t="s">
        <v>329</v>
      </c>
      <c r="BW36" s="87" t="s">
        <v>330</v>
      </c>
      <c r="BX36" s="87" t="s">
        <v>331</v>
      </c>
      <c r="BY36" s="87" t="s">
        <v>330</v>
      </c>
      <c r="BZ36" s="87" t="s">
        <v>329</v>
      </c>
      <c r="CA36" s="87" t="s">
        <v>330</v>
      </c>
      <c r="CB36" s="87" t="s">
        <v>329</v>
      </c>
      <c r="CC36" s="87" t="s">
        <v>330</v>
      </c>
      <c r="CD36" s="87" t="s">
        <v>331</v>
      </c>
      <c r="CE36" s="87" t="s">
        <v>330</v>
      </c>
      <c r="CF36" s="87" t="s">
        <v>331</v>
      </c>
      <c r="CG36" s="87" t="s">
        <v>330</v>
      </c>
      <c r="CH36" s="87" t="s">
        <v>331</v>
      </c>
    </row>
    <row r="37" spans="1:86" x14ac:dyDescent="0.25">
      <c r="A37">
        <v>75</v>
      </c>
      <c r="B37">
        <v>61</v>
      </c>
      <c r="C37" s="87" t="s">
        <v>328</v>
      </c>
      <c r="D37" s="87" t="s">
        <v>329</v>
      </c>
      <c r="E37" s="87" t="s">
        <v>330</v>
      </c>
      <c r="F37" s="87" t="s">
        <v>331</v>
      </c>
      <c r="G37" s="87" t="s">
        <v>330</v>
      </c>
      <c r="H37" s="87" t="s">
        <v>331</v>
      </c>
      <c r="I37" s="87" t="s">
        <v>330</v>
      </c>
      <c r="J37" s="87" t="s">
        <v>331</v>
      </c>
      <c r="K37" s="87" t="s">
        <v>332</v>
      </c>
      <c r="L37" s="87" t="s">
        <v>332</v>
      </c>
      <c r="M37" s="87" t="s">
        <v>337</v>
      </c>
      <c r="N37" s="87" t="s">
        <v>331</v>
      </c>
      <c r="O37" s="87" t="s">
        <v>330</v>
      </c>
      <c r="P37" s="87" t="s">
        <v>331</v>
      </c>
      <c r="Q37" s="87" t="s">
        <v>328</v>
      </c>
      <c r="R37" s="87" t="s">
        <v>329</v>
      </c>
      <c r="S37" s="87" t="s">
        <v>330</v>
      </c>
      <c r="T37" s="87" t="s">
        <v>331</v>
      </c>
      <c r="U37" s="87" t="s">
        <v>330</v>
      </c>
      <c r="V37" s="87" t="s">
        <v>331</v>
      </c>
      <c r="W37" s="87" t="s">
        <v>330</v>
      </c>
      <c r="X37" s="87" t="s">
        <v>331</v>
      </c>
      <c r="Y37" s="87" t="s">
        <v>330</v>
      </c>
      <c r="Z37" s="87" t="s">
        <v>331</v>
      </c>
      <c r="AA37" s="87" t="s">
        <v>330</v>
      </c>
      <c r="AB37" s="87" t="s">
        <v>331</v>
      </c>
      <c r="AC37" s="87" t="s">
        <v>330</v>
      </c>
      <c r="AD37" s="87" t="s">
        <v>331</v>
      </c>
      <c r="AE37" s="87" t="s">
        <v>328</v>
      </c>
      <c r="AF37" s="87" t="s">
        <v>329</v>
      </c>
      <c r="AG37" s="87" t="s">
        <v>330</v>
      </c>
      <c r="AH37" s="87" t="s">
        <v>331</v>
      </c>
      <c r="AI37" s="87" t="s">
        <v>330</v>
      </c>
      <c r="AJ37" s="87" t="s">
        <v>331</v>
      </c>
      <c r="AK37" s="87" t="s">
        <v>330</v>
      </c>
      <c r="AL37" s="87" t="s">
        <v>331</v>
      </c>
      <c r="AM37" s="87" t="s">
        <v>330</v>
      </c>
      <c r="AN37" s="87" t="s">
        <v>331</v>
      </c>
      <c r="AO37" s="87" t="s">
        <v>330</v>
      </c>
      <c r="AP37" s="87" t="s">
        <v>331</v>
      </c>
      <c r="AQ37" s="87" t="s">
        <v>330</v>
      </c>
      <c r="AR37" s="87" t="s">
        <v>331</v>
      </c>
      <c r="AS37" s="87" t="s">
        <v>328</v>
      </c>
      <c r="AT37" s="87" t="s">
        <v>329</v>
      </c>
      <c r="AU37" s="87" t="s">
        <v>330</v>
      </c>
      <c r="AV37" s="87" t="s">
        <v>331</v>
      </c>
      <c r="AW37" s="87" t="s">
        <v>330</v>
      </c>
      <c r="AX37" s="87" t="s">
        <v>331</v>
      </c>
      <c r="AY37" s="87" t="s">
        <v>330</v>
      </c>
      <c r="AZ37" s="87" t="s">
        <v>331</v>
      </c>
      <c r="BA37" s="87" t="s">
        <v>330</v>
      </c>
      <c r="BB37" s="87" t="s">
        <v>331</v>
      </c>
      <c r="BC37" s="87" t="s">
        <v>330</v>
      </c>
      <c r="BD37" s="87" t="s">
        <v>331</v>
      </c>
      <c r="BE37" s="87" t="s">
        <v>330</v>
      </c>
      <c r="BF37" s="87" t="s">
        <v>331</v>
      </c>
      <c r="BG37" s="87" t="s">
        <v>328</v>
      </c>
      <c r="BH37" s="87" t="s">
        <v>329</v>
      </c>
      <c r="BI37" s="87" t="s">
        <v>330</v>
      </c>
      <c r="BJ37" s="87" t="s">
        <v>331</v>
      </c>
      <c r="BK37" s="87" t="s">
        <v>330</v>
      </c>
      <c r="BL37" s="87" t="s">
        <v>329</v>
      </c>
      <c r="BM37" s="87" t="s">
        <v>332</v>
      </c>
      <c r="BN37" s="87" t="s">
        <v>332</v>
      </c>
      <c r="BO37" s="87" t="s">
        <v>330</v>
      </c>
      <c r="BP37" s="87" t="s">
        <v>331</v>
      </c>
      <c r="BQ37" s="87" t="s">
        <v>330</v>
      </c>
      <c r="BR37" s="87" t="s">
        <v>331</v>
      </c>
      <c r="BS37" s="87" t="s">
        <v>330</v>
      </c>
      <c r="BT37" s="87" t="s">
        <v>331</v>
      </c>
      <c r="BU37" s="87" t="s">
        <v>328</v>
      </c>
      <c r="BV37" s="87" t="s">
        <v>329</v>
      </c>
      <c r="BW37" s="87" t="s">
        <v>330</v>
      </c>
      <c r="BX37" s="87" t="s">
        <v>331</v>
      </c>
      <c r="BY37" s="87" t="s">
        <v>330</v>
      </c>
      <c r="BZ37" s="87" t="s">
        <v>329</v>
      </c>
      <c r="CA37" s="87" t="s">
        <v>330</v>
      </c>
      <c r="CB37" s="87" t="s">
        <v>329</v>
      </c>
      <c r="CC37" s="87" t="s">
        <v>330</v>
      </c>
      <c r="CD37" s="87" t="s">
        <v>331</v>
      </c>
      <c r="CE37" s="87" t="s">
        <v>330</v>
      </c>
      <c r="CF37" s="87" t="s">
        <v>331</v>
      </c>
      <c r="CG37" s="87" t="s">
        <v>330</v>
      </c>
      <c r="CH37" s="87" t="s">
        <v>331</v>
      </c>
    </row>
    <row r="38" spans="1:86" x14ac:dyDescent="0.25">
      <c r="A38">
        <v>83</v>
      </c>
      <c r="B38">
        <v>69</v>
      </c>
      <c r="C38" s="87" t="s">
        <v>328</v>
      </c>
      <c r="D38" s="87" t="s">
        <v>329</v>
      </c>
      <c r="E38" s="87" t="s">
        <v>330</v>
      </c>
      <c r="F38" s="87" t="s">
        <v>331</v>
      </c>
      <c r="G38" s="87" t="s">
        <v>330</v>
      </c>
      <c r="H38" s="87" t="s">
        <v>331</v>
      </c>
      <c r="I38" s="87" t="s">
        <v>330</v>
      </c>
      <c r="J38" s="87" t="s">
        <v>331</v>
      </c>
      <c r="K38" s="87" t="s">
        <v>332</v>
      </c>
      <c r="L38" s="87" t="s">
        <v>332</v>
      </c>
      <c r="M38" s="87" t="s">
        <v>333</v>
      </c>
      <c r="N38" s="87" t="s">
        <v>331</v>
      </c>
      <c r="O38" s="87" t="s">
        <v>330</v>
      </c>
      <c r="P38" s="87" t="s">
        <v>331</v>
      </c>
      <c r="Q38" s="87" t="s">
        <v>328</v>
      </c>
      <c r="R38" s="87" t="s">
        <v>329</v>
      </c>
      <c r="S38" s="87" t="s">
        <v>330</v>
      </c>
      <c r="T38" s="87" t="s">
        <v>331</v>
      </c>
      <c r="U38" s="87" t="s">
        <v>330</v>
      </c>
      <c r="V38" s="87" t="s">
        <v>331</v>
      </c>
      <c r="W38" s="87" t="s">
        <v>330</v>
      </c>
      <c r="X38" s="87" t="s">
        <v>331</v>
      </c>
      <c r="Y38" s="87" t="s">
        <v>330</v>
      </c>
      <c r="Z38" s="87" t="s">
        <v>331</v>
      </c>
      <c r="AA38" s="87" t="s">
        <v>330</v>
      </c>
      <c r="AB38" s="87" t="s">
        <v>331</v>
      </c>
      <c r="AC38" s="87" t="s">
        <v>330</v>
      </c>
      <c r="AD38" s="87" t="s">
        <v>331</v>
      </c>
      <c r="AE38" s="87" t="s">
        <v>328</v>
      </c>
      <c r="AF38" s="87" t="s">
        <v>329</v>
      </c>
      <c r="AG38" s="87" t="s">
        <v>330</v>
      </c>
      <c r="AH38" s="87" t="s">
        <v>331</v>
      </c>
      <c r="AI38" s="87" t="s">
        <v>330</v>
      </c>
      <c r="AJ38" s="87" t="s">
        <v>331</v>
      </c>
      <c r="AK38" s="87" t="s">
        <v>330</v>
      </c>
      <c r="AL38" s="87" t="s">
        <v>331</v>
      </c>
      <c r="AM38" s="87" t="s">
        <v>330</v>
      </c>
      <c r="AN38" s="87" t="s">
        <v>331</v>
      </c>
      <c r="AO38" s="87" t="s">
        <v>330</v>
      </c>
      <c r="AP38" s="87" t="s">
        <v>331</v>
      </c>
      <c r="AQ38" s="87" t="s">
        <v>334</v>
      </c>
      <c r="AR38" s="87" t="s">
        <v>331</v>
      </c>
      <c r="AS38" s="87" t="s">
        <v>328</v>
      </c>
      <c r="AT38" s="87" t="s">
        <v>329</v>
      </c>
      <c r="AU38" s="87" t="s">
        <v>330</v>
      </c>
      <c r="AV38" s="87" t="s">
        <v>331</v>
      </c>
      <c r="AW38" s="87" t="s">
        <v>330</v>
      </c>
      <c r="AX38" s="87" t="s">
        <v>331</v>
      </c>
      <c r="AY38" s="87" t="s">
        <v>330</v>
      </c>
      <c r="AZ38" s="87" t="s">
        <v>331</v>
      </c>
      <c r="BA38" s="87" t="s">
        <v>330</v>
      </c>
      <c r="BB38" s="87" t="s">
        <v>331</v>
      </c>
      <c r="BC38" s="87" t="s">
        <v>330</v>
      </c>
      <c r="BD38" s="87" t="s">
        <v>331</v>
      </c>
      <c r="BE38" s="87" t="s">
        <v>330</v>
      </c>
      <c r="BF38" s="87" t="s">
        <v>331</v>
      </c>
      <c r="BG38" s="87" t="s">
        <v>330</v>
      </c>
      <c r="BH38" s="87" t="s">
        <v>329</v>
      </c>
      <c r="BI38" s="87" t="s">
        <v>334</v>
      </c>
      <c r="BJ38" s="87" t="s">
        <v>331</v>
      </c>
      <c r="BK38" s="87" t="s">
        <v>334</v>
      </c>
      <c r="BL38" s="87" t="s">
        <v>329</v>
      </c>
      <c r="BM38" s="87" t="s">
        <v>332</v>
      </c>
      <c r="BN38" s="87" t="s">
        <v>332</v>
      </c>
      <c r="BO38" s="87" t="s">
        <v>334</v>
      </c>
      <c r="BP38" s="87" t="s">
        <v>331</v>
      </c>
      <c r="BQ38" s="87" t="s">
        <v>330</v>
      </c>
      <c r="BR38" s="87" t="s">
        <v>331</v>
      </c>
      <c r="BS38" s="87" t="s">
        <v>330</v>
      </c>
      <c r="BT38" s="87" t="s">
        <v>331</v>
      </c>
      <c r="BU38" s="87" t="s">
        <v>328</v>
      </c>
      <c r="BV38" s="87" t="s">
        <v>329</v>
      </c>
      <c r="BW38" s="87" t="s">
        <v>330</v>
      </c>
      <c r="BX38" s="87" t="s">
        <v>331</v>
      </c>
      <c r="BY38" s="87" t="s">
        <v>330</v>
      </c>
      <c r="BZ38" s="87" t="s">
        <v>329</v>
      </c>
      <c r="CA38" s="87" t="s">
        <v>330</v>
      </c>
      <c r="CB38" s="87" t="s">
        <v>329</v>
      </c>
      <c r="CC38" s="87" t="s">
        <v>330</v>
      </c>
      <c r="CD38" s="87" t="s">
        <v>331</v>
      </c>
      <c r="CE38" s="87" t="s">
        <v>330</v>
      </c>
      <c r="CF38" s="87" t="s">
        <v>331</v>
      </c>
      <c r="CG38" s="87" t="s">
        <v>330</v>
      </c>
      <c r="CH38" s="87" t="s">
        <v>331</v>
      </c>
    </row>
    <row r="39" spans="1:86" x14ac:dyDescent="0.25">
      <c r="A39">
        <v>84</v>
      </c>
      <c r="B39">
        <v>72</v>
      </c>
      <c r="C39" s="87" t="s">
        <v>335</v>
      </c>
      <c r="D39" s="87" t="s">
        <v>329</v>
      </c>
      <c r="E39" s="87" t="s">
        <v>330</v>
      </c>
      <c r="F39" s="87" t="s">
        <v>336</v>
      </c>
      <c r="G39" s="87" t="s">
        <v>330</v>
      </c>
      <c r="H39" s="87" t="s">
        <v>336</v>
      </c>
      <c r="I39" s="87" t="s">
        <v>330</v>
      </c>
      <c r="J39" s="87" t="s">
        <v>336</v>
      </c>
      <c r="K39" s="87" t="s">
        <v>332</v>
      </c>
      <c r="L39" s="87" t="s">
        <v>332</v>
      </c>
      <c r="M39" s="87" t="s">
        <v>333</v>
      </c>
      <c r="N39" s="87" t="s">
        <v>331</v>
      </c>
      <c r="O39" s="87" t="s">
        <v>330</v>
      </c>
      <c r="P39" s="87" t="s">
        <v>331</v>
      </c>
      <c r="Q39" s="87" t="s">
        <v>335</v>
      </c>
      <c r="R39" s="87" t="s">
        <v>329</v>
      </c>
      <c r="S39" s="87" t="s">
        <v>330</v>
      </c>
      <c r="T39" s="87" t="s">
        <v>336</v>
      </c>
      <c r="U39" s="87" t="s">
        <v>330</v>
      </c>
      <c r="V39" s="87" t="s">
        <v>336</v>
      </c>
      <c r="W39" s="87" t="s">
        <v>330</v>
      </c>
      <c r="X39" s="87" t="s">
        <v>336</v>
      </c>
      <c r="Y39" s="87" t="s">
        <v>330</v>
      </c>
      <c r="Z39" s="87" t="s">
        <v>336</v>
      </c>
      <c r="AA39" s="87" t="s">
        <v>330</v>
      </c>
      <c r="AB39" s="87" t="s">
        <v>331</v>
      </c>
      <c r="AC39" s="87" t="s">
        <v>330</v>
      </c>
      <c r="AD39" s="87" t="s">
        <v>331</v>
      </c>
      <c r="AE39" s="87" t="s">
        <v>335</v>
      </c>
      <c r="AF39" s="87" t="s">
        <v>329</v>
      </c>
      <c r="AG39" s="87" t="s">
        <v>330</v>
      </c>
      <c r="AH39" s="87" t="s">
        <v>336</v>
      </c>
      <c r="AI39" s="87" t="s">
        <v>330</v>
      </c>
      <c r="AJ39" s="87" t="s">
        <v>336</v>
      </c>
      <c r="AK39" s="87" t="s">
        <v>330</v>
      </c>
      <c r="AL39" s="87" t="s">
        <v>336</v>
      </c>
      <c r="AM39" s="87" t="s">
        <v>330</v>
      </c>
      <c r="AN39" s="87" t="s">
        <v>336</v>
      </c>
      <c r="AO39" s="87" t="s">
        <v>330</v>
      </c>
      <c r="AP39" s="87" t="s">
        <v>331</v>
      </c>
      <c r="AQ39" s="87" t="s">
        <v>330</v>
      </c>
      <c r="AR39" s="87" t="s">
        <v>331</v>
      </c>
      <c r="AS39" s="87" t="s">
        <v>335</v>
      </c>
      <c r="AT39" s="87" t="s">
        <v>329</v>
      </c>
      <c r="AU39" s="87" t="s">
        <v>330</v>
      </c>
      <c r="AV39" s="87" t="s">
        <v>336</v>
      </c>
      <c r="AW39" s="87" t="s">
        <v>330</v>
      </c>
      <c r="AX39" s="87" t="s">
        <v>336</v>
      </c>
      <c r="AY39" s="87" t="s">
        <v>330</v>
      </c>
      <c r="AZ39" s="87" t="s">
        <v>336</v>
      </c>
      <c r="BA39" s="87" t="s">
        <v>330</v>
      </c>
      <c r="BB39" s="87" t="s">
        <v>336</v>
      </c>
      <c r="BC39" s="87" t="s">
        <v>330</v>
      </c>
      <c r="BD39" s="87" t="s">
        <v>331</v>
      </c>
      <c r="BE39" s="87" t="s">
        <v>330</v>
      </c>
      <c r="BF39" s="87" t="s">
        <v>331</v>
      </c>
      <c r="BG39" s="87" t="s">
        <v>335</v>
      </c>
      <c r="BH39" s="87" t="s">
        <v>329</v>
      </c>
      <c r="BI39" s="87" t="s">
        <v>330</v>
      </c>
      <c r="BJ39" s="87" t="s">
        <v>336</v>
      </c>
      <c r="BK39" s="87" t="s">
        <v>333</v>
      </c>
      <c r="BL39" s="87" t="s">
        <v>329</v>
      </c>
      <c r="BM39" s="87" t="s">
        <v>332</v>
      </c>
      <c r="BN39" s="87" t="s">
        <v>332</v>
      </c>
      <c r="BO39" s="87" t="s">
        <v>330</v>
      </c>
      <c r="BP39" s="87" t="s">
        <v>336</v>
      </c>
      <c r="BQ39" s="87" t="s">
        <v>330</v>
      </c>
      <c r="BR39" s="87" t="s">
        <v>331</v>
      </c>
      <c r="BS39" s="87" t="s">
        <v>330</v>
      </c>
      <c r="BT39" s="87" t="s">
        <v>331</v>
      </c>
      <c r="BU39" s="87" t="s">
        <v>335</v>
      </c>
      <c r="BV39" s="87" t="s">
        <v>329</v>
      </c>
      <c r="BW39" s="87" t="s">
        <v>330</v>
      </c>
      <c r="BX39" s="87" t="s">
        <v>336</v>
      </c>
      <c r="BY39" s="87" t="s">
        <v>330</v>
      </c>
      <c r="BZ39" s="87" t="s">
        <v>329</v>
      </c>
      <c r="CA39" s="87" t="s">
        <v>330</v>
      </c>
      <c r="CB39" s="87" t="s">
        <v>329</v>
      </c>
      <c r="CC39" s="87" t="s">
        <v>330</v>
      </c>
      <c r="CD39" s="87" t="s">
        <v>336</v>
      </c>
      <c r="CE39" s="87" t="s">
        <v>330</v>
      </c>
      <c r="CF39" s="87" t="s">
        <v>331</v>
      </c>
      <c r="CG39" s="87" t="s">
        <v>330</v>
      </c>
      <c r="CH39" s="87" t="s">
        <v>331</v>
      </c>
    </row>
    <row r="40" spans="1:86" x14ac:dyDescent="0.25">
      <c r="A40">
        <v>96</v>
      </c>
      <c r="B40">
        <v>78</v>
      </c>
      <c r="C40" s="87" t="s">
        <v>335</v>
      </c>
      <c r="D40" s="87" t="s">
        <v>329</v>
      </c>
      <c r="E40" s="87" t="s">
        <v>330</v>
      </c>
      <c r="F40" s="87" t="s">
        <v>336</v>
      </c>
      <c r="G40" s="87" t="s">
        <v>330</v>
      </c>
      <c r="H40" s="87" t="s">
        <v>336</v>
      </c>
      <c r="I40" s="87" t="s">
        <v>330</v>
      </c>
      <c r="J40" s="87" t="s">
        <v>336</v>
      </c>
      <c r="K40" s="87" t="s">
        <v>332</v>
      </c>
      <c r="L40" s="87" t="s">
        <v>332</v>
      </c>
      <c r="M40" s="87" t="s">
        <v>337</v>
      </c>
      <c r="N40" s="87" t="s">
        <v>331</v>
      </c>
      <c r="O40" s="87" t="s">
        <v>330</v>
      </c>
      <c r="P40" s="87" t="s">
        <v>331</v>
      </c>
      <c r="Q40" s="87" t="s">
        <v>335</v>
      </c>
      <c r="R40" s="87" t="s">
        <v>329</v>
      </c>
      <c r="S40" s="87" t="s">
        <v>330</v>
      </c>
      <c r="T40" s="87" t="s">
        <v>336</v>
      </c>
      <c r="U40" s="87" t="s">
        <v>330</v>
      </c>
      <c r="V40" s="87" t="s">
        <v>336</v>
      </c>
      <c r="W40" s="87" t="s">
        <v>330</v>
      </c>
      <c r="X40" s="87" t="s">
        <v>336</v>
      </c>
      <c r="Y40" s="87" t="s">
        <v>330</v>
      </c>
      <c r="Z40" s="87" t="s">
        <v>336</v>
      </c>
      <c r="AA40" s="87" t="s">
        <v>330</v>
      </c>
      <c r="AB40" s="87" t="s">
        <v>331</v>
      </c>
      <c r="AC40" s="87" t="s">
        <v>330</v>
      </c>
      <c r="AD40" s="87" t="s">
        <v>331</v>
      </c>
      <c r="AE40" s="87" t="s">
        <v>335</v>
      </c>
      <c r="AF40" s="87" t="s">
        <v>329</v>
      </c>
      <c r="AG40" s="87" t="s">
        <v>330</v>
      </c>
      <c r="AH40" s="87" t="s">
        <v>336</v>
      </c>
      <c r="AI40" s="87" t="s">
        <v>330</v>
      </c>
      <c r="AJ40" s="87" t="s">
        <v>336</v>
      </c>
      <c r="AK40" s="87" t="s">
        <v>330</v>
      </c>
      <c r="AL40" s="87" t="s">
        <v>336</v>
      </c>
      <c r="AM40" s="87" t="s">
        <v>330</v>
      </c>
      <c r="AN40" s="87" t="s">
        <v>336</v>
      </c>
      <c r="AO40" s="87" t="s">
        <v>330</v>
      </c>
      <c r="AP40" s="87" t="s">
        <v>331</v>
      </c>
      <c r="AQ40" s="87" t="s">
        <v>334</v>
      </c>
      <c r="AR40" s="87" t="s">
        <v>331</v>
      </c>
      <c r="AS40" s="87" t="s">
        <v>335</v>
      </c>
      <c r="AT40" s="87" t="s">
        <v>329</v>
      </c>
      <c r="AU40" s="87" t="s">
        <v>330</v>
      </c>
      <c r="AV40" s="87" t="s">
        <v>336</v>
      </c>
      <c r="AW40" s="87" t="s">
        <v>330</v>
      </c>
      <c r="AX40" s="87" t="s">
        <v>336</v>
      </c>
      <c r="AY40" s="87" t="s">
        <v>330</v>
      </c>
      <c r="AZ40" s="87" t="s">
        <v>336</v>
      </c>
      <c r="BA40" s="87" t="s">
        <v>330</v>
      </c>
      <c r="BB40" s="87" t="s">
        <v>336</v>
      </c>
      <c r="BC40" s="87" t="s">
        <v>330</v>
      </c>
      <c r="BD40" s="87" t="s">
        <v>331</v>
      </c>
      <c r="BE40" s="87" t="s">
        <v>334</v>
      </c>
      <c r="BF40" s="87" t="s">
        <v>331</v>
      </c>
      <c r="BG40" s="87" t="s">
        <v>335</v>
      </c>
      <c r="BH40" s="87" t="s">
        <v>329</v>
      </c>
      <c r="BI40" s="87" t="s">
        <v>330</v>
      </c>
      <c r="BJ40" s="87" t="s">
        <v>336</v>
      </c>
      <c r="BK40" s="87" t="s">
        <v>333</v>
      </c>
      <c r="BL40" s="87" t="s">
        <v>329</v>
      </c>
      <c r="BM40" s="87" t="s">
        <v>332</v>
      </c>
      <c r="BN40" s="87" t="s">
        <v>332</v>
      </c>
      <c r="BO40" s="87" t="s">
        <v>330</v>
      </c>
      <c r="BP40" s="87" t="s">
        <v>336</v>
      </c>
      <c r="BQ40" s="87" t="s">
        <v>330</v>
      </c>
      <c r="BR40" s="87" t="s">
        <v>331</v>
      </c>
      <c r="BS40" s="87" t="s">
        <v>330</v>
      </c>
      <c r="BT40" s="87" t="s">
        <v>331</v>
      </c>
      <c r="BU40" s="87" t="s">
        <v>335</v>
      </c>
      <c r="BV40" s="87" t="s">
        <v>329</v>
      </c>
      <c r="BW40" s="87" t="s">
        <v>330</v>
      </c>
      <c r="BX40" s="87" t="s">
        <v>336</v>
      </c>
      <c r="BY40" s="87" t="s">
        <v>330</v>
      </c>
      <c r="BZ40" s="87" t="s">
        <v>329</v>
      </c>
      <c r="CA40" s="87" t="s">
        <v>330</v>
      </c>
      <c r="CB40" s="87" t="s">
        <v>329</v>
      </c>
      <c r="CC40" s="87" t="s">
        <v>330</v>
      </c>
      <c r="CD40" s="87" t="s">
        <v>336</v>
      </c>
      <c r="CE40" s="87" t="s">
        <v>330</v>
      </c>
      <c r="CF40" s="87" t="s">
        <v>331</v>
      </c>
      <c r="CG40" s="87" t="s">
        <v>330</v>
      </c>
      <c r="CH40" s="87" t="s">
        <v>331</v>
      </c>
    </row>
    <row r="41" spans="1:86" x14ac:dyDescent="0.25">
      <c r="A41">
        <v>103</v>
      </c>
      <c r="B41">
        <v>80</v>
      </c>
      <c r="C41" s="87" t="s">
        <v>328</v>
      </c>
      <c r="D41" s="87" t="s">
        <v>329</v>
      </c>
      <c r="E41" s="87" t="s">
        <v>330</v>
      </c>
      <c r="F41" s="87" t="s">
        <v>331</v>
      </c>
      <c r="G41" s="87" t="s">
        <v>330</v>
      </c>
      <c r="H41" s="87" t="s">
        <v>331</v>
      </c>
      <c r="I41" s="87" t="s">
        <v>330</v>
      </c>
      <c r="J41" s="87" t="s">
        <v>331</v>
      </c>
      <c r="K41" s="87" t="s">
        <v>332</v>
      </c>
      <c r="L41" s="87" t="s">
        <v>332</v>
      </c>
      <c r="M41" s="87" t="s">
        <v>333</v>
      </c>
      <c r="N41" s="87" t="s">
        <v>331</v>
      </c>
      <c r="O41" s="87" t="s">
        <v>330</v>
      </c>
      <c r="P41" s="87" t="s">
        <v>331</v>
      </c>
      <c r="Q41" s="87" t="s">
        <v>328</v>
      </c>
      <c r="R41" s="87" t="s">
        <v>329</v>
      </c>
      <c r="S41" s="87" t="s">
        <v>330</v>
      </c>
      <c r="T41" s="87" t="s">
        <v>331</v>
      </c>
      <c r="U41" s="87" t="s">
        <v>330</v>
      </c>
      <c r="V41" s="87" t="s">
        <v>331</v>
      </c>
      <c r="W41" s="87" t="s">
        <v>330</v>
      </c>
      <c r="X41" s="87" t="s">
        <v>331</v>
      </c>
      <c r="Y41" s="87" t="s">
        <v>330</v>
      </c>
      <c r="Z41" s="87" t="s">
        <v>331</v>
      </c>
      <c r="AA41" s="87" t="s">
        <v>330</v>
      </c>
      <c r="AB41" s="87" t="s">
        <v>331</v>
      </c>
      <c r="AC41" s="87" t="s">
        <v>330</v>
      </c>
      <c r="AD41" s="87" t="s">
        <v>331</v>
      </c>
      <c r="AE41" s="87" t="s">
        <v>328</v>
      </c>
      <c r="AF41" s="87" t="s">
        <v>329</v>
      </c>
      <c r="AG41" s="87" t="s">
        <v>330</v>
      </c>
      <c r="AH41" s="87" t="s">
        <v>331</v>
      </c>
      <c r="AI41" s="87" t="s">
        <v>330</v>
      </c>
      <c r="AJ41" s="87" t="s">
        <v>331</v>
      </c>
      <c r="AK41" s="87" t="s">
        <v>330</v>
      </c>
      <c r="AL41" s="87" t="s">
        <v>331</v>
      </c>
      <c r="AM41" s="87" t="s">
        <v>330</v>
      </c>
      <c r="AN41" s="87" t="s">
        <v>331</v>
      </c>
      <c r="AO41" s="87" t="s">
        <v>330</v>
      </c>
      <c r="AP41" s="87" t="s">
        <v>331</v>
      </c>
      <c r="AQ41" s="87" t="s">
        <v>330</v>
      </c>
      <c r="AR41" s="87" t="s">
        <v>331</v>
      </c>
      <c r="AS41" s="87" t="s">
        <v>328</v>
      </c>
      <c r="AT41" s="87" t="s">
        <v>329</v>
      </c>
      <c r="AU41" s="87" t="s">
        <v>330</v>
      </c>
      <c r="AV41" s="87" t="s">
        <v>331</v>
      </c>
      <c r="AW41" s="87" t="s">
        <v>330</v>
      </c>
      <c r="AX41" s="87" t="s">
        <v>331</v>
      </c>
      <c r="AY41" s="87" t="s">
        <v>330</v>
      </c>
      <c r="AZ41" s="87" t="s">
        <v>331</v>
      </c>
      <c r="BA41" s="87" t="s">
        <v>330</v>
      </c>
      <c r="BB41" s="87" t="s">
        <v>331</v>
      </c>
      <c r="BC41" s="87" t="s">
        <v>330</v>
      </c>
      <c r="BD41" s="87" t="s">
        <v>331</v>
      </c>
      <c r="BE41" s="87" t="s">
        <v>334</v>
      </c>
      <c r="BF41" s="87" t="s">
        <v>331</v>
      </c>
      <c r="BG41" s="87" t="s">
        <v>335</v>
      </c>
      <c r="BH41" s="87" t="s">
        <v>329</v>
      </c>
      <c r="BI41" s="87" t="s">
        <v>334</v>
      </c>
      <c r="BJ41" s="87" t="s">
        <v>331</v>
      </c>
      <c r="BK41" s="87" t="s">
        <v>333</v>
      </c>
      <c r="BL41" s="87" t="s">
        <v>329</v>
      </c>
      <c r="BM41" s="87" t="s">
        <v>332</v>
      </c>
      <c r="BN41" s="87" t="s">
        <v>332</v>
      </c>
      <c r="BO41" s="87" t="s">
        <v>330</v>
      </c>
      <c r="BP41" s="87" t="s">
        <v>331</v>
      </c>
      <c r="BQ41" s="87" t="s">
        <v>330</v>
      </c>
      <c r="BR41" s="87" t="s">
        <v>331</v>
      </c>
      <c r="BS41" s="87" t="s">
        <v>330</v>
      </c>
      <c r="BT41" s="87" t="s">
        <v>331</v>
      </c>
      <c r="BU41" s="87" t="s">
        <v>328</v>
      </c>
      <c r="BV41" s="87" t="s">
        <v>329</v>
      </c>
      <c r="BW41" s="87" t="s">
        <v>330</v>
      </c>
      <c r="BX41" s="87" t="s">
        <v>331</v>
      </c>
      <c r="BY41" s="87" t="s">
        <v>330</v>
      </c>
      <c r="BZ41" s="87" t="s">
        <v>329</v>
      </c>
      <c r="CA41" s="87" t="s">
        <v>330</v>
      </c>
      <c r="CB41" s="87" t="s">
        <v>329</v>
      </c>
      <c r="CC41" s="87" t="s">
        <v>330</v>
      </c>
      <c r="CD41" s="87" t="s">
        <v>331</v>
      </c>
      <c r="CE41" s="87" t="s">
        <v>330</v>
      </c>
      <c r="CF41" s="87" t="s">
        <v>331</v>
      </c>
      <c r="CG41" s="87" t="s">
        <v>330</v>
      </c>
      <c r="CH41" s="87" t="s">
        <v>331</v>
      </c>
    </row>
    <row r="42" spans="1:86" x14ac:dyDescent="0.25">
      <c r="A42">
        <v>109</v>
      </c>
      <c r="B42">
        <v>86</v>
      </c>
      <c r="C42" s="87" t="s">
        <v>328</v>
      </c>
      <c r="D42" s="87" t="s">
        <v>329</v>
      </c>
      <c r="E42" s="87" t="s">
        <v>330</v>
      </c>
      <c r="F42" s="87" t="s">
        <v>331</v>
      </c>
      <c r="G42" s="87" t="s">
        <v>330</v>
      </c>
      <c r="H42" s="87" t="s">
        <v>331</v>
      </c>
      <c r="I42" s="87" t="s">
        <v>330</v>
      </c>
      <c r="J42" s="87" t="s">
        <v>331</v>
      </c>
      <c r="K42" s="87" t="s">
        <v>332</v>
      </c>
      <c r="L42" s="87" t="s">
        <v>332</v>
      </c>
      <c r="M42" s="87" t="s">
        <v>333</v>
      </c>
      <c r="N42" s="87" t="s">
        <v>331</v>
      </c>
      <c r="O42" s="87" t="s">
        <v>330</v>
      </c>
      <c r="P42" s="87" t="s">
        <v>331</v>
      </c>
      <c r="Q42" s="87" t="s">
        <v>328</v>
      </c>
      <c r="R42" s="87" t="s">
        <v>329</v>
      </c>
      <c r="S42" s="87" t="s">
        <v>330</v>
      </c>
      <c r="T42" s="87" t="s">
        <v>331</v>
      </c>
      <c r="U42" s="87" t="s">
        <v>330</v>
      </c>
      <c r="V42" s="87" t="s">
        <v>331</v>
      </c>
      <c r="W42" s="87" t="s">
        <v>330</v>
      </c>
      <c r="X42" s="87" t="s">
        <v>331</v>
      </c>
      <c r="Y42" s="87" t="s">
        <v>330</v>
      </c>
      <c r="Z42" s="87" t="s">
        <v>331</v>
      </c>
      <c r="AA42" s="87" t="s">
        <v>330</v>
      </c>
      <c r="AB42" s="87" t="s">
        <v>331</v>
      </c>
      <c r="AC42" s="87" t="s">
        <v>330</v>
      </c>
      <c r="AD42" s="87" t="s">
        <v>331</v>
      </c>
      <c r="AE42" s="87" t="s">
        <v>328</v>
      </c>
      <c r="AF42" s="87" t="s">
        <v>329</v>
      </c>
      <c r="AG42" s="87" t="s">
        <v>330</v>
      </c>
      <c r="AH42" s="87" t="s">
        <v>331</v>
      </c>
      <c r="AI42" s="87" t="s">
        <v>330</v>
      </c>
      <c r="AJ42" s="87" t="s">
        <v>331</v>
      </c>
      <c r="AK42" s="87" t="s">
        <v>330</v>
      </c>
      <c r="AL42" s="87" t="s">
        <v>331</v>
      </c>
      <c r="AM42" s="87" t="s">
        <v>330</v>
      </c>
      <c r="AN42" s="87" t="s">
        <v>331</v>
      </c>
      <c r="AO42" s="87" t="s">
        <v>330</v>
      </c>
      <c r="AP42" s="87" t="s">
        <v>331</v>
      </c>
      <c r="AQ42" s="87" t="s">
        <v>330</v>
      </c>
      <c r="AR42" s="87" t="s">
        <v>331</v>
      </c>
      <c r="AS42" s="87" t="s">
        <v>328</v>
      </c>
      <c r="AT42" s="87" t="s">
        <v>329</v>
      </c>
      <c r="AU42" s="87" t="s">
        <v>330</v>
      </c>
      <c r="AV42" s="87" t="s">
        <v>331</v>
      </c>
      <c r="AW42" s="87" t="s">
        <v>330</v>
      </c>
      <c r="AX42" s="87" t="s">
        <v>331</v>
      </c>
      <c r="AY42" s="87" t="s">
        <v>330</v>
      </c>
      <c r="AZ42" s="87" t="s">
        <v>331</v>
      </c>
      <c r="BA42" s="87" t="s">
        <v>330</v>
      </c>
      <c r="BB42" s="87" t="s">
        <v>331</v>
      </c>
      <c r="BC42" s="87" t="s">
        <v>330</v>
      </c>
      <c r="BD42" s="87" t="s">
        <v>331</v>
      </c>
      <c r="BE42" s="87" t="s">
        <v>330</v>
      </c>
      <c r="BF42" s="87" t="s">
        <v>331</v>
      </c>
      <c r="BG42" s="87" t="s">
        <v>335</v>
      </c>
      <c r="BH42" s="87" t="s">
        <v>338</v>
      </c>
      <c r="BI42" s="87" t="s">
        <v>330</v>
      </c>
      <c r="BJ42" s="87" t="s">
        <v>331</v>
      </c>
      <c r="BK42" s="87" t="s">
        <v>334</v>
      </c>
      <c r="BL42" s="87" t="s">
        <v>329</v>
      </c>
      <c r="BM42" s="87" t="s">
        <v>332</v>
      </c>
      <c r="BN42" s="87" t="s">
        <v>332</v>
      </c>
      <c r="BO42" s="87" t="s">
        <v>330</v>
      </c>
      <c r="BP42" s="87" t="s">
        <v>331</v>
      </c>
      <c r="BQ42" s="87" t="s">
        <v>330</v>
      </c>
      <c r="BR42" s="87" t="s">
        <v>331</v>
      </c>
      <c r="BS42" s="87" t="s">
        <v>330</v>
      </c>
      <c r="BT42" s="87" t="s">
        <v>331</v>
      </c>
      <c r="BU42" s="87" t="s">
        <v>328</v>
      </c>
      <c r="BV42" s="87" t="s">
        <v>329</v>
      </c>
      <c r="BW42" s="87" t="s">
        <v>330</v>
      </c>
      <c r="BX42" s="87" t="s">
        <v>331</v>
      </c>
      <c r="BY42" s="87" t="s">
        <v>330</v>
      </c>
      <c r="BZ42" s="87" t="s">
        <v>329</v>
      </c>
      <c r="CA42" s="87" t="s">
        <v>330</v>
      </c>
      <c r="CB42" s="87" t="s">
        <v>329</v>
      </c>
      <c r="CC42" s="87" t="s">
        <v>330</v>
      </c>
      <c r="CD42" s="87" t="s">
        <v>331</v>
      </c>
      <c r="CE42" s="87" t="s">
        <v>330</v>
      </c>
      <c r="CF42" s="87" t="s">
        <v>331</v>
      </c>
      <c r="CG42" s="87" t="s">
        <v>330</v>
      </c>
      <c r="CH42" s="87" t="s">
        <v>331</v>
      </c>
    </row>
    <row r="43" spans="1:86" x14ac:dyDescent="0.25">
      <c r="A43">
        <v>115</v>
      </c>
      <c r="B43">
        <v>89</v>
      </c>
      <c r="C43" s="87" t="s">
        <v>328</v>
      </c>
      <c r="D43" s="87" t="s">
        <v>329</v>
      </c>
      <c r="E43" s="87" t="s">
        <v>330</v>
      </c>
      <c r="F43" s="87" t="s">
        <v>331</v>
      </c>
      <c r="G43" s="87" t="s">
        <v>330</v>
      </c>
      <c r="H43" s="87" t="s">
        <v>331</v>
      </c>
      <c r="I43" s="87" t="s">
        <v>330</v>
      </c>
      <c r="J43" s="87" t="s">
        <v>331</v>
      </c>
      <c r="K43" s="87" t="s">
        <v>332</v>
      </c>
      <c r="L43" s="87" t="s">
        <v>332</v>
      </c>
      <c r="M43" s="87" t="s">
        <v>333</v>
      </c>
      <c r="N43" s="87" t="s">
        <v>331</v>
      </c>
      <c r="O43" s="87" t="s">
        <v>334</v>
      </c>
      <c r="P43" s="87" t="s">
        <v>331</v>
      </c>
      <c r="Q43" s="87" t="s">
        <v>328</v>
      </c>
      <c r="R43" s="87" t="s">
        <v>329</v>
      </c>
      <c r="S43" s="87" t="s">
        <v>330</v>
      </c>
      <c r="T43" s="87" t="s">
        <v>331</v>
      </c>
      <c r="U43" s="87" t="s">
        <v>330</v>
      </c>
      <c r="V43" s="87" t="s">
        <v>331</v>
      </c>
      <c r="W43" s="87" t="s">
        <v>330</v>
      </c>
      <c r="X43" s="87" t="s">
        <v>331</v>
      </c>
      <c r="Y43" s="87" t="s">
        <v>330</v>
      </c>
      <c r="Z43" s="87" t="s">
        <v>331</v>
      </c>
      <c r="AA43" s="87" t="s">
        <v>330</v>
      </c>
      <c r="AB43" s="87" t="s">
        <v>331</v>
      </c>
      <c r="AC43" s="87" t="s">
        <v>330</v>
      </c>
      <c r="AD43" s="87" t="s">
        <v>331</v>
      </c>
      <c r="AE43" s="87" t="s">
        <v>328</v>
      </c>
      <c r="AF43" s="87" t="s">
        <v>329</v>
      </c>
      <c r="AG43" s="87" t="s">
        <v>330</v>
      </c>
      <c r="AH43" s="87" t="s">
        <v>331</v>
      </c>
      <c r="AI43" s="87" t="s">
        <v>330</v>
      </c>
      <c r="AJ43" s="87" t="s">
        <v>331</v>
      </c>
      <c r="AK43" s="87" t="s">
        <v>330</v>
      </c>
      <c r="AL43" s="87" t="s">
        <v>331</v>
      </c>
      <c r="AM43" s="87" t="s">
        <v>330</v>
      </c>
      <c r="AN43" s="87" t="s">
        <v>331</v>
      </c>
      <c r="AO43" s="87" t="s">
        <v>330</v>
      </c>
      <c r="AP43" s="87" t="s">
        <v>331</v>
      </c>
      <c r="AQ43" s="87" t="s">
        <v>334</v>
      </c>
      <c r="AR43" s="87" t="s">
        <v>331</v>
      </c>
      <c r="AS43" s="87" t="s">
        <v>335</v>
      </c>
      <c r="AT43" s="87" t="s">
        <v>338</v>
      </c>
      <c r="AU43" s="87" t="s">
        <v>330</v>
      </c>
      <c r="AV43" s="87" t="s">
        <v>331</v>
      </c>
      <c r="AW43" s="87" t="s">
        <v>330</v>
      </c>
      <c r="AX43" s="87" t="s">
        <v>331</v>
      </c>
      <c r="AY43" s="87" t="s">
        <v>330</v>
      </c>
      <c r="AZ43" s="87" t="s">
        <v>331</v>
      </c>
      <c r="BA43" s="87" t="s">
        <v>330</v>
      </c>
      <c r="BB43" s="87" t="s">
        <v>331</v>
      </c>
      <c r="BC43" s="87" t="s">
        <v>330</v>
      </c>
      <c r="BD43" s="87" t="s">
        <v>331</v>
      </c>
      <c r="BE43" s="87" t="s">
        <v>334</v>
      </c>
      <c r="BF43" s="87" t="s">
        <v>341</v>
      </c>
      <c r="BG43" s="87" t="s">
        <v>330</v>
      </c>
      <c r="BH43" s="87" t="s">
        <v>336</v>
      </c>
      <c r="BI43" s="87" t="s">
        <v>334</v>
      </c>
      <c r="BJ43" s="87" t="s">
        <v>341</v>
      </c>
      <c r="BK43" s="87" t="s">
        <v>334</v>
      </c>
      <c r="BL43" s="87" t="s">
        <v>329</v>
      </c>
      <c r="BM43" s="87" t="s">
        <v>332</v>
      </c>
      <c r="BN43" s="87" t="s">
        <v>332</v>
      </c>
      <c r="BO43" s="87" t="s">
        <v>334</v>
      </c>
      <c r="BP43" s="87" t="s">
        <v>331</v>
      </c>
      <c r="BQ43" s="87" t="s">
        <v>330</v>
      </c>
      <c r="BR43" s="87" t="s">
        <v>331</v>
      </c>
      <c r="BS43" s="87" t="s">
        <v>330</v>
      </c>
      <c r="BT43" s="87" t="s">
        <v>331</v>
      </c>
      <c r="BU43" s="87" t="s">
        <v>328</v>
      </c>
      <c r="BV43" s="87" t="s">
        <v>329</v>
      </c>
      <c r="BW43" s="87" t="s">
        <v>330</v>
      </c>
      <c r="BX43" s="87" t="s">
        <v>331</v>
      </c>
      <c r="BY43" s="87" t="s">
        <v>334</v>
      </c>
      <c r="BZ43" s="87" t="s">
        <v>329</v>
      </c>
      <c r="CA43" s="87" t="s">
        <v>330</v>
      </c>
      <c r="CB43" s="87" t="s">
        <v>331</v>
      </c>
      <c r="CC43" s="87" t="s">
        <v>330</v>
      </c>
      <c r="CD43" s="87" t="s">
        <v>331</v>
      </c>
      <c r="CE43" s="87" t="s">
        <v>330</v>
      </c>
      <c r="CF43" s="87" t="s">
        <v>331</v>
      </c>
      <c r="CG43" s="87" t="s">
        <v>330</v>
      </c>
      <c r="CH43" s="87" t="s">
        <v>331</v>
      </c>
    </row>
    <row r="44" spans="1:86" x14ac:dyDescent="0.25">
      <c r="A44">
        <v>116</v>
      </c>
      <c r="B44">
        <v>90</v>
      </c>
      <c r="C44" s="87" t="s">
        <v>328</v>
      </c>
      <c r="D44" s="87" t="s">
        <v>329</v>
      </c>
      <c r="E44" s="87" t="s">
        <v>330</v>
      </c>
      <c r="F44" s="87" t="s">
        <v>331</v>
      </c>
      <c r="G44" s="87" t="s">
        <v>330</v>
      </c>
      <c r="H44" s="87" t="s">
        <v>331</v>
      </c>
      <c r="I44" s="87" t="s">
        <v>330</v>
      </c>
      <c r="J44" s="87" t="s">
        <v>331</v>
      </c>
      <c r="K44" s="87" t="s">
        <v>332</v>
      </c>
      <c r="L44" s="87" t="s">
        <v>332</v>
      </c>
      <c r="M44" s="87" t="s">
        <v>337</v>
      </c>
      <c r="N44" s="87" t="s">
        <v>331</v>
      </c>
      <c r="O44" s="87" t="s">
        <v>330</v>
      </c>
      <c r="P44" s="87" t="s">
        <v>331</v>
      </c>
      <c r="Q44" s="87" t="s">
        <v>328</v>
      </c>
      <c r="R44" s="87" t="s">
        <v>329</v>
      </c>
      <c r="S44" s="87" t="s">
        <v>330</v>
      </c>
      <c r="T44" s="87" t="s">
        <v>331</v>
      </c>
      <c r="U44" s="87" t="s">
        <v>330</v>
      </c>
      <c r="V44" s="87" t="s">
        <v>331</v>
      </c>
      <c r="W44" s="87" t="s">
        <v>330</v>
      </c>
      <c r="X44" s="87" t="s">
        <v>331</v>
      </c>
      <c r="Y44" s="87" t="s">
        <v>330</v>
      </c>
      <c r="Z44" s="87" t="s">
        <v>331</v>
      </c>
      <c r="AA44" s="87" t="s">
        <v>330</v>
      </c>
      <c r="AB44" s="87" t="s">
        <v>331</v>
      </c>
      <c r="AC44" s="87" t="s">
        <v>330</v>
      </c>
      <c r="AD44" s="87" t="s">
        <v>331</v>
      </c>
      <c r="AE44" s="87" t="s">
        <v>328</v>
      </c>
      <c r="AF44" s="87" t="s">
        <v>329</v>
      </c>
      <c r="AG44" s="87" t="s">
        <v>330</v>
      </c>
      <c r="AH44" s="87" t="s">
        <v>331</v>
      </c>
      <c r="AI44" s="87" t="s">
        <v>330</v>
      </c>
      <c r="AJ44" s="87" t="s">
        <v>331</v>
      </c>
      <c r="AK44" s="87" t="s">
        <v>330</v>
      </c>
      <c r="AL44" s="87" t="s">
        <v>331</v>
      </c>
      <c r="AM44" s="87" t="s">
        <v>330</v>
      </c>
      <c r="AN44" s="87" t="s">
        <v>331</v>
      </c>
      <c r="AO44" s="87" t="s">
        <v>330</v>
      </c>
      <c r="AP44" s="87" t="s">
        <v>331</v>
      </c>
      <c r="AQ44" s="87" t="s">
        <v>330</v>
      </c>
      <c r="AR44" s="87" t="s">
        <v>331</v>
      </c>
      <c r="AS44" s="87" t="s">
        <v>328</v>
      </c>
      <c r="AT44" s="87" t="s">
        <v>329</v>
      </c>
      <c r="AU44" s="87" t="s">
        <v>330</v>
      </c>
      <c r="AV44" s="87" t="s">
        <v>331</v>
      </c>
      <c r="AW44" s="87" t="s">
        <v>330</v>
      </c>
      <c r="AX44" s="87" t="s">
        <v>331</v>
      </c>
      <c r="AY44" s="87" t="s">
        <v>330</v>
      </c>
      <c r="AZ44" s="87" t="s">
        <v>331</v>
      </c>
      <c r="BA44" s="87" t="s">
        <v>330</v>
      </c>
      <c r="BB44" s="87" t="s">
        <v>331</v>
      </c>
      <c r="BC44" s="87" t="s">
        <v>330</v>
      </c>
      <c r="BD44" s="87" t="s">
        <v>331</v>
      </c>
      <c r="BE44" s="87" t="s">
        <v>334</v>
      </c>
      <c r="BF44" s="87" t="s">
        <v>331</v>
      </c>
      <c r="BG44" s="87" t="s">
        <v>335</v>
      </c>
      <c r="BH44" s="87" t="s">
        <v>329</v>
      </c>
      <c r="BI44" s="87" t="s">
        <v>330</v>
      </c>
      <c r="BJ44" s="87" t="s">
        <v>331</v>
      </c>
      <c r="BK44" s="87" t="s">
        <v>333</v>
      </c>
      <c r="BL44" s="87" t="s">
        <v>329</v>
      </c>
      <c r="BM44" s="87" t="s">
        <v>332</v>
      </c>
      <c r="BN44" s="87" t="s">
        <v>332</v>
      </c>
      <c r="BO44" s="87" t="s">
        <v>330</v>
      </c>
      <c r="BP44" s="87" t="s">
        <v>331</v>
      </c>
      <c r="BQ44" s="87" t="s">
        <v>330</v>
      </c>
      <c r="BR44" s="87" t="s">
        <v>331</v>
      </c>
      <c r="BS44" s="87" t="s">
        <v>330</v>
      </c>
      <c r="BT44" s="87" t="s">
        <v>331</v>
      </c>
      <c r="BU44" s="87" t="s">
        <v>328</v>
      </c>
      <c r="BV44" s="87" t="s">
        <v>329</v>
      </c>
      <c r="BW44" s="87" t="s">
        <v>330</v>
      </c>
      <c r="BX44" s="87" t="s">
        <v>331</v>
      </c>
      <c r="BY44" s="87" t="s">
        <v>330</v>
      </c>
      <c r="BZ44" s="87" t="s">
        <v>329</v>
      </c>
      <c r="CA44" s="87" t="s">
        <v>330</v>
      </c>
      <c r="CB44" s="87" t="s">
        <v>329</v>
      </c>
      <c r="CC44" s="87" t="s">
        <v>330</v>
      </c>
      <c r="CD44" s="87" t="s">
        <v>331</v>
      </c>
      <c r="CE44" s="87" t="s">
        <v>330</v>
      </c>
      <c r="CF44" s="87" t="s">
        <v>331</v>
      </c>
      <c r="CG44" s="87" t="s">
        <v>330</v>
      </c>
      <c r="CH44" s="87" t="s">
        <v>331</v>
      </c>
    </row>
    <row r="45" spans="1:86" x14ac:dyDescent="0.25">
      <c r="A45">
        <v>117</v>
      </c>
      <c r="B45">
        <v>92</v>
      </c>
      <c r="C45" s="87" t="s">
        <v>328</v>
      </c>
      <c r="D45" s="87" t="s">
        <v>329</v>
      </c>
      <c r="E45" s="87" t="s">
        <v>330</v>
      </c>
      <c r="F45" s="87" t="s">
        <v>331</v>
      </c>
      <c r="G45" s="87" t="s">
        <v>330</v>
      </c>
      <c r="H45" s="87" t="s">
        <v>331</v>
      </c>
      <c r="I45" s="87" t="s">
        <v>330</v>
      </c>
      <c r="J45" s="87" t="s">
        <v>331</v>
      </c>
      <c r="K45" s="87" t="s">
        <v>332</v>
      </c>
      <c r="L45" s="87" t="s">
        <v>332</v>
      </c>
      <c r="M45" s="87" t="s">
        <v>337</v>
      </c>
      <c r="N45" s="87" t="s">
        <v>342</v>
      </c>
      <c r="O45" s="87" t="s">
        <v>334</v>
      </c>
      <c r="P45" s="87" t="s">
        <v>331</v>
      </c>
      <c r="Q45" s="87" t="s">
        <v>328</v>
      </c>
      <c r="R45" s="87" t="s">
        <v>329</v>
      </c>
      <c r="S45" s="87" t="s">
        <v>330</v>
      </c>
      <c r="T45" s="87" t="s">
        <v>331</v>
      </c>
      <c r="U45" s="87" t="s">
        <v>330</v>
      </c>
      <c r="V45" s="87" t="s">
        <v>331</v>
      </c>
      <c r="W45" s="87" t="s">
        <v>330</v>
      </c>
      <c r="X45" s="87" t="s">
        <v>331</v>
      </c>
      <c r="Y45" s="87" t="s">
        <v>330</v>
      </c>
      <c r="Z45" s="87" t="s">
        <v>331</v>
      </c>
      <c r="AA45" s="87" t="s">
        <v>330</v>
      </c>
      <c r="AB45" s="87" t="s">
        <v>331</v>
      </c>
      <c r="AC45" s="87" t="s">
        <v>330</v>
      </c>
      <c r="AD45" s="87" t="s">
        <v>331</v>
      </c>
      <c r="AE45" s="87" t="s">
        <v>328</v>
      </c>
      <c r="AF45" s="87" t="s">
        <v>329</v>
      </c>
      <c r="AG45" s="87" t="s">
        <v>330</v>
      </c>
      <c r="AH45" s="87" t="s">
        <v>331</v>
      </c>
      <c r="AI45" s="87" t="s">
        <v>330</v>
      </c>
      <c r="AJ45" s="87" t="s">
        <v>331</v>
      </c>
      <c r="AK45" s="87" t="s">
        <v>330</v>
      </c>
      <c r="AL45" s="87" t="s">
        <v>331</v>
      </c>
      <c r="AM45" s="87" t="s">
        <v>330</v>
      </c>
      <c r="AN45" s="87" t="s">
        <v>331</v>
      </c>
      <c r="AO45" s="87" t="s">
        <v>330</v>
      </c>
      <c r="AP45" s="87" t="s">
        <v>331</v>
      </c>
      <c r="AQ45" s="87" t="s">
        <v>334</v>
      </c>
      <c r="AR45" s="87" t="s">
        <v>331</v>
      </c>
      <c r="AS45" s="87" t="s">
        <v>330</v>
      </c>
      <c r="AT45" s="87" t="s">
        <v>336</v>
      </c>
      <c r="AU45" s="87" t="s">
        <v>330</v>
      </c>
      <c r="AV45" s="87" t="s">
        <v>331</v>
      </c>
      <c r="AW45" s="87" t="s">
        <v>330</v>
      </c>
      <c r="AX45" s="87" t="s">
        <v>331</v>
      </c>
      <c r="AY45" s="87" t="s">
        <v>330</v>
      </c>
      <c r="AZ45" s="87" t="s">
        <v>331</v>
      </c>
      <c r="BA45" s="87" t="s">
        <v>330</v>
      </c>
      <c r="BB45" s="87" t="s">
        <v>331</v>
      </c>
      <c r="BC45" s="87" t="s">
        <v>330</v>
      </c>
      <c r="BD45" s="87" t="s">
        <v>331</v>
      </c>
      <c r="BE45" s="87" t="s">
        <v>334</v>
      </c>
      <c r="BF45" s="87" t="s">
        <v>341</v>
      </c>
      <c r="BG45" s="87" t="s">
        <v>334</v>
      </c>
      <c r="BH45" s="87" t="s">
        <v>331</v>
      </c>
      <c r="BI45" s="87" t="s">
        <v>334</v>
      </c>
      <c r="BJ45" s="87" t="s">
        <v>341</v>
      </c>
      <c r="BK45" s="87" t="s">
        <v>334</v>
      </c>
      <c r="BL45" s="87" t="s">
        <v>329</v>
      </c>
      <c r="BM45" s="87" t="s">
        <v>332</v>
      </c>
      <c r="BN45" s="87" t="s">
        <v>332</v>
      </c>
      <c r="BO45" s="87" t="s">
        <v>334</v>
      </c>
      <c r="BP45" s="87" t="s">
        <v>331</v>
      </c>
      <c r="BQ45" s="87" t="s">
        <v>330</v>
      </c>
      <c r="BR45" s="87" t="s">
        <v>331</v>
      </c>
      <c r="BS45" s="87" t="s">
        <v>330</v>
      </c>
      <c r="BT45" s="87" t="s">
        <v>331</v>
      </c>
      <c r="BU45" s="87" t="s">
        <v>328</v>
      </c>
      <c r="BV45" s="87" t="s">
        <v>329</v>
      </c>
      <c r="BW45" s="87" t="s">
        <v>330</v>
      </c>
      <c r="BX45" s="87" t="s">
        <v>331</v>
      </c>
      <c r="BY45" s="87" t="s">
        <v>334</v>
      </c>
      <c r="BZ45" s="87" t="s">
        <v>329</v>
      </c>
      <c r="CA45" s="87" t="s">
        <v>330</v>
      </c>
      <c r="CB45" s="87" t="s">
        <v>331</v>
      </c>
      <c r="CC45" s="87" t="s">
        <v>330</v>
      </c>
      <c r="CD45" s="87" t="s">
        <v>331</v>
      </c>
      <c r="CE45" s="87" t="s">
        <v>330</v>
      </c>
      <c r="CF45" s="87" t="s">
        <v>331</v>
      </c>
      <c r="CG45" s="87" t="s">
        <v>330</v>
      </c>
      <c r="CH45" s="87" t="s">
        <v>331</v>
      </c>
    </row>
    <row r="46" spans="1:86" x14ac:dyDescent="0.25">
      <c r="A46">
        <v>119</v>
      </c>
      <c r="B46">
        <v>94</v>
      </c>
      <c r="C46" s="87" t="s">
        <v>328</v>
      </c>
      <c r="D46" s="87" t="s">
        <v>329</v>
      </c>
      <c r="E46" s="87" t="s">
        <v>330</v>
      </c>
      <c r="F46" s="87" t="s">
        <v>331</v>
      </c>
      <c r="G46" s="87" t="s">
        <v>330</v>
      </c>
      <c r="H46" s="87" t="s">
        <v>331</v>
      </c>
      <c r="I46" s="87" t="s">
        <v>330</v>
      </c>
      <c r="J46" s="87" t="s">
        <v>331</v>
      </c>
      <c r="K46" s="87" t="s">
        <v>332</v>
      </c>
      <c r="L46" s="87" t="s">
        <v>332</v>
      </c>
      <c r="M46" s="87" t="s">
        <v>337</v>
      </c>
      <c r="N46" s="87" t="s">
        <v>331</v>
      </c>
      <c r="O46" s="87" t="s">
        <v>330</v>
      </c>
      <c r="P46" s="87" t="s">
        <v>331</v>
      </c>
      <c r="Q46" s="87" t="s">
        <v>328</v>
      </c>
      <c r="R46" s="87" t="s">
        <v>329</v>
      </c>
      <c r="S46" s="87" t="s">
        <v>330</v>
      </c>
      <c r="T46" s="87" t="s">
        <v>331</v>
      </c>
      <c r="U46" s="87" t="s">
        <v>330</v>
      </c>
      <c r="V46" s="87" t="s">
        <v>331</v>
      </c>
      <c r="W46" s="87" t="s">
        <v>330</v>
      </c>
      <c r="X46" s="87" t="s">
        <v>331</v>
      </c>
      <c r="Y46" s="87" t="s">
        <v>330</v>
      </c>
      <c r="Z46" s="87" t="s">
        <v>331</v>
      </c>
      <c r="AA46" s="87" t="s">
        <v>330</v>
      </c>
      <c r="AB46" s="87" t="s">
        <v>331</v>
      </c>
      <c r="AC46" s="87" t="s">
        <v>330</v>
      </c>
      <c r="AD46" s="87" t="s">
        <v>331</v>
      </c>
      <c r="AE46" s="87" t="s">
        <v>328</v>
      </c>
      <c r="AF46" s="87" t="s">
        <v>329</v>
      </c>
      <c r="AG46" s="87" t="s">
        <v>330</v>
      </c>
      <c r="AH46" s="87" t="s">
        <v>331</v>
      </c>
      <c r="AI46" s="87" t="s">
        <v>330</v>
      </c>
      <c r="AJ46" s="87" t="s">
        <v>331</v>
      </c>
      <c r="AK46" s="87" t="s">
        <v>330</v>
      </c>
      <c r="AL46" s="87" t="s">
        <v>331</v>
      </c>
      <c r="AM46" s="87" t="s">
        <v>330</v>
      </c>
      <c r="AN46" s="87" t="s">
        <v>331</v>
      </c>
      <c r="AO46" s="87" t="s">
        <v>330</v>
      </c>
      <c r="AP46" s="87" t="s">
        <v>331</v>
      </c>
      <c r="AQ46" s="87" t="s">
        <v>330</v>
      </c>
      <c r="AR46" s="87" t="s">
        <v>331</v>
      </c>
      <c r="AS46" s="87" t="s">
        <v>328</v>
      </c>
      <c r="AT46" s="87" t="s">
        <v>329</v>
      </c>
      <c r="AU46" s="87" t="s">
        <v>330</v>
      </c>
      <c r="AV46" s="87" t="s">
        <v>331</v>
      </c>
      <c r="AW46" s="87" t="s">
        <v>330</v>
      </c>
      <c r="AX46" s="87" t="s">
        <v>331</v>
      </c>
      <c r="AY46" s="87" t="s">
        <v>330</v>
      </c>
      <c r="AZ46" s="87" t="s">
        <v>331</v>
      </c>
      <c r="BA46" s="87" t="s">
        <v>330</v>
      </c>
      <c r="BB46" s="87" t="s">
        <v>331</v>
      </c>
      <c r="BC46" s="87" t="s">
        <v>330</v>
      </c>
      <c r="BD46" s="87" t="s">
        <v>331</v>
      </c>
      <c r="BE46" s="87" t="s">
        <v>334</v>
      </c>
      <c r="BF46" s="87" t="s">
        <v>331</v>
      </c>
      <c r="BG46" s="87" t="s">
        <v>335</v>
      </c>
      <c r="BH46" s="87" t="s">
        <v>329</v>
      </c>
      <c r="BI46" s="87" t="s">
        <v>330</v>
      </c>
      <c r="BJ46" s="87" t="s">
        <v>331</v>
      </c>
      <c r="BK46" s="87" t="s">
        <v>333</v>
      </c>
      <c r="BL46" s="87" t="s">
        <v>329</v>
      </c>
      <c r="BM46" s="87" t="s">
        <v>332</v>
      </c>
      <c r="BN46" s="87" t="s">
        <v>332</v>
      </c>
      <c r="BO46" s="87" t="s">
        <v>330</v>
      </c>
      <c r="BP46" s="87" t="s">
        <v>331</v>
      </c>
      <c r="BQ46" s="87" t="s">
        <v>330</v>
      </c>
      <c r="BR46" s="87" t="s">
        <v>331</v>
      </c>
      <c r="BS46" s="87" t="s">
        <v>330</v>
      </c>
      <c r="BT46" s="87" t="s">
        <v>331</v>
      </c>
      <c r="BU46" s="87" t="s">
        <v>328</v>
      </c>
      <c r="BV46" s="87" t="s">
        <v>329</v>
      </c>
      <c r="BW46" s="87" t="s">
        <v>330</v>
      </c>
      <c r="BX46" s="87" t="s">
        <v>331</v>
      </c>
      <c r="BY46" s="87" t="s">
        <v>330</v>
      </c>
      <c r="BZ46" s="87" t="s">
        <v>329</v>
      </c>
      <c r="CA46" s="87" t="s">
        <v>330</v>
      </c>
      <c r="CB46" s="87" t="s">
        <v>329</v>
      </c>
      <c r="CC46" s="87" t="s">
        <v>330</v>
      </c>
      <c r="CD46" s="87" t="s">
        <v>331</v>
      </c>
      <c r="CE46" s="87" t="s">
        <v>330</v>
      </c>
      <c r="CF46" s="87" t="s">
        <v>331</v>
      </c>
      <c r="CG46" s="87" t="s">
        <v>330</v>
      </c>
      <c r="CH46" s="87" t="s">
        <v>331</v>
      </c>
    </row>
    <row r="49" spans="2:10" x14ac:dyDescent="0.25">
      <c r="B49" t="s">
        <v>316</v>
      </c>
      <c r="C49" s="82">
        <v>45620</v>
      </c>
      <c r="D49" s="82">
        <v>45620</v>
      </c>
      <c r="E49" s="82">
        <v>45621</v>
      </c>
      <c r="F49" s="82">
        <v>45621</v>
      </c>
      <c r="G49" s="82">
        <v>45622</v>
      </c>
      <c r="H49" s="82">
        <v>45622</v>
      </c>
      <c r="I49" s="82">
        <v>45623</v>
      </c>
      <c r="J49" s="82">
        <v>45623</v>
      </c>
    </row>
    <row r="50" spans="2:10" ht="25.5" x14ac:dyDescent="0.25">
      <c r="C50" s="81" t="s">
        <v>326</v>
      </c>
      <c r="D50" s="81" t="s">
        <v>327</v>
      </c>
      <c r="E50" s="81" t="s">
        <v>326</v>
      </c>
      <c r="F50" s="81" t="s">
        <v>327</v>
      </c>
      <c r="G50" s="81" t="s">
        <v>326</v>
      </c>
      <c r="H50" s="81" t="s">
        <v>327</v>
      </c>
      <c r="I50" s="81" t="s">
        <v>326</v>
      </c>
      <c r="J50" s="81" t="s">
        <v>327</v>
      </c>
    </row>
    <row r="51" spans="2:10" x14ac:dyDescent="0.25">
      <c r="B51">
        <v>23</v>
      </c>
      <c r="C51" s="87">
        <v>0.5</v>
      </c>
      <c r="D51" s="87">
        <v>0.75</v>
      </c>
      <c r="E51" s="87">
        <v>0.41666666666666669</v>
      </c>
      <c r="F51" s="87">
        <v>0.875</v>
      </c>
      <c r="G51" s="87">
        <v>0.41666666666666669</v>
      </c>
      <c r="H51" s="87">
        <v>0.875</v>
      </c>
      <c r="I51" s="87">
        <v>0.41666666666666669</v>
      </c>
      <c r="J51" s="87">
        <v>0.875</v>
      </c>
    </row>
    <row r="52" spans="2:10" x14ac:dyDescent="0.25">
      <c r="B52">
        <v>20</v>
      </c>
      <c r="C52" s="87">
        <v>0.5</v>
      </c>
      <c r="D52" s="87">
        <v>0.75</v>
      </c>
      <c r="E52" s="87">
        <v>0.45833333333333331</v>
      </c>
      <c r="F52" s="87">
        <v>0.83333333333333337</v>
      </c>
      <c r="G52" s="87">
        <v>0.45833333333333331</v>
      </c>
      <c r="H52" s="87">
        <v>0.83333333333333337</v>
      </c>
      <c r="I52" s="87">
        <v>0.45833333333333331</v>
      </c>
      <c r="J52" s="87">
        <v>0.83333333333333337</v>
      </c>
    </row>
    <row r="53" spans="2:10" x14ac:dyDescent="0.25">
      <c r="B53">
        <v>22</v>
      </c>
      <c r="C53" s="87">
        <v>0.5</v>
      </c>
      <c r="D53" s="87">
        <v>0.75</v>
      </c>
      <c r="E53" s="87">
        <v>0.45833333333333331</v>
      </c>
      <c r="F53" s="87">
        <v>0.83333333333333337</v>
      </c>
      <c r="G53" s="87">
        <v>0.45833333333333331</v>
      </c>
      <c r="H53" s="87">
        <v>0.83333333333333337</v>
      </c>
      <c r="I53" s="87">
        <v>0.45833333333333331</v>
      </c>
      <c r="J53" s="87">
        <v>0.83333333333333337</v>
      </c>
    </row>
    <row r="54" spans="2:10" x14ac:dyDescent="0.25">
      <c r="B54">
        <v>27</v>
      </c>
      <c r="C54" s="87">
        <v>0.5</v>
      </c>
      <c r="D54" s="87">
        <v>0.75</v>
      </c>
      <c r="E54" s="87">
        <v>0.41666666666666669</v>
      </c>
      <c r="F54" s="87">
        <v>0.83333333333333337</v>
      </c>
      <c r="G54" s="87">
        <v>0.41666666666666669</v>
      </c>
      <c r="H54" s="87">
        <v>0.83333333333333337</v>
      </c>
      <c r="I54" s="87">
        <v>0.41666666666666669</v>
      </c>
      <c r="J54" s="87">
        <v>0.83333333333333337</v>
      </c>
    </row>
    <row r="55" spans="2:10" x14ac:dyDescent="0.25">
      <c r="B55">
        <v>36</v>
      </c>
      <c r="C55" s="87">
        <v>0.5</v>
      </c>
      <c r="D55" s="87">
        <v>0.75</v>
      </c>
      <c r="E55" s="87">
        <v>0.45833333333333331</v>
      </c>
      <c r="F55" s="87">
        <v>0.79166666666666663</v>
      </c>
      <c r="G55" s="87">
        <v>0.45833333333333331</v>
      </c>
      <c r="H55" s="87">
        <v>0.79166666666666663</v>
      </c>
      <c r="I55" s="87">
        <v>0.45833333333333331</v>
      </c>
      <c r="J55" s="87">
        <v>0.79166666666666663</v>
      </c>
    </row>
    <row r="56" spans="2:10" x14ac:dyDescent="0.25">
      <c r="B56">
        <v>56</v>
      </c>
      <c r="C56" s="87">
        <v>0.5</v>
      </c>
      <c r="D56" s="87">
        <v>0.75</v>
      </c>
      <c r="E56" s="87">
        <v>0.45833333333333331</v>
      </c>
      <c r="F56" s="87">
        <v>0.83333333333333337</v>
      </c>
      <c r="G56" s="87">
        <v>0.45833333333333331</v>
      </c>
      <c r="H56" s="87">
        <v>0.83333333333333337</v>
      </c>
      <c r="I56" s="87">
        <v>0.45833333333333331</v>
      </c>
      <c r="J56" s="87">
        <v>0.83333333333333337</v>
      </c>
    </row>
    <row r="57" spans="2:10" x14ac:dyDescent="0.25">
      <c r="B57">
        <v>67</v>
      </c>
      <c r="C57" s="87">
        <v>0.5</v>
      </c>
      <c r="D57" s="87">
        <v>0.75</v>
      </c>
      <c r="E57" s="87">
        <v>0.41666666666666669</v>
      </c>
      <c r="F57" s="87">
        <v>0.875</v>
      </c>
      <c r="G57" s="87">
        <v>0.41666666666666669</v>
      </c>
      <c r="H57" s="87">
        <v>0.875</v>
      </c>
      <c r="I57" s="87">
        <v>0.41666666666666669</v>
      </c>
      <c r="J57" s="87">
        <v>0.875</v>
      </c>
    </row>
    <row r="58" spans="2:10" x14ac:dyDescent="0.25">
      <c r="B58">
        <v>97</v>
      </c>
      <c r="C58" s="87">
        <v>0.5</v>
      </c>
      <c r="D58" s="87">
        <v>0.75</v>
      </c>
      <c r="E58" s="87">
        <v>0.45833333333333331</v>
      </c>
      <c r="F58" s="87">
        <v>0.79166666666666663</v>
      </c>
      <c r="G58" s="87">
        <v>0.45833333333333331</v>
      </c>
      <c r="H58" s="87">
        <v>0.79166666666666663</v>
      </c>
      <c r="I58" s="87">
        <v>0.45833333333333331</v>
      </c>
      <c r="J58" s="87">
        <v>0.79166666666666663</v>
      </c>
    </row>
    <row r="59" spans="2:10" x14ac:dyDescent="0.25">
      <c r="B59">
        <v>14</v>
      </c>
      <c r="C59" s="87">
        <v>0.41666666666666669</v>
      </c>
      <c r="D59" s="87">
        <v>0.79166666666666663</v>
      </c>
      <c r="E59" s="87">
        <v>0.41666666666666669</v>
      </c>
      <c r="F59" s="87">
        <v>0.875</v>
      </c>
      <c r="G59" s="87">
        <v>0.41666666666666669</v>
      </c>
      <c r="H59" s="87">
        <v>0.875</v>
      </c>
      <c r="I59" s="87">
        <v>0.41666666666666669</v>
      </c>
      <c r="J59" s="87">
        <v>0.875</v>
      </c>
    </row>
    <row r="60" spans="2:10" x14ac:dyDescent="0.25">
      <c r="B60">
        <v>29</v>
      </c>
      <c r="C60" s="87">
        <v>0.45833333333333331</v>
      </c>
      <c r="D60" s="87">
        <v>0.75</v>
      </c>
      <c r="E60" s="87">
        <v>0.41666666666666669</v>
      </c>
      <c r="F60" s="87">
        <v>0.875</v>
      </c>
      <c r="G60" s="87">
        <v>0.41666666666666669</v>
      </c>
      <c r="H60" s="87">
        <v>0.875</v>
      </c>
      <c r="I60" s="87">
        <v>0.41666666666666669</v>
      </c>
      <c r="J60" s="87">
        <v>0.875</v>
      </c>
    </row>
    <row r="61" spans="2:10" x14ac:dyDescent="0.25">
      <c r="B61">
        <v>64</v>
      </c>
      <c r="C61" s="87">
        <v>0.45833333333333331</v>
      </c>
      <c r="D61" s="87">
        <v>0.75</v>
      </c>
      <c r="E61" s="87">
        <v>0.41666666666666669</v>
      </c>
      <c r="F61" s="87">
        <v>0.875</v>
      </c>
      <c r="G61" s="87">
        <v>0.41666666666666669</v>
      </c>
      <c r="H61" s="87">
        <v>0.875</v>
      </c>
      <c r="I61" s="87">
        <v>0.41666666666666669</v>
      </c>
      <c r="J61" s="87">
        <v>0.875</v>
      </c>
    </row>
    <row r="62" spans="2:10" x14ac:dyDescent="0.25">
      <c r="B62">
        <v>75</v>
      </c>
      <c r="C62" s="87">
        <v>0.45833333333333331</v>
      </c>
      <c r="D62" s="87">
        <v>0.75</v>
      </c>
      <c r="E62" s="87">
        <v>0.41666666666666669</v>
      </c>
      <c r="F62" s="87">
        <v>0.875</v>
      </c>
      <c r="G62" s="87">
        <v>0.41666666666666669</v>
      </c>
      <c r="H62" s="87">
        <v>0.875</v>
      </c>
      <c r="I62" s="87">
        <v>0.41666666666666669</v>
      </c>
      <c r="J62" s="87">
        <v>0.70833333333333337</v>
      </c>
    </row>
    <row r="63" spans="2:10" x14ac:dyDescent="0.25">
      <c r="B63">
        <v>79</v>
      </c>
      <c r="C63" s="87">
        <v>0.5</v>
      </c>
      <c r="D63" s="87">
        <v>0.75</v>
      </c>
      <c r="E63" s="87">
        <v>0.41666666666666669</v>
      </c>
      <c r="F63" s="87">
        <v>0.875</v>
      </c>
      <c r="G63" s="87">
        <v>0.41666666666666669</v>
      </c>
      <c r="H63" s="87">
        <v>0.875</v>
      </c>
      <c r="I63" s="87">
        <v>0.41666666666666669</v>
      </c>
      <c r="J63" s="87">
        <v>0.875</v>
      </c>
    </row>
    <row r="64" spans="2:10" x14ac:dyDescent="0.25">
      <c r="B64">
        <v>83</v>
      </c>
      <c r="C64" s="87">
        <v>0.41666666666666669</v>
      </c>
      <c r="D64" s="87">
        <v>0.79166666666666663</v>
      </c>
      <c r="E64" s="87">
        <v>0.41666666666666669</v>
      </c>
      <c r="F64" s="87">
        <v>0.875</v>
      </c>
      <c r="G64" s="87">
        <v>0.41666666666666669</v>
      </c>
      <c r="H64" s="87">
        <v>0.875</v>
      </c>
      <c r="I64" s="87">
        <v>0.41666666666666669</v>
      </c>
      <c r="J64" s="87">
        <v>0.875</v>
      </c>
    </row>
    <row r="65" spans="2:10" x14ac:dyDescent="0.25">
      <c r="B65">
        <v>11</v>
      </c>
      <c r="C65" s="87">
        <v>0.5</v>
      </c>
      <c r="D65" s="87">
        <v>0.75</v>
      </c>
      <c r="E65" s="87">
        <v>0.41666666666666669</v>
      </c>
      <c r="F65" s="87">
        <v>0.83333333333333337</v>
      </c>
      <c r="G65" s="87">
        <v>0.41666666666666669</v>
      </c>
      <c r="H65" s="87">
        <v>0.83333333333333337</v>
      </c>
      <c r="I65" s="87">
        <v>0.41666666666666669</v>
      </c>
      <c r="J65" s="87">
        <v>0.83333333333333337</v>
      </c>
    </row>
    <row r="66" spans="2:10" x14ac:dyDescent="0.25">
      <c r="B66">
        <v>12</v>
      </c>
      <c r="C66" s="87">
        <v>0.5</v>
      </c>
      <c r="D66" s="87">
        <v>0.75</v>
      </c>
      <c r="E66" s="87">
        <v>0.41666666666666669</v>
      </c>
      <c r="F66" s="87">
        <v>0.875</v>
      </c>
      <c r="G66" s="87">
        <v>0.41666666666666669</v>
      </c>
      <c r="H66" s="87">
        <v>0.875</v>
      </c>
      <c r="I66" s="87">
        <v>0.41666666666666669</v>
      </c>
      <c r="J66" s="87">
        <v>0.875</v>
      </c>
    </row>
    <row r="67" spans="2:10" x14ac:dyDescent="0.25">
      <c r="B67">
        <v>15</v>
      </c>
      <c r="C67" s="87">
        <v>0.5</v>
      </c>
      <c r="D67" s="87">
        <v>0.75</v>
      </c>
      <c r="E67" s="87">
        <v>0.41666666666666669</v>
      </c>
      <c r="F67" s="87">
        <v>0.875</v>
      </c>
      <c r="G67" s="87">
        <v>0.41666666666666669</v>
      </c>
      <c r="H67" s="87">
        <v>0.875</v>
      </c>
      <c r="I67" s="87">
        <v>0.41666666666666669</v>
      </c>
      <c r="J67" s="87">
        <v>0.875</v>
      </c>
    </row>
    <row r="68" spans="2:10" x14ac:dyDescent="0.25">
      <c r="B68">
        <v>18</v>
      </c>
      <c r="C68" s="87">
        <v>0.5</v>
      </c>
      <c r="D68" s="87">
        <v>0.75</v>
      </c>
      <c r="E68" s="87">
        <v>0.41666666666666669</v>
      </c>
      <c r="F68" s="87">
        <v>0.875</v>
      </c>
      <c r="G68" s="87">
        <v>0.41666666666666669</v>
      </c>
      <c r="H68" s="87">
        <v>0.875</v>
      </c>
      <c r="I68" s="87">
        <v>0.41666666666666669</v>
      </c>
      <c r="J68" s="87">
        <v>0.875</v>
      </c>
    </row>
    <row r="69" spans="2:10" x14ac:dyDescent="0.25">
      <c r="B69">
        <v>25</v>
      </c>
      <c r="C69" s="87">
        <v>0.5</v>
      </c>
      <c r="D69" s="87">
        <v>0.75</v>
      </c>
      <c r="E69" s="87">
        <v>0.41666666666666669</v>
      </c>
      <c r="F69" s="87">
        <v>0.875</v>
      </c>
      <c r="G69" s="87">
        <v>0.41666666666666669</v>
      </c>
      <c r="H69" s="87">
        <v>0.875</v>
      </c>
      <c r="I69" s="87">
        <v>0.41666666666666669</v>
      </c>
      <c r="J69" s="87">
        <v>0.875</v>
      </c>
    </row>
    <row r="70" spans="2:10" x14ac:dyDescent="0.25">
      <c r="B70">
        <v>26</v>
      </c>
      <c r="C70" s="87">
        <v>0.5</v>
      </c>
      <c r="D70" s="87">
        <v>0.75</v>
      </c>
      <c r="E70" s="87">
        <v>0.41666666666666669</v>
      </c>
      <c r="F70" s="87">
        <v>0.875</v>
      </c>
      <c r="G70" s="87">
        <v>0.41666666666666669</v>
      </c>
      <c r="H70" s="87">
        <v>0.875</v>
      </c>
      <c r="I70" s="87">
        <v>0.41666666666666669</v>
      </c>
      <c r="J70" s="87">
        <v>0.875</v>
      </c>
    </row>
    <row r="71" spans="2:10" x14ac:dyDescent="0.25">
      <c r="B71">
        <v>32</v>
      </c>
      <c r="C71" s="87">
        <v>0.5</v>
      </c>
      <c r="D71" s="87">
        <v>0.75</v>
      </c>
      <c r="E71" s="87">
        <v>0.41666666666666669</v>
      </c>
      <c r="F71" s="87">
        <v>0.875</v>
      </c>
      <c r="G71" s="87">
        <v>0.41666666666666669</v>
      </c>
      <c r="H71" s="87">
        <v>0.875</v>
      </c>
      <c r="I71" s="87">
        <v>0.41666666666666669</v>
      </c>
      <c r="J71" s="87">
        <v>0.875</v>
      </c>
    </row>
    <row r="72" spans="2:10" x14ac:dyDescent="0.25">
      <c r="B72">
        <v>34</v>
      </c>
      <c r="C72" s="87">
        <v>0.5</v>
      </c>
      <c r="D72" s="87">
        <v>0.75</v>
      </c>
      <c r="E72" s="87">
        <v>0.41666666666666669</v>
      </c>
      <c r="F72" s="87">
        <v>0.875</v>
      </c>
      <c r="G72" s="87">
        <v>0.41666666666666669</v>
      </c>
      <c r="H72" s="87">
        <v>0.875</v>
      </c>
      <c r="I72" s="87">
        <v>0.41666666666666669</v>
      </c>
      <c r="J72" s="87">
        <v>0.875</v>
      </c>
    </row>
    <row r="73" spans="2:10" x14ac:dyDescent="0.25">
      <c r="B73">
        <v>38</v>
      </c>
      <c r="C73" s="87">
        <v>0.5</v>
      </c>
      <c r="D73" s="87">
        <v>0.75</v>
      </c>
      <c r="E73" s="87">
        <v>0.41666666666666669</v>
      </c>
      <c r="F73" s="87">
        <v>0.875</v>
      </c>
      <c r="G73" s="87">
        <v>0.41666666666666669</v>
      </c>
      <c r="H73" s="87">
        <v>0.875</v>
      </c>
      <c r="I73" s="87">
        <v>0.41666666666666669</v>
      </c>
      <c r="J73" s="87">
        <v>0.875</v>
      </c>
    </row>
    <row r="74" spans="2:10" x14ac:dyDescent="0.25">
      <c r="B74">
        <v>43</v>
      </c>
      <c r="C74" s="87">
        <v>0.5</v>
      </c>
      <c r="D74" s="87">
        <v>0.75</v>
      </c>
      <c r="E74" s="87">
        <v>0.41666666666666669</v>
      </c>
      <c r="F74" s="87">
        <v>0.875</v>
      </c>
      <c r="G74" s="87">
        <v>0.41666666666666669</v>
      </c>
      <c r="H74" s="87">
        <v>0.875</v>
      </c>
      <c r="I74" s="87">
        <v>0.41666666666666669</v>
      </c>
      <c r="J74" s="87">
        <v>0.875</v>
      </c>
    </row>
    <row r="75" spans="2:10" x14ac:dyDescent="0.25">
      <c r="B75">
        <v>45</v>
      </c>
      <c r="C75" s="87">
        <v>0.5</v>
      </c>
      <c r="D75" s="87">
        <v>0.75</v>
      </c>
      <c r="E75" s="87">
        <v>0.41666666666666669</v>
      </c>
      <c r="F75" s="87">
        <v>0.875</v>
      </c>
      <c r="G75" s="87">
        <v>0.41666666666666669</v>
      </c>
      <c r="H75" s="87">
        <v>0.875</v>
      </c>
      <c r="I75" s="87">
        <v>0.41666666666666669</v>
      </c>
      <c r="J75" s="87">
        <v>0.875</v>
      </c>
    </row>
    <row r="76" spans="2:10" x14ac:dyDescent="0.25">
      <c r="B76">
        <v>47</v>
      </c>
      <c r="C76" s="87">
        <v>0.5</v>
      </c>
      <c r="D76" s="87">
        <v>0.75</v>
      </c>
      <c r="E76" s="87">
        <v>0.41666666666666669</v>
      </c>
      <c r="F76" s="87">
        <v>0.875</v>
      </c>
      <c r="G76" s="87">
        <v>0.41666666666666669</v>
      </c>
      <c r="H76" s="87">
        <v>0.875</v>
      </c>
      <c r="I76" s="87">
        <v>0.41666666666666669</v>
      </c>
      <c r="J76" s="87">
        <v>0.875</v>
      </c>
    </row>
    <row r="77" spans="2:10" x14ac:dyDescent="0.25">
      <c r="B77">
        <v>49</v>
      </c>
      <c r="C77" s="87">
        <v>0.5</v>
      </c>
      <c r="D77" s="87">
        <v>0.75</v>
      </c>
      <c r="E77" s="87">
        <v>0.41666666666666669</v>
      </c>
      <c r="F77" s="87">
        <v>0.875</v>
      </c>
      <c r="G77" s="87">
        <v>0.41666666666666669</v>
      </c>
      <c r="H77" s="87">
        <v>0.875</v>
      </c>
      <c r="I77" s="87">
        <v>0.41666666666666669</v>
      </c>
      <c r="J77" s="87">
        <v>0.875</v>
      </c>
    </row>
    <row r="78" spans="2:10" x14ac:dyDescent="0.25">
      <c r="B78">
        <v>51</v>
      </c>
      <c r="C78" s="87">
        <v>0.5</v>
      </c>
      <c r="D78" s="87">
        <v>0.75</v>
      </c>
      <c r="E78" s="87">
        <v>0.41666666666666669</v>
      </c>
      <c r="F78" s="87">
        <v>0.875</v>
      </c>
      <c r="G78" s="87">
        <v>0.41666666666666669</v>
      </c>
      <c r="H78" s="87">
        <v>0.875</v>
      </c>
      <c r="I78" s="87">
        <v>0.41666666666666669</v>
      </c>
      <c r="J78" s="87">
        <v>0.875</v>
      </c>
    </row>
    <row r="79" spans="2:10" x14ac:dyDescent="0.25">
      <c r="B79">
        <v>53</v>
      </c>
      <c r="C79" s="87">
        <v>0.45833333333333331</v>
      </c>
      <c r="D79" s="87">
        <v>0.75</v>
      </c>
      <c r="E79" s="87">
        <v>0.41666666666666669</v>
      </c>
      <c r="F79" s="87">
        <v>0.875</v>
      </c>
      <c r="G79" s="87">
        <v>0.41666666666666669</v>
      </c>
      <c r="H79" s="87">
        <v>0.875</v>
      </c>
      <c r="I79" s="87">
        <v>0.41666666666666669</v>
      </c>
      <c r="J79" s="87">
        <v>0.875</v>
      </c>
    </row>
    <row r="80" spans="2:10" x14ac:dyDescent="0.25">
      <c r="B80">
        <v>58</v>
      </c>
      <c r="C80" s="87">
        <v>0.5</v>
      </c>
      <c r="D80" s="87">
        <v>0.75</v>
      </c>
      <c r="E80" s="87">
        <v>0.41666666666666669</v>
      </c>
      <c r="F80" s="87">
        <v>0.875</v>
      </c>
      <c r="G80" s="87">
        <v>0.41666666666666669</v>
      </c>
      <c r="H80" s="87">
        <v>0.875</v>
      </c>
      <c r="I80" s="87">
        <v>0.41666666666666669</v>
      </c>
      <c r="J80" s="87">
        <v>0.875</v>
      </c>
    </row>
    <row r="81" spans="2:10" x14ac:dyDescent="0.25">
      <c r="B81">
        <v>61</v>
      </c>
      <c r="C81" s="87">
        <v>0.5</v>
      </c>
      <c r="D81" s="87">
        <v>0.75</v>
      </c>
      <c r="E81" s="87">
        <v>0.41666666666666669</v>
      </c>
      <c r="F81" s="87">
        <v>0.875</v>
      </c>
      <c r="G81" s="87">
        <v>0.41666666666666669</v>
      </c>
      <c r="H81" s="87">
        <v>0.875</v>
      </c>
      <c r="I81" s="87">
        <v>0.41666666666666669</v>
      </c>
      <c r="J81" s="87">
        <v>0.875</v>
      </c>
    </row>
    <row r="82" spans="2:10" x14ac:dyDescent="0.25">
      <c r="B82">
        <v>69</v>
      </c>
      <c r="C82" s="87">
        <v>0.5</v>
      </c>
      <c r="D82" s="87">
        <v>0.75</v>
      </c>
      <c r="E82" s="87">
        <v>0.41666666666666669</v>
      </c>
      <c r="F82" s="87">
        <v>0.875</v>
      </c>
      <c r="G82" s="87">
        <v>0.41666666666666669</v>
      </c>
      <c r="H82" s="87">
        <v>0.875</v>
      </c>
      <c r="I82" s="87">
        <v>0.41666666666666669</v>
      </c>
      <c r="J82" s="87">
        <v>0.875</v>
      </c>
    </row>
    <row r="83" spans="2:10" x14ac:dyDescent="0.25">
      <c r="B83">
        <v>72</v>
      </c>
      <c r="C83" s="87">
        <v>0.45833333333333331</v>
      </c>
      <c r="D83" s="87">
        <v>0.75</v>
      </c>
      <c r="E83" s="87">
        <v>0.41666666666666669</v>
      </c>
      <c r="F83" s="87">
        <v>0.83333333333333337</v>
      </c>
      <c r="G83" s="87">
        <v>0.41666666666666669</v>
      </c>
      <c r="H83" s="87">
        <v>0.83333333333333337</v>
      </c>
      <c r="I83" s="87">
        <v>0.41666666666666669</v>
      </c>
      <c r="J83" s="87">
        <v>0.83333333333333337</v>
      </c>
    </row>
    <row r="84" spans="2:10" x14ac:dyDescent="0.25">
      <c r="B84">
        <v>78</v>
      </c>
      <c r="C84" s="87">
        <v>0.45833333333333331</v>
      </c>
      <c r="D84" s="87">
        <v>0.75</v>
      </c>
      <c r="E84" s="87">
        <v>0.41666666666666669</v>
      </c>
      <c r="F84" s="87">
        <v>0.83333333333333337</v>
      </c>
      <c r="G84" s="87">
        <v>0.41666666666666669</v>
      </c>
      <c r="H84" s="87">
        <v>0.83333333333333337</v>
      </c>
      <c r="I84" s="87">
        <v>0.41666666666666669</v>
      </c>
      <c r="J84" s="87">
        <v>0.83333333333333337</v>
      </c>
    </row>
    <row r="85" spans="2:10" x14ac:dyDescent="0.25">
      <c r="B85">
        <v>80</v>
      </c>
      <c r="C85" s="87">
        <v>0.5</v>
      </c>
      <c r="D85" s="87">
        <v>0.75</v>
      </c>
      <c r="E85" s="87">
        <v>0.41666666666666669</v>
      </c>
      <c r="F85" s="87">
        <v>0.875</v>
      </c>
      <c r="G85" s="87">
        <v>0.41666666666666669</v>
      </c>
      <c r="H85" s="87">
        <v>0.875</v>
      </c>
      <c r="I85" s="87">
        <v>0.41666666666666669</v>
      </c>
      <c r="J85" s="87">
        <v>0.875</v>
      </c>
    </row>
    <row r="86" spans="2:10" x14ac:dyDescent="0.25">
      <c r="B86">
        <v>86</v>
      </c>
      <c r="C86" s="87">
        <v>0.5</v>
      </c>
      <c r="D86" s="87">
        <v>0.75</v>
      </c>
      <c r="E86" s="87">
        <v>0.41666666666666669</v>
      </c>
      <c r="F86" s="87">
        <v>0.875</v>
      </c>
      <c r="G86" s="87">
        <v>0.41666666666666669</v>
      </c>
      <c r="H86" s="87">
        <v>0.875</v>
      </c>
      <c r="I86" s="87">
        <v>0.41666666666666669</v>
      </c>
      <c r="J86" s="87">
        <v>0.875</v>
      </c>
    </row>
    <row r="87" spans="2:10" x14ac:dyDescent="0.25">
      <c r="B87">
        <v>89</v>
      </c>
      <c r="C87" s="87">
        <v>0.5</v>
      </c>
      <c r="D87" s="87">
        <v>0.75</v>
      </c>
      <c r="E87" s="87">
        <v>0.41666666666666669</v>
      </c>
      <c r="F87" s="87">
        <v>0.875</v>
      </c>
      <c r="G87" s="87">
        <v>0.41666666666666669</v>
      </c>
      <c r="H87" s="87">
        <v>0.875</v>
      </c>
      <c r="I87" s="87">
        <v>0.41666666666666669</v>
      </c>
      <c r="J87" s="87">
        <v>0.875</v>
      </c>
    </row>
    <row r="88" spans="2:10" x14ac:dyDescent="0.25">
      <c r="B88">
        <v>90</v>
      </c>
      <c r="C88" s="87">
        <v>0.5</v>
      </c>
      <c r="D88" s="87">
        <v>0.75</v>
      </c>
      <c r="E88" s="87">
        <v>0.41666666666666669</v>
      </c>
      <c r="F88" s="87">
        <v>0.875</v>
      </c>
      <c r="G88" s="87">
        <v>0.41666666666666669</v>
      </c>
      <c r="H88" s="87">
        <v>0.875</v>
      </c>
      <c r="I88" s="87">
        <v>0.41666666666666669</v>
      </c>
      <c r="J88" s="87">
        <v>0.875</v>
      </c>
    </row>
    <row r="89" spans="2:10" x14ac:dyDescent="0.25">
      <c r="B89">
        <v>92</v>
      </c>
      <c r="C89" s="87">
        <v>0.5</v>
      </c>
      <c r="D89" s="87">
        <v>0.75</v>
      </c>
      <c r="E89" s="87">
        <v>0.41666666666666669</v>
      </c>
      <c r="F89" s="87">
        <v>0.875</v>
      </c>
      <c r="G89" s="87">
        <v>0.41666666666666669</v>
      </c>
      <c r="H89" s="87">
        <v>0.875</v>
      </c>
      <c r="I89" s="87">
        <v>0.41666666666666669</v>
      </c>
      <c r="J89" s="87">
        <v>0.875</v>
      </c>
    </row>
    <row r="90" spans="2:10" x14ac:dyDescent="0.25">
      <c r="B90">
        <v>94</v>
      </c>
      <c r="C90" s="87">
        <v>0.5</v>
      </c>
      <c r="D90" s="87">
        <v>0.75</v>
      </c>
      <c r="E90" s="87">
        <v>0.41666666666666669</v>
      </c>
      <c r="F90" s="87">
        <v>0.875</v>
      </c>
      <c r="G90" s="87">
        <v>0.41666666666666669</v>
      </c>
      <c r="H90" s="87">
        <v>0.875</v>
      </c>
      <c r="I90" s="87">
        <v>0.41666666666666669</v>
      </c>
      <c r="J90" s="87">
        <v>0.875</v>
      </c>
    </row>
    <row r="91" spans="2:10" x14ac:dyDescent="0.25">
      <c r="C91" s="90"/>
    </row>
  </sheetData>
  <mergeCells count="42">
    <mergeCell ref="CA4:CB4"/>
    <mergeCell ref="CC4:CD4"/>
    <mergeCell ref="CE4:CF4"/>
    <mergeCell ref="CG4:CH4"/>
    <mergeCell ref="BO4:BP4"/>
    <mergeCell ref="BQ4:BR4"/>
    <mergeCell ref="BS4:BT4"/>
    <mergeCell ref="BU4:BV4"/>
    <mergeCell ref="BW4:BX4"/>
    <mergeCell ref="BY4:BZ4"/>
    <mergeCell ref="BM4:BN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AO4:AP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M4:N4"/>
    <mergeCell ref="O4:P4"/>
    <mergeCell ref="Q4:R4"/>
    <mergeCell ref="C4:D4"/>
    <mergeCell ref="E4:F4"/>
    <mergeCell ref="G4:H4"/>
    <mergeCell ref="I4:J4"/>
    <mergeCell ref="K4:L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Shoe Shop</vt:lpstr>
      <vt:lpstr>Open.Close</vt:lpstr>
      <vt:lpstr>Store Database</vt:lpstr>
      <vt:lpstr>Department Charts</vt:lpstr>
      <vt:lpstr>Sheet6</vt:lpstr>
      <vt:lpstr>Holiday Hours DATA</vt:lpstr>
      <vt:lpstr>'Shoe Shop'!Print_Area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McClure</dc:creator>
  <cp:lastModifiedBy>Jill McClure</cp:lastModifiedBy>
  <cp:lastPrinted>2024-11-05T19:00:33Z</cp:lastPrinted>
  <dcterms:created xsi:type="dcterms:W3CDTF">2024-10-31T13:47:15Z</dcterms:created>
  <dcterms:modified xsi:type="dcterms:W3CDTF">2024-11-14T01:13:04Z</dcterms:modified>
</cp:coreProperties>
</file>